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65" yWindow="720" windowWidth="16710" windowHeight="10845" tabRatio="753" firstSheet="1" activeTab="5"/>
  </bookViews>
  <sheets>
    <sheet name="Перечень приложений" sheetId="32" r:id="rId1"/>
    <sheet name="Приложение 1" sheetId="1" r:id="rId2"/>
    <sheet name="Приложение 2" sheetId="23" r:id="rId3"/>
    <sheet name="Приложение 3" sheetId="26" r:id="rId4"/>
    <sheet name="Приложение 4" sheetId="34" r:id="rId5"/>
    <sheet name="Приложение 5" sheetId="25" r:id="rId6"/>
    <sheet name="Лист1" sheetId="36" r:id="rId7"/>
  </sheets>
  <externalReferences>
    <externalReference r:id="rId8"/>
  </externalReferences>
  <definedNames>
    <definedName name="_xlnm._FilterDatabase" localSheetId="1" hidden="1">'Приложение 1'!$A$9:$J$570</definedName>
    <definedName name="_xlnm._FilterDatabase" localSheetId="2" hidden="1">'Приложение 2'!$A$9:$O$820</definedName>
    <definedName name="_xlnm.Print_Area" localSheetId="1">'Приложение 1'!$A$1:$L$567</definedName>
    <definedName name="_xlnm.Print_Area" localSheetId="2">'Приложение 2'!$A$1:$N$820</definedName>
    <definedName name="_xlnm.Print_Area" localSheetId="4">'Приложение 4'!$A$1:$M$94</definedName>
    <definedName name="_xlnm.Print_Area" localSheetId="5">'Приложение 5'!$A$1:$E$20</definedName>
  </definedNames>
  <calcPr calcId="145621"/>
</workbook>
</file>

<file path=xl/calcChain.xml><?xml version="1.0" encoding="utf-8"?>
<calcChain xmlns="http://schemas.openxmlformats.org/spreadsheetml/2006/main">
  <c r="E542" i="1" l="1"/>
  <c r="F175" i="1"/>
  <c r="D29" i="36"/>
  <c r="G107" i="23"/>
  <c r="G609" i="23" l="1"/>
  <c r="G608" i="23" s="1"/>
  <c r="H611" i="23"/>
  <c r="G610" i="23"/>
  <c r="F75" i="1"/>
  <c r="F74" i="1" s="1"/>
  <c r="E74" i="1"/>
  <c r="H500" i="23"/>
  <c r="F73" i="1"/>
  <c r="H524" i="23"/>
  <c r="G523" i="23"/>
  <c r="E93" i="1"/>
  <c r="F94" i="1"/>
  <c r="G499" i="23"/>
  <c r="G493" i="23" s="1"/>
  <c r="G492" i="23" s="1"/>
  <c r="G491" i="23" s="1"/>
  <c r="G490" i="23" s="1"/>
  <c r="G489" i="23" s="1"/>
  <c r="E72" i="1"/>
  <c r="G541" i="23"/>
  <c r="F560" i="23"/>
  <c r="F559" i="23" s="1"/>
  <c r="N560" i="23"/>
  <c r="L560" i="23"/>
  <c r="J560" i="23"/>
  <c r="N559" i="23"/>
  <c r="L559" i="23"/>
  <c r="J559" i="23"/>
  <c r="H520" i="23"/>
  <c r="G519" i="23"/>
  <c r="F88" i="1"/>
  <c r="E87" i="1"/>
  <c r="H561" i="23"/>
  <c r="H560" i="23" s="1"/>
  <c r="H559" i="23" s="1"/>
  <c r="G561" i="23"/>
  <c r="G560" i="23" s="1"/>
  <c r="G559" i="23" s="1"/>
  <c r="G552" i="23" s="1"/>
  <c r="G551" i="23" s="1"/>
  <c r="G550" i="23" s="1"/>
  <c r="E86" i="1" l="1"/>
  <c r="E76" i="1" s="1"/>
  <c r="G518" i="23"/>
  <c r="E165" i="1"/>
  <c r="F174" i="1"/>
  <c r="E174" i="1"/>
  <c r="D174" i="1"/>
  <c r="D32" i="36" l="1"/>
  <c r="H345" i="23"/>
  <c r="G345" i="23"/>
  <c r="E566" i="1"/>
  <c r="F566" i="1" s="1"/>
  <c r="I405" i="1"/>
  <c r="K332" i="23"/>
  <c r="J330" i="23"/>
  <c r="J329" i="23" s="1"/>
  <c r="J321" i="23" s="1"/>
  <c r="J320" i="23" s="1"/>
  <c r="J315" i="23" s="1"/>
  <c r="J314" i="23" s="1"/>
  <c r="J313" i="23" s="1"/>
  <c r="H403" i="1"/>
  <c r="H402" i="1" s="1"/>
  <c r="H394" i="1" s="1"/>
  <c r="H393" i="1" s="1"/>
  <c r="F16" i="26" l="1"/>
  <c r="N25" i="23" l="1"/>
  <c r="K25" i="23"/>
  <c r="I341" i="23"/>
  <c r="I340" i="23" s="1"/>
  <c r="K341" i="23"/>
  <c r="K340" i="23" s="1"/>
  <c r="L341" i="23"/>
  <c r="L340" i="23" s="1"/>
  <c r="N341" i="23"/>
  <c r="N340" i="23" s="1"/>
  <c r="D35" i="36" l="1"/>
  <c r="G714" i="23"/>
  <c r="G713" i="23" s="1"/>
  <c r="H715" i="23"/>
  <c r="E245" i="1"/>
  <c r="E244" i="1" s="1"/>
  <c r="F246" i="1"/>
  <c r="H710" i="23"/>
  <c r="G709" i="23"/>
  <c r="G708" i="23" s="1"/>
  <c r="E240" i="1"/>
  <c r="E239" i="1" s="1"/>
  <c r="F241" i="1"/>
  <c r="G706" i="23"/>
  <c r="E237" i="1"/>
  <c r="E236" i="1" s="1"/>
  <c r="F238" i="1"/>
  <c r="C23" i="34" l="1"/>
  <c r="F78" i="34"/>
  <c r="D43" i="36" l="1"/>
  <c r="D44" i="36" s="1"/>
  <c r="F528" i="1" l="1"/>
  <c r="H284" i="23"/>
  <c r="G344" i="23" l="1"/>
  <c r="G341" i="23" s="1"/>
  <c r="G340" i="23" s="1"/>
  <c r="F344" i="23"/>
  <c r="F341" i="23" s="1"/>
  <c r="H344" i="23"/>
  <c r="E565" i="1"/>
  <c r="F565" i="1"/>
  <c r="D565" i="1"/>
  <c r="H338" i="23" l="1"/>
  <c r="G338" i="23"/>
  <c r="G266" i="23"/>
  <c r="G263" i="23" s="1"/>
  <c r="G262" i="23" s="1"/>
  <c r="G261" i="23" s="1"/>
  <c r="H267" i="23"/>
  <c r="E525" i="1"/>
  <c r="E332" i="1"/>
  <c r="E329" i="1" s="1"/>
  <c r="E328" i="1" s="1"/>
  <c r="E327" i="1" s="1"/>
  <c r="F333" i="1"/>
  <c r="D36" i="36" l="1"/>
  <c r="E33" i="36" l="1"/>
  <c r="F33" i="36"/>
  <c r="E377" i="1"/>
  <c r="D172" i="1"/>
  <c r="H446" i="1"/>
  <c r="H445" i="1" s="1"/>
  <c r="H444" i="1" s="1"/>
  <c r="H413" i="1" s="1"/>
  <c r="J204" i="23"/>
  <c r="J203" i="23" s="1"/>
  <c r="J202" i="23" s="1"/>
  <c r="J201" i="23" s="1"/>
  <c r="J199" i="23" s="1"/>
  <c r="G508" i="23"/>
  <c r="E164" i="1"/>
  <c r="G335" i="23"/>
  <c r="F411" i="1"/>
  <c r="E411" i="1"/>
  <c r="E408" i="1" s="1"/>
  <c r="J705" i="23"/>
  <c r="K724" i="23"/>
  <c r="K716" i="23" s="1"/>
  <c r="J724" i="23"/>
  <c r="J716" i="23" s="1"/>
  <c r="I271" i="1"/>
  <c r="H271" i="1"/>
  <c r="H258" i="1" s="1"/>
  <c r="I232" i="1"/>
  <c r="I231" i="1" s="1"/>
  <c r="H232" i="1"/>
  <c r="H231" i="1" s="1"/>
  <c r="H214" i="1" s="1"/>
  <c r="E232" i="1"/>
  <c r="E231" i="1" s="1"/>
  <c r="E214" i="1" s="1"/>
  <c r="J259" i="23"/>
  <c r="J258" i="23" s="1"/>
  <c r="J254" i="23" s="1"/>
  <c r="J253" i="23" s="1"/>
  <c r="J252" i="23" s="1"/>
  <c r="G259" i="23"/>
  <c r="G258" i="23" s="1"/>
  <c r="G254" i="23" s="1"/>
  <c r="G253" i="23" s="1"/>
  <c r="H323" i="23"/>
  <c r="H322" i="23" s="1"/>
  <c r="G804" i="23"/>
  <c r="G803" i="23" s="1"/>
  <c r="G802" i="23" s="1"/>
  <c r="G801" i="23" s="1"/>
  <c r="E553" i="1"/>
  <c r="M390" i="23"/>
  <c r="M386" i="23" s="1"/>
  <c r="K392" i="23"/>
  <c r="K391" i="23" s="1"/>
  <c r="K390" i="23" s="1"/>
  <c r="J390" i="23"/>
  <c r="J386" i="23" s="1"/>
  <c r="G716" i="23"/>
  <c r="H381" i="23"/>
  <c r="G381" i="23"/>
  <c r="F385" i="1"/>
  <c r="E385" i="1"/>
  <c r="E540" i="1"/>
  <c r="E529" i="1"/>
  <c r="L502" i="1"/>
  <c r="L501" i="1"/>
  <c r="L500" i="1" s="1"/>
  <c r="L499" i="1" s="1"/>
  <c r="L498" i="1" s="1"/>
  <c r="K502" i="1"/>
  <c r="K501" i="1"/>
  <c r="K500" i="1" s="1"/>
  <c r="K499" i="1" s="1"/>
  <c r="K498" i="1" s="1"/>
  <c r="N307" i="23"/>
  <c r="N306" i="23" s="1"/>
  <c r="N305" i="23" s="1"/>
  <c r="N304" i="23" s="1"/>
  <c r="N303" i="23" s="1"/>
  <c r="M307" i="23"/>
  <c r="M306" i="23" s="1"/>
  <c r="M305" i="23" s="1"/>
  <c r="M304" i="23" s="1"/>
  <c r="M303" i="23" s="1"/>
  <c r="M287" i="23" s="1"/>
  <c r="M286" i="23" s="1"/>
  <c r="J307" i="23"/>
  <c r="J306" i="23" s="1"/>
  <c r="J305" i="23" s="1"/>
  <c r="J304" i="23" s="1"/>
  <c r="J303" i="23" s="1"/>
  <c r="J287" i="23" s="1"/>
  <c r="J286" i="23" s="1"/>
  <c r="H502" i="1"/>
  <c r="H501" i="1"/>
  <c r="H500" i="1" s="1"/>
  <c r="H499" i="1" s="1"/>
  <c r="H498" i="1" s="1"/>
  <c r="G502" i="1"/>
  <c r="I372" i="1"/>
  <c r="I371" i="1" s="1"/>
  <c r="H372" i="1"/>
  <c r="H371" i="1" s="1"/>
  <c r="H356" i="1" s="1"/>
  <c r="H355" i="1" s="1"/>
  <c r="J372" i="23"/>
  <c r="J356" i="23" s="1"/>
  <c r="J355" i="23" s="1"/>
  <c r="K373" i="23"/>
  <c r="K372" i="23" s="1"/>
  <c r="E557" i="1"/>
  <c r="H374" i="23"/>
  <c r="G374" i="23"/>
  <c r="G356" i="23" s="1"/>
  <c r="F374" i="1"/>
  <c r="E374" i="1"/>
  <c r="E356" i="1" s="1"/>
  <c r="F328" i="23"/>
  <c r="F323" i="23"/>
  <c r="F322" i="23" s="1"/>
  <c r="E398" i="1"/>
  <c r="G327" i="23"/>
  <c r="G204" i="23"/>
  <c r="G203" i="23" s="1"/>
  <c r="G202" i="23" s="1"/>
  <c r="G201" i="23" s="1"/>
  <c r="E446" i="1"/>
  <c r="E445" i="1" s="1"/>
  <c r="E444" i="1" s="1"/>
  <c r="H232" i="23"/>
  <c r="H231" i="23" s="1"/>
  <c r="G230" i="23"/>
  <c r="N232" i="23"/>
  <c r="L232" i="23"/>
  <c r="E435" i="1"/>
  <c r="F437" i="1"/>
  <c r="H25" i="23"/>
  <c r="F26" i="1"/>
  <c r="H646" i="23"/>
  <c r="F298" i="1"/>
  <c r="F392" i="1"/>
  <c r="L384" i="23"/>
  <c r="L383" i="23" s="1"/>
  <c r="K438" i="23"/>
  <c r="K437" i="23" s="1"/>
  <c r="K435" i="23" s="1"/>
  <c r="K434" i="23" s="1"/>
  <c r="K433" i="23" s="1"/>
  <c r="K432" i="23" s="1"/>
  <c r="K431" i="23" s="1"/>
  <c r="K430" i="23" s="1"/>
  <c r="I438" i="23"/>
  <c r="I437" i="23" s="1"/>
  <c r="I435" i="23" s="1"/>
  <c r="I434" i="23" s="1"/>
  <c r="I433" i="23" s="1"/>
  <c r="I432" i="23" s="1"/>
  <c r="I431" i="23" s="1"/>
  <c r="I430" i="23" s="1"/>
  <c r="J391" i="1"/>
  <c r="J390" i="1" s="1"/>
  <c r="I268" i="1"/>
  <c r="I267" i="1" s="1"/>
  <c r="G268" i="1"/>
  <c r="G267" i="1" s="1"/>
  <c r="J704" i="23" l="1"/>
  <c r="J703" i="23" s="1"/>
  <c r="J702" i="23" s="1"/>
  <c r="J701" i="23" s="1"/>
  <c r="E522" i="1"/>
  <c r="I258" i="1"/>
  <c r="J200" i="23"/>
  <c r="G266" i="1"/>
  <c r="G199" i="23"/>
  <c r="G200" i="23"/>
  <c r="K436" i="23"/>
  <c r="I436" i="23"/>
  <c r="M355" i="23"/>
  <c r="N384" i="23"/>
  <c r="K355" i="1"/>
  <c r="L391" i="1"/>
  <c r="F17" i="26" l="1"/>
  <c r="H19" i="26"/>
  <c r="H385" i="23" l="1"/>
  <c r="F72" i="34"/>
  <c r="C75" i="34"/>
  <c r="H68" i="23"/>
  <c r="G67" i="23"/>
  <c r="G66" i="23" s="1"/>
  <c r="G65" i="23" s="1"/>
  <c r="G64" i="23" s="1"/>
  <c r="E515" i="1"/>
  <c r="H440" i="23"/>
  <c r="G438" i="23"/>
  <c r="G437" i="23" s="1"/>
  <c r="H235" i="1"/>
  <c r="H234" i="1" s="1"/>
  <c r="E258" i="1"/>
  <c r="F270" i="1"/>
  <c r="E391" i="1" l="1"/>
  <c r="E390" i="1" s="1"/>
  <c r="G435" i="23"/>
  <c r="G434" i="23" s="1"/>
  <c r="G433" i="23" s="1"/>
  <c r="G432" i="23" s="1"/>
  <c r="G431" i="23" s="1"/>
  <c r="G430" i="23" s="1"/>
  <c r="G436" i="23"/>
  <c r="G621" i="23" l="1"/>
  <c r="G620" i="23" s="1"/>
  <c r="G607" i="23" s="1"/>
  <c r="G606" i="23" s="1"/>
  <c r="G605" i="23" s="1"/>
  <c r="G604" i="23" s="1"/>
  <c r="G756" i="23"/>
  <c r="G755" i="23" s="1"/>
  <c r="G754" i="23" s="1"/>
  <c r="G753" i="23" s="1"/>
  <c r="G752" i="23" s="1"/>
  <c r="G751" i="23" s="1"/>
  <c r="E154" i="1"/>
  <c r="E148" i="1" s="1"/>
  <c r="F396" i="1" l="1"/>
  <c r="F395" i="1" s="1"/>
  <c r="G377" i="23"/>
  <c r="G376" i="23" s="1"/>
  <c r="H378" i="23"/>
  <c r="H325" i="23"/>
  <c r="G324" i="23"/>
  <c r="G321" i="23" s="1"/>
  <c r="G320" i="23" s="1"/>
  <c r="G315" i="23" s="1"/>
  <c r="G314" i="23" s="1"/>
  <c r="E394" i="1"/>
  <c r="E393" i="1" s="1"/>
  <c r="F378" i="1"/>
  <c r="L354" i="1"/>
  <c r="I354" i="1"/>
  <c r="K351" i="1"/>
  <c r="K350" i="1"/>
  <c r="K349" i="1" s="1"/>
  <c r="K348" i="1" s="1"/>
  <c r="K347" i="1" s="1"/>
  <c r="H351" i="1"/>
  <c r="H350" i="1"/>
  <c r="H349" i="1" s="1"/>
  <c r="H348" i="1" s="1"/>
  <c r="H347" i="1" s="1"/>
  <c r="N354" i="23"/>
  <c r="M351" i="23"/>
  <c r="M350" i="23"/>
  <c r="M349" i="23" s="1"/>
  <c r="M348" i="23" s="1"/>
  <c r="M347" i="23" s="1"/>
  <c r="M346" i="23" s="1"/>
  <c r="M285" i="23" s="1"/>
  <c r="J350" i="23"/>
  <c r="J349" i="23" s="1"/>
  <c r="J348" i="23" s="1"/>
  <c r="J347" i="23" s="1"/>
  <c r="J346" i="23" s="1"/>
  <c r="J285" i="23" s="1"/>
  <c r="J351" i="23"/>
  <c r="K354" i="23"/>
  <c r="E376" i="1" l="1"/>
  <c r="I420" i="23" l="1"/>
  <c r="J555" i="1"/>
  <c r="G113" i="1"/>
  <c r="E25" i="1"/>
  <c r="D421" i="1"/>
  <c r="F562" i="1"/>
  <c r="D561" i="1"/>
  <c r="D563" i="1"/>
  <c r="E22" i="1" l="1"/>
  <c r="E21" i="1" s="1"/>
  <c r="D19" i="26"/>
  <c r="I67" i="23" l="1"/>
  <c r="K67" i="23"/>
  <c r="K66" i="23" s="1"/>
  <c r="K65" i="23" s="1"/>
  <c r="K64" i="23" s="1"/>
  <c r="L67" i="23"/>
  <c r="L66" i="23" s="1"/>
  <c r="L65" i="23" s="1"/>
  <c r="L64" i="23" s="1"/>
  <c r="N67" i="23"/>
  <c r="I66" i="23"/>
  <c r="I65" i="23" s="1"/>
  <c r="I64" i="23" s="1"/>
  <c r="N66" i="23"/>
  <c r="N65" i="23" s="1"/>
  <c r="N64" i="23" s="1"/>
  <c r="N810" i="23"/>
  <c r="K810" i="23"/>
  <c r="M809" i="23"/>
  <c r="J809" i="23"/>
  <c r="G809" i="23"/>
  <c r="G384" i="23"/>
  <c r="G383" i="23" s="1"/>
  <c r="G355" i="23" s="1"/>
  <c r="K19" i="26" l="1"/>
  <c r="J19" i="26"/>
  <c r="G19" i="26"/>
  <c r="E18" i="26"/>
  <c r="M789" i="23"/>
  <c r="M788" i="23" s="1"/>
  <c r="M781" i="23" s="1"/>
  <c r="M780" i="23" s="1"/>
  <c r="M779" i="23" s="1"/>
  <c r="M778" i="23" s="1"/>
  <c r="J789" i="23"/>
  <c r="J788" i="23" s="1"/>
  <c r="J781" i="23" s="1"/>
  <c r="J780" i="23" s="1"/>
  <c r="J779" i="23" s="1"/>
  <c r="J778" i="23" s="1"/>
  <c r="G789" i="23"/>
  <c r="G788" i="23" s="1"/>
  <c r="G781" i="23" s="1"/>
  <c r="G780" i="23" s="1"/>
  <c r="G779" i="23" s="1"/>
  <c r="G778" i="23" s="1"/>
  <c r="M111" i="23"/>
  <c r="M104" i="23" s="1"/>
  <c r="M103" i="23" s="1"/>
  <c r="M69" i="23" s="1"/>
  <c r="J111" i="23"/>
  <c r="J104" i="23" s="1"/>
  <c r="J103" i="23" s="1"/>
  <c r="G111" i="23"/>
  <c r="K112" i="23"/>
  <c r="H112" i="23"/>
  <c r="N26" i="23" l="1"/>
  <c r="L27" i="1"/>
  <c r="L555" i="1"/>
  <c r="I556" i="1"/>
  <c r="K555" i="1"/>
  <c r="L530" i="1" l="1"/>
  <c r="I530" i="1"/>
  <c r="F556" i="1"/>
  <c r="K529" i="1"/>
  <c r="C73" i="34"/>
  <c r="F369" i="1" l="1"/>
  <c r="G466" i="23"/>
  <c r="G465" i="23"/>
  <c r="E198" i="1"/>
  <c r="E197" i="1" s="1"/>
  <c r="K421" i="23"/>
  <c r="K420" i="23" s="1"/>
  <c r="J420" i="23"/>
  <c r="J414" i="23" s="1"/>
  <c r="J413" i="23" s="1"/>
  <c r="J412" i="23" s="1"/>
  <c r="J411" i="23" s="1"/>
  <c r="J652" i="23"/>
  <c r="J640" i="23" s="1"/>
  <c r="J639" i="23" s="1"/>
  <c r="J638" i="23" s="1"/>
  <c r="J637" i="23" s="1"/>
  <c r="I114" i="1"/>
  <c r="I113" i="1" s="1"/>
  <c r="H304" i="1"/>
  <c r="H67" i="23" l="1"/>
  <c r="H66" i="23" s="1"/>
  <c r="H65" i="23" s="1"/>
  <c r="H64" i="23" s="1"/>
  <c r="F542" i="1" l="1"/>
  <c r="G105" i="23"/>
  <c r="H107" i="23"/>
  <c r="M798" i="23"/>
  <c r="M797" i="23" s="1"/>
  <c r="M796" i="23" s="1"/>
  <c r="J798" i="23"/>
  <c r="J797" i="23" s="1"/>
  <c r="J796" i="23" s="1"/>
  <c r="G798" i="23"/>
  <c r="G797" i="23" s="1"/>
  <c r="G796" i="23" s="1"/>
  <c r="N799" i="23"/>
  <c r="K799" i="23"/>
  <c r="H799" i="23"/>
  <c r="N739" i="23"/>
  <c r="K739" i="23"/>
  <c r="H739" i="23"/>
  <c r="M738" i="23"/>
  <c r="M737" i="23"/>
  <c r="M736" i="23" s="1"/>
  <c r="M735" i="23" s="1"/>
  <c r="J738" i="23"/>
  <c r="J737" i="23" s="1"/>
  <c r="J736" i="23" s="1"/>
  <c r="J735" i="23" s="1"/>
  <c r="J734" i="23" s="1"/>
  <c r="J733" i="23" s="1"/>
  <c r="J700" i="23" s="1"/>
  <c r="G738" i="23"/>
  <c r="G737" i="23" s="1"/>
  <c r="G736" i="23" s="1"/>
  <c r="G735" i="23" s="1"/>
  <c r="G734" i="23" s="1"/>
  <c r="G733" i="23" s="1"/>
  <c r="G24" i="23"/>
  <c r="G23" i="23" s="1"/>
  <c r="G22" i="23" s="1"/>
  <c r="G21" i="23" s="1"/>
  <c r="G20" i="23" s="1"/>
  <c r="F526" i="1"/>
  <c r="G281" i="23"/>
  <c r="H282" i="23"/>
  <c r="H342" i="23"/>
  <c r="F563" i="1"/>
  <c r="H341" i="23" l="1"/>
  <c r="H340" i="23" s="1"/>
  <c r="M795" i="23"/>
  <c r="M794" i="23"/>
  <c r="M793" i="23" s="1"/>
  <c r="J794" i="23"/>
  <c r="J793" i="23" s="1"/>
  <c r="J795" i="23"/>
  <c r="G795" i="23"/>
  <c r="G794" i="23"/>
  <c r="G793" i="23" s="1"/>
  <c r="F60" i="34"/>
  <c r="C60" i="34" s="1"/>
  <c r="C71" i="34"/>
  <c r="G221" i="23"/>
  <c r="E426" i="1"/>
  <c r="F38" i="34"/>
  <c r="E418" i="1"/>
  <c r="F421" i="1"/>
  <c r="G213" i="23"/>
  <c r="H216" i="23"/>
  <c r="C70" i="34"/>
  <c r="F69" i="34"/>
  <c r="G726" i="23"/>
  <c r="E273" i="1"/>
  <c r="E235" i="1" s="1"/>
  <c r="E234" i="1" s="1"/>
  <c r="F54" i="23"/>
  <c r="F214" i="23"/>
  <c r="F213" i="23" s="1"/>
  <c r="F219" i="23"/>
  <c r="F360" i="23"/>
  <c r="F428" i="23"/>
  <c r="F546" i="23"/>
  <c r="L624" i="23"/>
  <c r="I624" i="23"/>
  <c r="F624" i="23"/>
  <c r="L818" i="23"/>
  <c r="I818" i="23"/>
  <c r="F818" i="23"/>
  <c r="D395" i="1"/>
  <c r="D158" i="1"/>
  <c r="G158" i="1"/>
  <c r="D170" i="1"/>
  <c r="D358" i="1"/>
  <c r="G411" i="1"/>
  <c r="D419" i="1"/>
  <c r="D418" i="1" s="1"/>
  <c r="D424" i="1"/>
  <c r="J538" i="1"/>
  <c r="G538" i="1"/>
  <c r="D538" i="1"/>
  <c r="D544" i="1"/>
  <c r="D559" i="1"/>
  <c r="H324" i="23" l="1"/>
  <c r="F324" i="23"/>
  <c r="E13" i="26" l="1"/>
  <c r="E19" i="26" s="1"/>
  <c r="K42" i="34"/>
  <c r="K41" i="34" s="1"/>
  <c r="C42" i="34"/>
  <c r="C41" i="34" s="1"/>
  <c r="M41" i="34"/>
  <c r="J41" i="34"/>
  <c r="G41" i="34"/>
  <c r="F41" i="34"/>
  <c r="K37" i="34"/>
  <c r="K36" i="34" s="1"/>
  <c r="G37" i="34"/>
  <c r="G36" i="34" s="1"/>
  <c r="C37" i="34"/>
  <c r="C36" i="34" s="1"/>
  <c r="M36" i="34"/>
  <c r="J36" i="34"/>
  <c r="F36" i="34"/>
  <c r="N18" i="23" l="1"/>
  <c r="K18" i="23"/>
  <c r="H18" i="23"/>
  <c r="L24" i="1"/>
  <c r="I24" i="1"/>
  <c r="F24" i="1"/>
  <c r="F44" i="34" l="1"/>
  <c r="I338" i="23" l="1"/>
  <c r="K338" i="23" l="1"/>
  <c r="I411" i="1"/>
  <c r="K198" i="1" l="1"/>
  <c r="H360" i="23" l="1"/>
  <c r="F360" i="1"/>
  <c r="N219" i="23" l="1"/>
  <c r="N218" i="23" s="1"/>
  <c r="L219" i="23"/>
  <c r="L218" i="23" s="1"/>
  <c r="K219" i="23"/>
  <c r="K218" i="23" s="1"/>
  <c r="I219" i="23"/>
  <c r="H219" i="23"/>
  <c r="H218" i="23" s="1"/>
  <c r="F218" i="23"/>
  <c r="I218" i="23"/>
  <c r="L424" i="1"/>
  <c r="L423" i="1" s="1"/>
  <c r="J424" i="1"/>
  <c r="J423" i="1" s="1"/>
  <c r="I424" i="1"/>
  <c r="I423" i="1" s="1"/>
  <c r="G424" i="1"/>
  <c r="G423" i="1" s="1"/>
  <c r="F424" i="1"/>
  <c r="F423" i="1" s="1"/>
  <c r="D423" i="1"/>
  <c r="F43" i="34" l="1"/>
  <c r="G57" i="34"/>
  <c r="C57" i="34"/>
  <c r="G56" i="34"/>
  <c r="C56" i="34"/>
  <c r="G55" i="34"/>
  <c r="C55" i="34"/>
  <c r="G54" i="34"/>
  <c r="C54" i="34"/>
  <c r="H198" i="1" l="1"/>
  <c r="H358" i="23"/>
  <c r="F358" i="23"/>
  <c r="F358" i="1"/>
  <c r="G209" i="23" l="1"/>
  <c r="N214" i="23"/>
  <c r="N213" i="23" s="1"/>
  <c r="L214" i="23"/>
  <c r="K214" i="23"/>
  <c r="I214" i="23"/>
  <c r="I213" i="23" s="1"/>
  <c r="H214" i="23"/>
  <c r="H213" i="23" s="1"/>
  <c r="L213" i="23"/>
  <c r="K213" i="23"/>
  <c r="E414" i="1"/>
  <c r="L419" i="1"/>
  <c r="L418" i="1" s="1"/>
  <c r="J419" i="1"/>
  <c r="J418" i="1" s="1"/>
  <c r="I419" i="1"/>
  <c r="I418" i="1" s="1"/>
  <c r="G419" i="1"/>
  <c r="G418" i="1" s="1"/>
  <c r="F419" i="1"/>
  <c r="F418" i="1" s="1"/>
  <c r="G808" i="23"/>
  <c r="H818" i="23"/>
  <c r="J808" i="23"/>
  <c r="K818" i="23"/>
  <c r="M808" i="23"/>
  <c r="N818" i="23"/>
  <c r="L538" i="1"/>
  <c r="I538" i="1"/>
  <c r="F538" i="1"/>
  <c r="N759" i="23"/>
  <c r="N757" i="23" s="1"/>
  <c r="N756" i="23" s="1"/>
  <c r="N755" i="23" s="1"/>
  <c r="N754" i="23" s="1"/>
  <c r="N753" i="23" s="1"/>
  <c r="N752" i="23" s="1"/>
  <c r="N751" i="23" s="1"/>
  <c r="K759" i="23"/>
  <c r="H759" i="23"/>
  <c r="H757" i="23" s="1"/>
  <c r="I757" i="23"/>
  <c r="I756" i="23" s="1"/>
  <c r="I755" i="23" s="1"/>
  <c r="I754" i="23" s="1"/>
  <c r="I753" i="23" s="1"/>
  <c r="I752" i="23" s="1"/>
  <c r="I751" i="23" s="1"/>
  <c r="J657" i="23"/>
  <c r="K757" i="23"/>
  <c r="K756" i="23" s="1"/>
  <c r="K755" i="23" s="1"/>
  <c r="K754" i="23" s="1"/>
  <c r="K753" i="23" s="1"/>
  <c r="K752" i="23" s="1"/>
  <c r="K751" i="23" s="1"/>
  <c r="L757" i="23"/>
  <c r="L756" i="23" s="1"/>
  <c r="L755" i="23" s="1"/>
  <c r="L754" i="23" s="1"/>
  <c r="L753" i="23" s="1"/>
  <c r="L752" i="23" s="1"/>
  <c r="L751" i="23" s="1"/>
  <c r="N626" i="23"/>
  <c r="N625" i="23"/>
  <c r="K626" i="23"/>
  <c r="K625" i="23"/>
  <c r="H626" i="23"/>
  <c r="H625" i="23"/>
  <c r="L160" i="1"/>
  <c r="L159" i="1"/>
  <c r="L158" i="1" s="1"/>
  <c r="J158" i="1"/>
  <c r="I160" i="1"/>
  <c r="I159" i="1"/>
  <c r="F160" i="1"/>
  <c r="F159" i="1"/>
  <c r="H419" i="23"/>
  <c r="F112" i="1"/>
  <c r="H428" i="23"/>
  <c r="H427" i="23" s="1"/>
  <c r="H426" i="23" s="1"/>
  <c r="F427" i="23"/>
  <c r="F426" i="23" s="1"/>
  <c r="I427" i="23"/>
  <c r="I426" i="23" s="1"/>
  <c r="J410" i="23"/>
  <c r="J409" i="23" s="1"/>
  <c r="K427" i="23"/>
  <c r="K426" i="23" s="1"/>
  <c r="L427" i="23"/>
  <c r="L426" i="23" s="1"/>
  <c r="N427" i="23"/>
  <c r="N426" i="23" s="1"/>
  <c r="G559" i="1"/>
  <c r="I559" i="1"/>
  <c r="J559" i="1"/>
  <c r="L559" i="1"/>
  <c r="F559" i="1"/>
  <c r="H54" i="23"/>
  <c r="I54" i="23"/>
  <c r="K54" i="23"/>
  <c r="L54" i="23"/>
  <c r="N54" i="23"/>
  <c r="G19" i="23"/>
  <c r="F546" i="1"/>
  <c r="F545" i="1"/>
  <c r="G544" i="1"/>
  <c r="I544" i="1"/>
  <c r="J544" i="1"/>
  <c r="L544" i="1"/>
  <c r="H756" i="23" l="1"/>
  <c r="H755" i="23" s="1"/>
  <c r="H754" i="23" s="1"/>
  <c r="H753" i="23" s="1"/>
  <c r="H752" i="23" s="1"/>
  <c r="H751" i="23" s="1"/>
  <c r="H624" i="23"/>
  <c r="K624" i="23"/>
  <c r="F158" i="1"/>
  <c r="I158" i="1"/>
  <c r="H522" i="1"/>
  <c r="K522" i="1"/>
  <c r="F544" i="1" l="1"/>
  <c r="H546" i="23"/>
  <c r="G540" i="23"/>
  <c r="G507" i="23" s="1"/>
  <c r="G506" i="23" s="1"/>
  <c r="G505" i="23" s="1"/>
  <c r="G488" i="23" s="1"/>
  <c r="F170" i="1"/>
  <c r="L749" i="23"/>
  <c r="I546" i="23"/>
  <c r="F645" i="23" l="1"/>
  <c r="F644" i="23" s="1"/>
  <c r="F357" i="23"/>
  <c r="F333" i="23"/>
  <c r="F244" i="23"/>
  <c r="F243" i="23" s="1"/>
  <c r="J67" i="1"/>
  <c r="G67" i="1"/>
  <c r="G170" i="1"/>
  <c r="D453" i="1" l="1"/>
  <c r="D452" i="1" s="1"/>
  <c r="D357" i="1"/>
  <c r="D297" i="1"/>
  <c r="D296" i="1" s="1"/>
  <c r="D67" i="1"/>
  <c r="C24" i="34" l="1"/>
  <c r="J80" i="34" l="1"/>
  <c r="K11" i="1"/>
  <c r="H11" i="1"/>
  <c r="E11" i="1"/>
  <c r="E64" i="1"/>
  <c r="E63" i="1" s="1"/>
  <c r="K197" i="1"/>
  <c r="E355" i="1"/>
  <c r="E413" i="1"/>
  <c r="K461" i="1"/>
  <c r="H461" i="1"/>
  <c r="M734" i="23" l="1"/>
  <c r="M733" i="23" s="1"/>
  <c r="M700" i="23" s="1"/>
  <c r="M657" i="23" s="1"/>
  <c r="E347" i="1"/>
  <c r="E62" i="1"/>
  <c r="H76" i="1"/>
  <c r="H62" i="1" s="1"/>
  <c r="H197" i="1"/>
  <c r="H10" i="1" l="1"/>
  <c r="K10" i="1"/>
  <c r="E10" i="1"/>
  <c r="G705" i="23" l="1"/>
  <c r="G647" i="23"/>
  <c r="G641" i="23"/>
  <c r="J541" i="23"/>
  <c r="J540" i="23" s="1"/>
  <c r="G462" i="23"/>
  <c r="G348" i="23"/>
  <c r="G347" i="23" s="1"/>
  <c r="G346" i="23" s="1"/>
  <c r="G280" i="23"/>
  <c r="G252" i="23" s="1"/>
  <c r="G208" i="23"/>
  <c r="G207" i="23" s="1"/>
  <c r="G206" i="23" s="1"/>
  <c r="J159" i="23"/>
  <c r="J158" i="23" s="1"/>
  <c r="J69" i="23"/>
  <c r="G104" i="23"/>
  <c r="G103" i="23" s="1"/>
  <c r="G69" i="23" s="1"/>
  <c r="G11" i="23" s="1"/>
  <c r="M11" i="23"/>
  <c r="H357" i="23"/>
  <c r="H333" i="23"/>
  <c r="N498" i="23"/>
  <c r="K498" i="23"/>
  <c r="H498" i="23"/>
  <c r="N513" i="23"/>
  <c r="K513" i="23"/>
  <c r="H513" i="23"/>
  <c r="H645" i="23"/>
  <c r="H644" i="23" s="1"/>
  <c r="F401" i="1"/>
  <c r="N817" i="23"/>
  <c r="K817" i="23"/>
  <c r="H817" i="23"/>
  <c r="G704" i="23" l="1"/>
  <c r="G703" i="23" s="1"/>
  <c r="G702" i="23" s="1"/>
  <c r="G701" i="23" s="1"/>
  <c r="G700" i="23" s="1"/>
  <c r="G657" i="23" s="1"/>
  <c r="J479" i="23"/>
  <c r="J807" i="23"/>
  <c r="J806" i="23" s="1"/>
  <c r="J792" i="23" s="1"/>
  <c r="J791" i="23" s="1"/>
  <c r="G313" i="23"/>
  <c r="G807" i="23"/>
  <c r="G806" i="23" s="1"/>
  <c r="G792" i="23" s="1"/>
  <c r="G791" i="23" s="1"/>
  <c r="M807" i="23"/>
  <c r="M806" i="23" s="1"/>
  <c r="M792" i="23" s="1"/>
  <c r="M791" i="23" s="1"/>
  <c r="J11" i="23"/>
  <c r="G640" i="23"/>
  <c r="G639" i="23" s="1"/>
  <c r="G638" i="23" s="1"/>
  <c r="G637" i="23" s="1"/>
  <c r="G479" i="23" s="1"/>
  <c r="G461" i="23"/>
  <c r="G460" i="23" s="1"/>
  <c r="G459" i="23" s="1"/>
  <c r="G441" i="23" s="1"/>
  <c r="J173" i="23"/>
  <c r="G279" i="23"/>
  <c r="G173" i="23"/>
  <c r="L81" i="1"/>
  <c r="I81" i="1"/>
  <c r="F81" i="1"/>
  <c r="L69" i="1"/>
  <c r="L67" i="1" s="1"/>
  <c r="I69" i="1"/>
  <c r="I67" i="1" s="1"/>
  <c r="F69" i="1"/>
  <c r="F67" i="1" s="1"/>
  <c r="F357" i="1"/>
  <c r="G285" i="23" l="1"/>
  <c r="G10" i="23" s="1"/>
  <c r="J10" i="23"/>
  <c r="J820" i="23" s="1"/>
  <c r="M10" i="23"/>
  <c r="M820" i="23" s="1"/>
  <c r="I537" i="1"/>
  <c r="H515" i="1"/>
  <c r="H567" i="1" s="1"/>
  <c r="F537" i="1"/>
  <c r="E567" i="1"/>
  <c r="L537" i="1"/>
  <c r="K515" i="1"/>
  <c r="K567" i="1" s="1"/>
  <c r="F297" i="1"/>
  <c r="F296" i="1" s="1"/>
  <c r="G820" i="23" l="1"/>
  <c r="G824" i="23" s="1"/>
  <c r="F406" i="1"/>
  <c r="L406" i="1"/>
  <c r="J406" i="1"/>
  <c r="I406" i="1"/>
  <c r="G406" i="1"/>
  <c r="D406" i="1"/>
  <c r="D18" i="34" l="1"/>
  <c r="E18" i="34"/>
  <c r="H18" i="34"/>
  <c r="I18" i="34"/>
  <c r="C20" i="34"/>
  <c r="G20" i="34"/>
  <c r="L20" i="34"/>
  <c r="C21" i="34"/>
  <c r="G21" i="34"/>
  <c r="M21" i="34"/>
  <c r="C22" i="34"/>
  <c r="G22" i="34"/>
  <c r="K22" i="34"/>
  <c r="J38" i="34"/>
  <c r="M38" i="34"/>
  <c r="C39" i="34"/>
  <c r="C38" i="34" s="1"/>
  <c r="G38" i="34"/>
  <c r="K39" i="34"/>
  <c r="K38" i="34" s="1"/>
  <c r="E43" i="34"/>
  <c r="I43" i="34"/>
  <c r="J43" i="34"/>
  <c r="L43" i="34"/>
  <c r="M43" i="34"/>
  <c r="G44" i="34"/>
  <c r="K44" i="34"/>
  <c r="K43" i="34" s="1"/>
  <c r="C45" i="34"/>
  <c r="G45" i="34"/>
  <c r="K45" i="34"/>
  <c r="C46" i="34"/>
  <c r="G46" i="34"/>
  <c r="K46" i="34"/>
  <c r="C47" i="34"/>
  <c r="G47" i="34"/>
  <c r="K47" i="34"/>
  <c r="C48" i="34"/>
  <c r="G48" i="34"/>
  <c r="K48" i="34"/>
  <c r="C49" i="34"/>
  <c r="G49" i="34"/>
  <c r="K49" i="34"/>
  <c r="C50" i="34"/>
  <c r="G50" i="34"/>
  <c r="K50" i="34"/>
  <c r="C51" i="34"/>
  <c r="G51" i="34"/>
  <c r="K51" i="34"/>
  <c r="C52" i="34"/>
  <c r="G52" i="34"/>
  <c r="K52" i="34"/>
  <c r="C53" i="34"/>
  <c r="G53" i="34"/>
  <c r="K53" i="34"/>
  <c r="C58" i="34"/>
  <c r="G58" i="34"/>
  <c r="G59" i="34"/>
  <c r="K59" i="34"/>
  <c r="C61" i="34"/>
  <c r="C62" i="34"/>
  <c r="C63" i="34"/>
  <c r="C64" i="34"/>
  <c r="C65" i="34"/>
  <c r="C66" i="34"/>
  <c r="C67" i="34"/>
  <c r="C68" i="34"/>
  <c r="C69" i="34"/>
  <c r="C72" i="34"/>
  <c r="G72" i="34"/>
  <c r="C74" i="34"/>
  <c r="C76" i="34"/>
  <c r="G76" i="34"/>
  <c r="F77" i="34"/>
  <c r="C77" i="34" s="1"/>
  <c r="J77" i="34"/>
  <c r="G77" i="34" s="1"/>
  <c r="M77" i="34"/>
  <c r="K77" i="34" s="1"/>
  <c r="C78" i="34"/>
  <c r="G78" i="34"/>
  <c r="K78" i="34"/>
  <c r="J79" i="34"/>
  <c r="M79" i="34"/>
  <c r="K79" i="34" s="1"/>
  <c r="D80" i="34"/>
  <c r="D79" i="34" s="1"/>
  <c r="E80" i="34"/>
  <c r="E79" i="34" s="1"/>
  <c r="F80" i="34"/>
  <c r="F79" i="34" s="1"/>
  <c r="H80" i="34"/>
  <c r="H79" i="34" s="1"/>
  <c r="I80" i="34"/>
  <c r="I79" i="34" s="1"/>
  <c r="I35" i="34" s="1"/>
  <c r="K80" i="34"/>
  <c r="C81" i="34"/>
  <c r="K81" i="34"/>
  <c r="G82" i="34"/>
  <c r="K82" i="34"/>
  <c r="J83" i="34"/>
  <c r="G83" i="34" s="1"/>
  <c r="K83" i="34"/>
  <c r="M83" i="34"/>
  <c r="G85" i="34"/>
  <c r="D86" i="34"/>
  <c r="D84" i="34" s="1"/>
  <c r="E86" i="34"/>
  <c r="E84" i="34" s="1"/>
  <c r="F86" i="34"/>
  <c r="F84" i="34" s="1"/>
  <c r="C87" i="34"/>
  <c r="C88" i="34"/>
  <c r="C89" i="34"/>
  <c r="C90" i="34"/>
  <c r="C91" i="34"/>
  <c r="F92" i="34"/>
  <c r="C93" i="34"/>
  <c r="G93" i="34"/>
  <c r="C94" i="34"/>
  <c r="G94" i="34"/>
  <c r="E35" i="34" l="1"/>
  <c r="F35" i="34"/>
  <c r="L35" i="34"/>
  <c r="L34" i="34" s="1"/>
  <c r="K35" i="34"/>
  <c r="K34" i="34" s="1"/>
  <c r="J35" i="34"/>
  <c r="M35" i="34"/>
  <c r="M34" i="34" s="1"/>
  <c r="M23" i="34" s="1"/>
  <c r="M18" i="34" s="1"/>
  <c r="H35" i="34"/>
  <c r="H34" i="34" s="1"/>
  <c r="D35" i="34"/>
  <c r="D34" i="34" s="1"/>
  <c r="G79" i="34"/>
  <c r="F83" i="34"/>
  <c r="F34" i="34" s="1"/>
  <c r="G43" i="34"/>
  <c r="C92" i="34"/>
  <c r="C86" i="34"/>
  <c r="C84" i="34" s="1"/>
  <c r="C59" i="34"/>
  <c r="L18" i="34"/>
  <c r="C44" i="34"/>
  <c r="C43" i="34" s="1"/>
  <c r="I34" i="34"/>
  <c r="C79" i="34"/>
  <c r="E34" i="34"/>
  <c r="K21" i="34"/>
  <c r="K20" i="34"/>
  <c r="G80" i="34"/>
  <c r="C80" i="34"/>
  <c r="C35" i="34" l="1"/>
  <c r="G35" i="34"/>
  <c r="G34" i="34" s="1"/>
  <c r="C83" i="34"/>
  <c r="J34" i="34"/>
  <c r="J23" i="34" s="1"/>
  <c r="G23" i="34" s="1"/>
  <c r="G18" i="34" s="1"/>
  <c r="K23" i="34"/>
  <c r="K18" i="34" s="1"/>
  <c r="C18" i="34"/>
  <c r="C25" i="34" s="1"/>
  <c r="F18" i="34"/>
  <c r="H75" i="23"/>
  <c r="F15" i="1"/>
  <c r="K546" i="23"/>
  <c r="I170" i="1"/>
  <c r="C34" i="34" l="1"/>
  <c r="J18" i="34"/>
  <c r="H106" i="23"/>
  <c r="F541" i="1"/>
  <c r="N749" i="23" l="1"/>
  <c r="H244" i="23" l="1"/>
  <c r="H243" i="23" s="1"/>
  <c r="F453" i="1"/>
  <c r="F452" i="1" s="1"/>
  <c r="N478" i="23" l="1"/>
  <c r="K478" i="23"/>
  <c r="H478" i="23"/>
  <c r="F121" i="1"/>
  <c r="I475" i="1"/>
  <c r="L557" i="1" l="1"/>
  <c r="L553" i="1"/>
  <c r="L551" i="1"/>
  <c r="L549" i="1"/>
  <c r="L548" i="1"/>
  <c r="L540" i="1"/>
  <c r="L536" i="1"/>
  <c r="L534" i="1"/>
  <c r="L532" i="1"/>
  <c r="L531" i="1"/>
  <c r="L529" i="1" s="1"/>
  <c r="L527" i="1"/>
  <c r="L525" i="1" s="1"/>
  <c r="L523" i="1"/>
  <c r="L521" i="1"/>
  <c r="L519" i="1" s="1"/>
  <c r="L518" i="1"/>
  <c r="L517" i="1" s="1"/>
  <c r="L512" i="1"/>
  <c r="L509" i="1"/>
  <c r="L508" i="1"/>
  <c r="L506" i="1"/>
  <c r="L496" i="1"/>
  <c r="L495" i="1" s="1"/>
  <c r="L493" i="1"/>
  <c r="L491" i="1"/>
  <c r="L489" i="1"/>
  <c r="L488" i="1" s="1"/>
  <c r="L487" i="1"/>
  <c r="L486" i="1" s="1"/>
  <c r="L482" i="1"/>
  <c r="L481" i="1"/>
  <c r="L480" i="1" s="1"/>
  <c r="L478" i="1"/>
  <c r="L473" i="1"/>
  <c r="L472" i="1"/>
  <c r="L471" i="1" s="1"/>
  <c r="L467" i="1"/>
  <c r="L466" i="1"/>
  <c r="L465" i="1" s="1"/>
  <c r="L462" i="1"/>
  <c r="L456" i="1"/>
  <c r="L450" i="1"/>
  <c r="L449" i="1" s="1"/>
  <c r="L448" i="1" s="1"/>
  <c r="L445" i="1"/>
  <c r="L444" i="1" s="1"/>
  <c r="L437" i="1"/>
  <c r="L436" i="1" s="1"/>
  <c r="L435" i="1" s="1"/>
  <c r="L431" i="1"/>
  <c r="L428" i="1"/>
  <c r="L427" i="1"/>
  <c r="L416" i="1"/>
  <c r="L415" i="1" s="1"/>
  <c r="L409" i="1"/>
  <c r="L408" i="1" s="1"/>
  <c r="L398" i="1"/>
  <c r="L396" i="1"/>
  <c r="L395" i="1" s="1"/>
  <c r="L390" i="1"/>
  <c r="L388" i="1"/>
  <c r="L387" i="1" s="1"/>
  <c r="L379" i="1"/>
  <c r="L377" i="1"/>
  <c r="L363" i="1"/>
  <c r="L361" i="1"/>
  <c r="L351" i="1"/>
  <c r="L350" i="1"/>
  <c r="L349" i="1" s="1"/>
  <c r="L348" i="1" s="1"/>
  <c r="L345" i="1"/>
  <c r="L343" i="1"/>
  <c r="L341" i="1"/>
  <c r="L339" i="1"/>
  <c r="L336" i="1"/>
  <c r="L335" i="1" s="1"/>
  <c r="L332" i="1"/>
  <c r="L330" i="1"/>
  <c r="L325" i="1"/>
  <c r="L322" i="1"/>
  <c r="L319" i="1"/>
  <c r="L318" i="1"/>
  <c r="L314" i="1"/>
  <c r="L312" i="1"/>
  <c r="L304" i="1"/>
  <c r="L300" i="1"/>
  <c r="L299" i="1" s="1"/>
  <c r="L294" i="1"/>
  <c r="L293" i="1" s="1"/>
  <c r="L290" i="1"/>
  <c r="L289" i="1" s="1"/>
  <c r="L288" i="1" s="1"/>
  <c r="L285" i="1"/>
  <c r="L284" i="1" s="1"/>
  <c r="L282" i="1"/>
  <c r="L278" i="1"/>
  <c r="L277" i="1" s="1"/>
  <c r="L275" i="1"/>
  <c r="L274" i="1" s="1"/>
  <c r="L258" i="1"/>
  <c r="L256" i="1"/>
  <c r="L255" i="1" s="1"/>
  <c r="L253" i="1"/>
  <c r="L251" i="1"/>
  <c r="L249" i="1"/>
  <c r="L248" i="1" s="1"/>
  <c r="L247" i="1" s="1"/>
  <c r="L246" i="1"/>
  <c r="L245" i="1" s="1"/>
  <c r="L244" i="1" s="1"/>
  <c r="L241" i="1"/>
  <c r="L240" i="1" s="1"/>
  <c r="L239" i="1" s="1"/>
  <c r="L238" i="1"/>
  <c r="L237" i="1" s="1"/>
  <c r="L236" i="1" s="1"/>
  <c r="L232" i="1"/>
  <c r="L231" i="1" s="1"/>
  <c r="L228" i="1"/>
  <c r="L227" i="1" s="1"/>
  <c r="L225" i="1"/>
  <c r="L223" i="1"/>
  <c r="L218" i="1"/>
  <c r="L217" i="1"/>
  <c r="L216" i="1" s="1"/>
  <c r="L209" i="1"/>
  <c r="L207" i="1"/>
  <c r="L202" i="1"/>
  <c r="L201" i="1" s="1"/>
  <c r="L199" i="1"/>
  <c r="L194" i="1"/>
  <c r="L193" i="1" s="1"/>
  <c r="L190" i="1"/>
  <c r="L189" i="1" s="1"/>
  <c r="L186" i="1"/>
  <c r="L185" i="1" s="1"/>
  <c r="L182" i="1"/>
  <c r="L181" i="1" s="1"/>
  <c r="L178" i="1"/>
  <c r="L177" i="1" s="1"/>
  <c r="L176" i="1" s="1"/>
  <c r="L167" i="1"/>
  <c r="L166" i="1" s="1"/>
  <c r="L165" i="1" s="1"/>
  <c r="L164" i="1" s="1"/>
  <c r="L155" i="1"/>
  <c r="L154" i="1" s="1"/>
  <c r="L152" i="1"/>
  <c r="L150" i="1"/>
  <c r="L144" i="1"/>
  <c r="L142" i="1"/>
  <c r="L140" i="1"/>
  <c r="L136" i="1"/>
  <c r="L134" i="1"/>
  <c r="L132" i="1"/>
  <c r="L130" i="1"/>
  <c r="L128" i="1"/>
  <c r="L127" i="1"/>
  <c r="L126" i="1" s="1"/>
  <c r="L125" i="1"/>
  <c r="L124" i="1" s="1"/>
  <c r="L120" i="1"/>
  <c r="L119" i="1" s="1"/>
  <c r="L116" i="1"/>
  <c r="L115" i="1"/>
  <c r="L107" i="1" s="1"/>
  <c r="L103" i="1"/>
  <c r="L101" i="1"/>
  <c r="L99" i="1"/>
  <c r="L97" i="1"/>
  <c r="L95" i="1"/>
  <c r="L93" i="1"/>
  <c r="L91" i="1"/>
  <c r="L89" i="1"/>
  <c r="L87" i="1"/>
  <c r="L83" i="1"/>
  <c r="L82" i="1"/>
  <c r="L80" i="1"/>
  <c r="L79" i="1"/>
  <c r="L78" i="1" s="1"/>
  <c r="L72" i="1"/>
  <c r="L66" i="1"/>
  <c r="L65" i="1" s="1"/>
  <c r="L58" i="1"/>
  <c r="L57" i="1" s="1"/>
  <c r="L56" i="1" s="1"/>
  <c r="L48" i="1"/>
  <c r="L46" i="1"/>
  <c r="L28" i="1"/>
  <c r="L25" i="1"/>
  <c r="L23" i="1"/>
  <c r="L19" i="1"/>
  <c r="L17" i="1"/>
  <c r="L14" i="1"/>
  <c r="L13" i="1" s="1"/>
  <c r="I557" i="1"/>
  <c r="I555" i="1"/>
  <c r="I553" i="1"/>
  <c r="I551" i="1"/>
  <c r="I549" i="1"/>
  <c r="I548" i="1"/>
  <c r="I540" i="1"/>
  <c r="I536" i="1"/>
  <c r="I534" i="1"/>
  <c r="I532" i="1"/>
  <c r="I531" i="1"/>
  <c r="I529" i="1" s="1"/>
  <c r="I527" i="1"/>
  <c r="I525" i="1" s="1"/>
  <c r="I523" i="1"/>
  <c r="I519" i="1"/>
  <c r="I516" i="1" s="1"/>
  <c r="I512" i="1"/>
  <c r="I509" i="1"/>
  <c r="I508" i="1"/>
  <c r="I506" i="1"/>
  <c r="I501" i="1"/>
  <c r="I500" i="1" s="1"/>
  <c r="I499" i="1" s="1"/>
  <c r="I498" i="1" s="1"/>
  <c r="I496" i="1"/>
  <c r="I495" i="1" s="1"/>
  <c r="I493" i="1"/>
  <c r="I491" i="1"/>
  <c r="I489" i="1"/>
  <c r="I488" i="1" s="1"/>
  <c r="I487" i="1"/>
  <c r="I486" i="1" s="1"/>
  <c r="I482" i="1"/>
  <c r="I481" i="1"/>
  <c r="I480" i="1" s="1"/>
  <c r="I478" i="1"/>
  <c r="I473" i="1"/>
  <c r="I472" i="1"/>
  <c r="I471" i="1" s="1"/>
  <c r="I467" i="1"/>
  <c r="I466" i="1"/>
  <c r="I465" i="1" s="1"/>
  <c r="I462" i="1"/>
  <c r="I456" i="1"/>
  <c r="I450" i="1"/>
  <c r="I449" i="1" s="1"/>
  <c r="I448" i="1" s="1"/>
  <c r="I446" i="1"/>
  <c r="I445" i="1" s="1"/>
  <c r="I444" i="1" s="1"/>
  <c r="I440" i="1"/>
  <c r="I439" i="1" s="1"/>
  <c r="I438" i="1" s="1"/>
  <c r="I436" i="1"/>
  <c r="I435" i="1" s="1"/>
  <c r="I433" i="1"/>
  <c r="I431" i="1"/>
  <c r="I428" i="1"/>
  <c r="I427" i="1"/>
  <c r="I416" i="1"/>
  <c r="I415" i="1" s="1"/>
  <c r="I409" i="1"/>
  <c r="I408" i="1" s="1"/>
  <c r="I403" i="1"/>
  <c r="I402" i="1" s="1"/>
  <c r="I398" i="1"/>
  <c r="I395" i="1"/>
  <c r="I391" i="1"/>
  <c r="I390" i="1" s="1"/>
  <c r="I388" i="1"/>
  <c r="I387" i="1" s="1"/>
  <c r="I379" i="1"/>
  <c r="I377" i="1"/>
  <c r="I363" i="1"/>
  <c r="I361" i="1"/>
  <c r="I356" i="1" s="1"/>
  <c r="I351" i="1"/>
  <c r="I350" i="1"/>
  <c r="I349" i="1" s="1"/>
  <c r="I348" i="1" s="1"/>
  <c r="I345" i="1"/>
  <c r="I343" i="1"/>
  <c r="I341" i="1"/>
  <c r="I339" i="1"/>
  <c r="I336" i="1"/>
  <c r="I335" i="1" s="1"/>
  <c r="I332" i="1"/>
  <c r="I330" i="1"/>
  <c r="I325" i="1"/>
  <c r="I322" i="1"/>
  <c r="I319" i="1"/>
  <c r="I318" i="1"/>
  <c r="I314" i="1"/>
  <c r="I312" i="1"/>
  <c r="I306" i="1"/>
  <c r="I305" i="1" s="1"/>
  <c r="I304" i="1" s="1"/>
  <c r="I301" i="1"/>
  <c r="I300" i="1" s="1"/>
  <c r="I299" i="1" s="1"/>
  <c r="I294" i="1"/>
  <c r="I293" i="1" s="1"/>
  <c r="I290" i="1"/>
  <c r="I289" i="1" s="1"/>
  <c r="I288" i="1" s="1"/>
  <c r="I287" i="1"/>
  <c r="I285" i="1" s="1"/>
  <c r="I284" i="1" s="1"/>
  <c r="I283" i="1"/>
  <c r="I282" i="1" s="1"/>
  <c r="I278" i="1"/>
  <c r="I277" i="1" s="1"/>
  <c r="I275" i="1"/>
  <c r="I274" i="1" s="1"/>
  <c r="I256" i="1"/>
  <c r="I255" i="1" s="1"/>
  <c r="I254" i="1"/>
  <c r="I253" i="1" s="1"/>
  <c r="I251" i="1"/>
  <c r="I249" i="1"/>
  <c r="I248" i="1" s="1"/>
  <c r="I247" i="1" s="1"/>
  <c r="I246" i="1"/>
  <c r="I245" i="1" s="1"/>
  <c r="I244" i="1" s="1"/>
  <c r="I241" i="1"/>
  <c r="I240" i="1" s="1"/>
  <c r="I239" i="1" s="1"/>
  <c r="I238" i="1"/>
  <c r="I237" i="1" s="1"/>
  <c r="I236" i="1" s="1"/>
  <c r="I228" i="1"/>
  <c r="I227" i="1" s="1"/>
  <c r="I225" i="1"/>
  <c r="I223" i="1"/>
  <c r="I218" i="1"/>
  <c r="I217" i="1"/>
  <c r="I216" i="1" s="1"/>
  <c r="I209" i="1"/>
  <c r="I207" i="1"/>
  <c r="I202" i="1"/>
  <c r="I201" i="1" s="1"/>
  <c r="I199" i="1"/>
  <c r="I194" i="1"/>
  <c r="I193" i="1" s="1"/>
  <c r="I190" i="1"/>
  <c r="I189" i="1" s="1"/>
  <c r="I186" i="1"/>
  <c r="I185" i="1" s="1"/>
  <c r="I182" i="1"/>
  <c r="I181" i="1" s="1"/>
  <c r="I178" i="1"/>
  <c r="I177" i="1" s="1"/>
  <c r="I176" i="1" s="1"/>
  <c r="I167" i="1"/>
  <c r="I166" i="1" s="1"/>
  <c r="I155" i="1"/>
  <c r="I154" i="1" s="1"/>
  <c r="I152" i="1"/>
  <c r="I150" i="1"/>
  <c r="I144" i="1"/>
  <c r="I143" i="1"/>
  <c r="I142" i="1" s="1"/>
  <c r="I140" i="1"/>
  <c r="I136" i="1"/>
  <c r="I134" i="1"/>
  <c r="I130" i="1"/>
  <c r="I128" i="1"/>
  <c r="I127" i="1"/>
  <c r="I126" i="1" s="1"/>
  <c r="I125" i="1"/>
  <c r="I124" i="1" s="1"/>
  <c r="I120" i="1"/>
  <c r="I119" i="1" s="1"/>
  <c r="I116" i="1"/>
  <c r="I115" i="1" s="1"/>
  <c r="I108" i="1"/>
  <c r="I103" i="1"/>
  <c r="I101" i="1"/>
  <c r="I99" i="1"/>
  <c r="I97" i="1"/>
  <c r="I95" i="1"/>
  <c r="I93" i="1"/>
  <c r="I91" i="1"/>
  <c r="I89" i="1"/>
  <c r="I87" i="1"/>
  <c r="I83" i="1"/>
  <c r="I82" i="1"/>
  <c r="I80" i="1"/>
  <c r="I79" i="1"/>
  <c r="I78" i="1" s="1"/>
  <c r="I72" i="1"/>
  <c r="I66" i="1"/>
  <c r="I65" i="1" s="1"/>
  <c r="I60" i="1"/>
  <c r="I58" i="1"/>
  <c r="I48" i="1"/>
  <c r="I46" i="1"/>
  <c r="I28" i="1"/>
  <c r="I25" i="1"/>
  <c r="I23" i="1"/>
  <c r="I19" i="1"/>
  <c r="I17" i="1"/>
  <c r="I15" i="1"/>
  <c r="I14" i="1" s="1"/>
  <c r="I13" i="1" s="1"/>
  <c r="F561" i="1"/>
  <c r="F557" i="1"/>
  <c r="F555" i="1"/>
  <c r="F553" i="1"/>
  <c r="F551" i="1"/>
  <c r="F549" i="1"/>
  <c r="F547" i="1"/>
  <c r="F540" i="1"/>
  <c r="F536" i="1"/>
  <c r="F534" i="1"/>
  <c r="F532" i="1"/>
  <c r="F531" i="1"/>
  <c r="F529" i="1" s="1"/>
  <c r="F527" i="1"/>
  <c r="F525" i="1" s="1"/>
  <c r="F523" i="1"/>
  <c r="F519" i="1"/>
  <c r="F516" i="1" s="1"/>
  <c r="F513" i="1"/>
  <c r="F512" i="1" s="1"/>
  <c r="F509" i="1"/>
  <c r="F508" i="1" s="1"/>
  <c r="F506" i="1"/>
  <c r="F500" i="1"/>
  <c r="F499" i="1" s="1"/>
  <c r="F498" i="1" s="1"/>
  <c r="F496" i="1"/>
  <c r="F495" i="1" s="1"/>
  <c r="F493" i="1"/>
  <c r="F491" i="1"/>
  <c r="F489" i="1"/>
  <c r="F488" i="1" s="1"/>
  <c r="F487" i="1"/>
  <c r="F486" i="1" s="1"/>
  <c r="F482" i="1"/>
  <c r="F481" i="1"/>
  <c r="F480" i="1" s="1"/>
  <c r="F478" i="1"/>
  <c r="F473" i="1"/>
  <c r="F472" i="1"/>
  <c r="F471" i="1" s="1"/>
  <c r="F467" i="1"/>
  <c r="F466" i="1"/>
  <c r="F465" i="1" s="1"/>
  <c r="F463" i="1"/>
  <c r="F462" i="1" s="1"/>
  <c r="F459" i="1"/>
  <c r="F457" i="1"/>
  <c r="F450" i="1"/>
  <c r="F449" i="1" s="1"/>
  <c r="F446" i="1"/>
  <c r="F445" i="1" s="1"/>
  <c r="F444" i="1" s="1"/>
  <c r="F440" i="1"/>
  <c r="F439" i="1" s="1"/>
  <c r="F438" i="1" s="1"/>
  <c r="F436" i="1"/>
  <c r="F435" i="1" s="1"/>
  <c r="F431" i="1"/>
  <c r="F428" i="1"/>
  <c r="F427" i="1"/>
  <c r="F416" i="1"/>
  <c r="F415" i="1" s="1"/>
  <c r="F409" i="1"/>
  <c r="F408" i="1" s="1"/>
  <c r="F403" i="1"/>
  <c r="F402" i="1" s="1"/>
  <c r="F400" i="1"/>
  <c r="F391" i="1"/>
  <c r="F390" i="1" s="1"/>
  <c r="F388" i="1"/>
  <c r="F387" i="1" s="1"/>
  <c r="F384" i="1"/>
  <c r="F383" i="1" s="1"/>
  <c r="F379" i="1"/>
  <c r="F377" i="1"/>
  <c r="F366" i="1"/>
  <c r="F365" i="1" s="1"/>
  <c r="F364" i="1"/>
  <c r="F363" i="1" s="1"/>
  <c r="F362" i="1"/>
  <c r="F361" i="1" s="1"/>
  <c r="F351" i="1"/>
  <c r="F350" i="1"/>
  <c r="F349" i="1" s="1"/>
  <c r="F348" i="1" s="1"/>
  <c r="F345" i="1"/>
  <c r="F343" i="1"/>
  <c r="F339" i="1"/>
  <c r="F336" i="1"/>
  <c r="F335" i="1" s="1"/>
  <c r="F332" i="1"/>
  <c r="F330" i="1"/>
  <c r="F325" i="1"/>
  <c r="F322" i="1"/>
  <c r="F319" i="1"/>
  <c r="F318" i="1"/>
  <c r="F314" i="1"/>
  <c r="F311" i="1" s="1"/>
  <c r="F310" i="1" s="1"/>
  <c r="F304" i="1"/>
  <c r="F301" i="1"/>
  <c r="F300" i="1" s="1"/>
  <c r="F299" i="1" s="1"/>
  <c r="F294" i="1"/>
  <c r="F293" i="1" s="1"/>
  <c r="F290" i="1"/>
  <c r="F289" i="1" s="1"/>
  <c r="F288" i="1" s="1"/>
  <c r="F287" i="1"/>
  <c r="F285" i="1" s="1"/>
  <c r="F284" i="1" s="1"/>
  <c r="F283" i="1"/>
  <c r="F282" i="1" s="1"/>
  <c r="F278" i="1"/>
  <c r="F277" i="1" s="1"/>
  <c r="F275" i="1"/>
  <c r="F274" i="1" s="1"/>
  <c r="F268" i="1"/>
  <c r="F267" i="1" s="1"/>
  <c r="F266" i="1" s="1"/>
  <c r="F262" i="1"/>
  <c r="F256" i="1"/>
  <c r="F255" i="1" s="1"/>
  <c r="F254" i="1"/>
  <c r="F253" i="1" s="1"/>
  <c r="F251" i="1"/>
  <c r="F249" i="1"/>
  <c r="F248" i="1" s="1"/>
  <c r="F247" i="1" s="1"/>
  <c r="F245" i="1"/>
  <c r="F244" i="1" s="1"/>
  <c r="F240" i="1"/>
  <c r="F239" i="1" s="1"/>
  <c r="F237" i="1"/>
  <c r="F236" i="1" s="1"/>
  <c r="F232" i="1"/>
  <c r="F231" i="1" s="1"/>
  <c r="F228" i="1"/>
  <c r="F227" i="1" s="1"/>
  <c r="F225" i="1"/>
  <c r="F223" i="1"/>
  <c r="F221" i="1"/>
  <c r="F220" i="1" s="1"/>
  <c r="F218" i="1"/>
  <c r="F217" i="1"/>
  <c r="F216" i="1" s="1"/>
  <c r="F209" i="1"/>
  <c r="F207" i="1"/>
  <c r="F202" i="1"/>
  <c r="F201" i="1" s="1"/>
  <c r="F199" i="1"/>
  <c r="F194" i="1"/>
  <c r="F193" i="1" s="1"/>
  <c r="F190" i="1"/>
  <c r="F189" i="1" s="1"/>
  <c r="F186" i="1"/>
  <c r="F185" i="1" s="1"/>
  <c r="F182" i="1"/>
  <c r="F181" i="1" s="1"/>
  <c r="F178" i="1"/>
  <c r="F177" i="1" s="1"/>
  <c r="F176" i="1" s="1"/>
  <c r="F167" i="1"/>
  <c r="F166" i="1" s="1"/>
  <c r="F165" i="1" s="1"/>
  <c r="F155" i="1"/>
  <c r="F154" i="1" s="1"/>
  <c r="F152" i="1"/>
  <c r="F150" i="1"/>
  <c r="F144" i="1"/>
  <c r="F143" i="1"/>
  <c r="F142" i="1" s="1"/>
  <c r="F140" i="1"/>
  <c r="F136" i="1"/>
  <c r="F130" i="1"/>
  <c r="F128" i="1"/>
  <c r="F127" i="1"/>
  <c r="F126" i="1" s="1"/>
  <c r="F125" i="1"/>
  <c r="F124" i="1" s="1"/>
  <c r="F120" i="1"/>
  <c r="F119" i="1" s="1"/>
  <c r="F109" i="1"/>
  <c r="F108" i="1"/>
  <c r="F107" i="1" s="1"/>
  <c r="F103" i="1"/>
  <c r="F101" i="1"/>
  <c r="F99" i="1"/>
  <c r="F97" i="1"/>
  <c r="F95" i="1"/>
  <c r="F93" i="1"/>
  <c r="F91" i="1"/>
  <c r="F89" i="1"/>
  <c r="F87" i="1"/>
  <c r="F83" i="1"/>
  <c r="F82" i="1"/>
  <c r="F80" i="1"/>
  <c r="F79" i="1"/>
  <c r="F78" i="1" s="1"/>
  <c r="F72" i="1"/>
  <c r="F66" i="1"/>
  <c r="F65" i="1" s="1"/>
  <c r="F60" i="1"/>
  <c r="F58" i="1"/>
  <c r="F48" i="1"/>
  <c r="F46" i="1"/>
  <c r="F28" i="1"/>
  <c r="F25" i="1"/>
  <c r="F23" i="1"/>
  <c r="F19" i="1"/>
  <c r="F17" i="1"/>
  <c r="F14" i="1"/>
  <c r="F13" i="1" s="1"/>
  <c r="N816" i="23"/>
  <c r="N814" i="23"/>
  <c r="N812" i="23"/>
  <c r="N811" i="23"/>
  <c r="N809" i="23" s="1"/>
  <c r="N804" i="23"/>
  <c r="N803" i="23" s="1"/>
  <c r="N802" i="23" s="1"/>
  <c r="N801" i="23" s="1"/>
  <c r="N789" i="23"/>
  <c r="N788" i="23" s="1"/>
  <c r="N787" i="23"/>
  <c r="N785" i="23" s="1"/>
  <c r="N784" i="23"/>
  <c r="N783" i="23" s="1"/>
  <c r="N776" i="23"/>
  <c r="N775" i="23" s="1"/>
  <c r="N774" i="23" s="1"/>
  <c r="N773" i="23" s="1"/>
  <c r="N772" i="23" s="1"/>
  <c r="N771" i="23" s="1"/>
  <c r="N770" i="23" s="1"/>
  <c r="N768" i="23"/>
  <c r="N767" i="23" s="1"/>
  <c r="N766" i="23" s="1"/>
  <c r="N765" i="23" s="1"/>
  <c r="N764" i="23" s="1"/>
  <c r="N763" i="23" s="1"/>
  <c r="N748" i="23"/>
  <c r="N746" i="23"/>
  <c r="N744" i="23"/>
  <c r="N731" i="23"/>
  <c r="N730" i="23" s="1"/>
  <c r="N728" i="23"/>
  <c r="N727" i="23" s="1"/>
  <c r="N716" i="23"/>
  <c r="N715" i="23"/>
  <c r="N714" i="23" s="1"/>
  <c r="N713" i="23" s="1"/>
  <c r="N710" i="23"/>
  <c r="N709" i="23" s="1"/>
  <c r="N708" i="23" s="1"/>
  <c r="N707" i="23"/>
  <c r="N706" i="23" s="1"/>
  <c r="N705" i="23" s="1"/>
  <c r="N698" i="23"/>
  <c r="N697" i="23" s="1"/>
  <c r="N696" i="23" s="1"/>
  <c r="N695" i="23" s="1"/>
  <c r="N694" i="23" s="1"/>
  <c r="N693" i="23" s="1"/>
  <c r="N690" i="23"/>
  <c r="N689" i="23" s="1"/>
  <c r="N687" i="23"/>
  <c r="N681" i="23"/>
  <c r="N680" i="23" s="1"/>
  <c r="N679" i="23" s="1"/>
  <c r="N678" i="23" s="1"/>
  <c r="N677" i="23" s="1"/>
  <c r="N676" i="23" s="1"/>
  <c r="N675" i="23" s="1"/>
  <c r="N671" i="23"/>
  <c r="N670" i="23" s="1"/>
  <c r="N667" i="23"/>
  <c r="N666" i="23" s="1"/>
  <c r="N663" i="23"/>
  <c r="N662" i="23" s="1"/>
  <c r="N652" i="23"/>
  <c r="N648" i="23"/>
  <c r="N647" i="23" s="1"/>
  <c r="N642" i="23"/>
  <c r="N641" i="23" s="1"/>
  <c r="N635" i="23"/>
  <c r="N634" i="23" s="1"/>
  <c r="N633" i="23" s="1"/>
  <c r="N632" i="23" s="1"/>
  <c r="N631" i="23" s="1"/>
  <c r="N630" i="23" s="1"/>
  <c r="N622" i="23"/>
  <c r="N618" i="23"/>
  <c r="N616" i="23"/>
  <c r="N614" i="23"/>
  <c r="N610" i="23"/>
  <c r="N609" i="23" s="1"/>
  <c r="N608" i="23" s="1"/>
  <c r="N602" i="23"/>
  <c r="N601" i="23" s="1"/>
  <c r="N600" i="23" s="1"/>
  <c r="N598" i="23"/>
  <c r="N596" i="23"/>
  <c r="N590" i="23"/>
  <c r="N588" i="23"/>
  <c r="N586" i="23"/>
  <c r="N582" i="23"/>
  <c r="N580" i="23"/>
  <c r="N578" i="23"/>
  <c r="N576" i="23"/>
  <c r="N574" i="23"/>
  <c r="N558" i="23"/>
  <c r="N557" i="23" s="1"/>
  <c r="N556" i="23"/>
  <c r="N555" i="23" s="1"/>
  <c r="N541" i="23"/>
  <c r="N540" i="23" s="1"/>
  <c r="N538" i="23"/>
  <c r="N537" i="23" s="1"/>
  <c r="N536" i="23" s="1"/>
  <c r="N534" i="23"/>
  <c r="N533" i="23" s="1"/>
  <c r="N530" i="23"/>
  <c r="N529" i="23" s="1"/>
  <c r="N527" i="23"/>
  <c r="N523" i="23"/>
  <c r="N521" i="23"/>
  <c r="N519" i="23"/>
  <c r="N515" i="23"/>
  <c r="N514" i="23"/>
  <c r="N512" i="23"/>
  <c r="N511" i="23"/>
  <c r="N510" i="23" s="1"/>
  <c r="N503" i="23"/>
  <c r="N502" i="23" s="1"/>
  <c r="N501" i="23" s="1"/>
  <c r="N499" i="23"/>
  <c r="N496" i="23"/>
  <c r="N495" i="23"/>
  <c r="N494" i="23" s="1"/>
  <c r="N485" i="23"/>
  <c r="N484" i="23" s="1"/>
  <c r="N483" i="23" s="1"/>
  <c r="N482" i="23" s="1"/>
  <c r="N481" i="23" s="1"/>
  <c r="N480" i="23" s="1"/>
  <c r="N477" i="23"/>
  <c r="N476" i="23" s="1"/>
  <c r="N475" i="23" s="1"/>
  <c r="N474" i="23" s="1"/>
  <c r="N473" i="23" s="1"/>
  <c r="N471" i="23"/>
  <c r="N470" i="23" s="1"/>
  <c r="N466" i="23"/>
  <c r="N465" i="23" s="1"/>
  <c r="N463" i="23"/>
  <c r="N457" i="23"/>
  <c r="N456" i="23" s="1"/>
  <c r="N455" i="23" s="1"/>
  <c r="N452" i="23"/>
  <c r="N451" i="23" s="1"/>
  <c r="N447" i="23"/>
  <c r="N446" i="23" s="1"/>
  <c r="N445" i="23" s="1"/>
  <c r="N444" i="23" s="1"/>
  <c r="N443" i="23" s="1"/>
  <c r="N442" i="23" s="1"/>
  <c r="N435" i="23"/>
  <c r="N434" i="23" s="1"/>
  <c r="N433" i="23" s="1"/>
  <c r="N432" i="23" s="1"/>
  <c r="N431" i="23" s="1"/>
  <c r="N430" i="23" s="1"/>
  <c r="N423" i="23"/>
  <c r="N422" i="23"/>
  <c r="N414" i="23" s="1"/>
  <c r="N413" i="23" s="1"/>
  <c r="N412" i="23" s="1"/>
  <c r="N411" i="23" s="1"/>
  <c r="N410" i="23" s="1"/>
  <c r="N409" i="23" s="1"/>
  <c r="N398" i="23"/>
  <c r="N397" i="23"/>
  <c r="N396" i="23" s="1"/>
  <c r="N392" i="23"/>
  <c r="N391" i="23"/>
  <c r="N390" i="23" s="1"/>
  <c r="N387" i="23"/>
  <c r="N383" i="23"/>
  <c r="N377" i="23"/>
  <c r="N376" i="23" s="1"/>
  <c r="N367" i="23"/>
  <c r="N365" i="23"/>
  <c r="N351" i="23"/>
  <c r="N350" i="23"/>
  <c r="N349" i="23" s="1"/>
  <c r="N336" i="23"/>
  <c r="N335" i="23" s="1"/>
  <c r="N327" i="23"/>
  <c r="N325" i="23"/>
  <c r="N324" i="23" s="1"/>
  <c r="N317" i="23"/>
  <c r="N316" i="23" s="1"/>
  <c r="N311" i="23"/>
  <c r="N310" i="23" s="1"/>
  <c r="N309" i="23" s="1"/>
  <c r="N297" i="23"/>
  <c r="N295" i="23"/>
  <c r="N292" i="23"/>
  <c r="N290" i="23"/>
  <c r="N283" i="23"/>
  <c r="N281" i="23" s="1"/>
  <c r="N280" i="23" s="1"/>
  <c r="N279" i="23" s="1"/>
  <c r="N276" i="23"/>
  <c r="N273" i="23"/>
  <c r="N272" i="23"/>
  <c r="N270" i="23"/>
  <c r="N266" i="23"/>
  <c r="N264" i="23"/>
  <c r="N259" i="23"/>
  <c r="N258" i="23" s="1"/>
  <c r="N257" i="23"/>
  <c r="N256" i="23" s="1"/>
  <c r="N255" i="23" s="1"/>
  <c r="N250" i="23"/>
  <c r="N248" i="23"/>
  <c r="N247" i="23" s="1"/>
  <c r="N241" i="23"/>
  <c r="N240" i="23" s="1"/>
  <c r="N239" i="23" s="1"/>
  <c r="N231" i="23"/>
  <c r="N230" i="23" s="1"/>
  <c r="N228" i="23"/>
  <c r="N226" i="23"/>
  <c r="N223" i="23"/>
  <c r="N222" i="23"/>
  <c r="N211" i="23"/>
  <c r="N210" i="23" s="1"/>
  <c r="N204" i="23"/>
  <c r="N203" i="23" s="1"/>
  <c r="N202" i="23" s="1"/>
  <c r="N201" i="23" s="1"/>
  <c r="N197" i="23"/>
  <c r="N196" i="23" s="1"/>
  <c r="N195" i="23" s="1"/>
  <c r="N193" i="23"/>
  <c r="N192" i="23" s="1"/>
  <c r="N191" i="23" s="1"/>
  <c r="N190" i="23" s="1"/>
  <c r="N188" i="23"/>
  <c r="N186" i="23"/>
  <c r="N184" i="23"/>
  <c r="N182" i="23"/>
  <c r="N179" i="23"/>
  <c r="N178" i="23" s="1"/>
  <c r="N171" i="23"/>
  <c r="N170" i="23" s="1"/>
  <c r="N169" i="23" s="1"/>
  <c r="N167" i="23"/>
  <c r="N164" i="23"/>
  <c r="N160" i="23"/>
  <c r="N156" i="23"/>
  <c r="N154" i="23"/>
  <c r="N147" i="23"/>
  <c r="N145" i="23"/>
  <c r="N143" i="23"/>
  <c r="N142" i="23" s="1"/>
  <c r="N141" i="23"/>
  <c r="N140" i="23" s="1"/>
  <c r="N133" i="23"/>
  <c r="N132" i="23"/>
  <c r="N131" i="23" s="1"/>
  <c r="N129" i="23"/>
  <c r="N121" i="23"/>
  <c r="N120" i="23" s="1"/>
  <c r="N119" i="23" s="1"/>
  <c r="N118" i="23" s="1"/>
  <c r="N117" i="23" s="1"/>
  <c r="N116" i="23" s="1"/>
  <c r="N115" i="23" s="1"/>
  <c r="N113" i="23"/>
  <c r="N111" i="23"/>
  <c r="N110" i="23"/>
  <c r="N105" i="23"/>
  <c r="N98" i="23"/>
  <c r="N97" i="23" s="1"/>
  <c r="N94" i="23"/>
  <c r="N93" i="23" s="1"/>
  <c r="N92" i="23" s="1"/>
  <c r="N87" i="23"/>
  <c r="N86" i="23" s="1"/>
  <c r="N83" i="23"/>
  <c r="N82" i="23" s="1"/>
  <c r="N81" i="23" s="1"/>
  <c r="N79" i="23"/>
  <c r="N77" i="23"/>
  <c r="N74" i="23"/>
  <c r="N73" i="23" s="1"/>
  <c r="N62" i="23"/>
  <c r="N61" i="23" s="1"/>
  <c r="N60" i="23" s="1"/>
  <c r="N59" i="23" s="1"/>
  <c r="N58" i="23" s="1"/>
  <c r="N57" i="23" s="1"/>
  <c r="N52" i="23"/>
  <c r="N47" i="23"/>
  <c r="N46" i="23" s="1"/>
  <c r="N45" i="23" s="1"/>
  <c r="N40" i="23"/>
  <c r="N37" i="23"/>
  <c r="N35" i="23"/>
  <c r="N32" i="23"/>
  <c r="N29" i="23"/>
  <c r="N17" i="23"/>
  <c r="N16" i="23" s="1"/>
  <c r="N15" i="23" s="1"/>
  <c r="N14" i="23" s="1"/>
  <c r="N13" i="23" s="1"/>
  <c r="N12" i="23" s="1"/>
  <c r="K816" i="23"/>
  <c r="K814" i="23"/>
  <c r="K812" i="23"/>
  <c r="K811" i="23"/>
  <c r="K809" i="23" s="1"/>
  <c r="K804" i="23"/>
  <c r="K803" i="23" s="1"/>
  <c r="K802" i="23" s="1"/>
  <c r="K801" i="23" s="1"/>
  <c r="K789" i="23"/>
  <c r="K788" i="23" s="1"/>
  <c r="K785" i="23"/>
  <c r="K782" i="23" s="1"/>
  <c r="K776" i="23"/>
  <c r="K775" i="23" s="1"/>
  <c r="K774" i="23" s="1"/>
  <c r="K773" i="23" s="1"/>
  <c r="K772" i="23" s="1"/>
  <c r="K771" i="23" s="1"/>
  <c r="K770" i="23" s="1"/>
  <c r="K768" i="23"/>
  <c r="K767" i="23" s="1"/>
  <c r="K766" i="23" s="1"/>
  <c r="K765" i="23" s="1"/>
  <c r="K764" i="23" s="1"/>
  <c r="K763" i="23" s="1"/>
  <c r="K749" i="23"/>
  <c r="K748" i="23" s="1"/>
  <c r="K747" i="23"/>
  <c r="K746" i="23" s="1"/>
  <c r="K744" i="23"/>
  <c r="K731" i="23"/>
  <c r="K730" i="23" s="1"/>
  <c r="K728" i="23"/>
  <c r="K727" i="23" s="1"/>
  <c r="K718" i="23"/>
  <c r="K717" i="23" s="1"/>
  <c r="K715" i="23"/>
  <c r="K714" i="23" s="1"/>
  <c r="K713" i="23" s="1"/>
  <c r="K710" i="23"/>
  <c r="K709" i="23" s="1"/>
  <c r="K708" i="23" s="1"/>
  <c r="K707" i="23"/>
  <c r="K706" i="23" s="1"/>
  <c r="K705" i="23" s="1"/>
  <c r="K698" i="23"/>
  <c r="K697" i="23" s="1"/>
  <c r="K696" i="23" s="1"/>
  <c r="K695" i="23" s="1"/>
  <c r="K694" i="23" s="1"/>
  <c r="K693" i="23" s="1"/>
  <c r="K692" i="23"/>
  <c r="K690" i="23" s="1"/>
  <c r="K689" i="23" s="1"/>
  <c r="K688" i="23"/>
  <c r="K687" i="23" s="1"/>
  <c r="K681" i="23"/>
  <c r="K680" i="23" s="1"/>
  <c r="K679" i="23" s="1"/>
  <c r="K678" i="23" s="1"/>
  <c r="K677" i="23" s="1"/>
  <c r="K676" i="23" s="1"/>
  <c r="K675" i="23" s="1"/>
  <c r="K671" i="23"/>
  <c r="K670" i="23" s="1"/>
  <c r="K667" i="23"/>
  <c r="K666" i="23" s="1"/>
  <c r="K664" i="23"/>
  <c r="K663" i="23" s="1"/>
  <c r="K662" i="23" s="1"/>
  <c r="K652" i="23"/>
  <c r="K649" i="23"/>
  <c r="K648" i="23" s="1"/>
  <c r="K647" i="23" s="1"/>
  <c r="K642" i="23"/>
  <c r="K641" i="23" s="1"/>
  <c r="K635" i="23"/>
  <c r="K634" i="23" s="1"/>
  <c r="K633" i="23" s="1"/>
  <c r="K632" i="23" s="1"/>
  <c r="K631" i="23" s="1"/>
  <c r="K630" i="23" s="1"/>
  <c r="K622" i="23"/>
  <c r="K621" i="23" s="1"/>
  <c r="K620" i="23" s="1"/>
  <c r="K618" i="23"/>
  <c r="K616" i="23"/>
  <c r="K614" i="23"/>
  <c r="K610" i="23"/>
  <c r="K609" i="23" s="1"/>
  <c r="K608" i="23" s="1"/>
  <c r="K602" i="23"/>
  <c r="K601" i="23" s="1"/>
  <c r="K600" i="23" s="1"/>
  <c r="K598" i="23"/>
  <c r="K596" i="23"/>
  <c r="K590" i="23"/>
  <c r="K588" i="23"/>
  <c r="K586" i="23"/>
  <c r="K582" i="23"/>
  <c r="K580" i="23"/>
  <c r="K576" i="23"/>
  <c r="K574" i="23"/>
  <c r="K570" i="23"/>
  <c r="K568" i="23" s="1"/>
  <c r="K567" i="23" s="1"/>
  <c r="K566" i="23" s="1"/>
  <c r="K565" i="23" s="1"/>
  <c r="K560" i="23" s="1"/>
  <c r="K559" i="23" s="1"/>
  <c r="K558" i="23"/>
  <c r="K557" i="23" s="1"/>
  <c r="K556" i="23"/>
  <c r="K555" i="23" s="1"/>
  <c r="K543" i="23"/>
  <c r="K542" i="23" s="1"/>
  <c r="K538" i="23"/>
  <c r="K537" i="23" s="1"/>
  <c r="K536" i="23" s="1"/>
  <c r="K534" i="23"/>
  <c r="K533" i="23" s="1"/>
  <c r="K530" i="23"/>
  <c r="K529" i="23" s="1"/>
  <c r="K527" i="23"/>
  <c r="K523" i="23"/>
  <c r="K521" i="23"/>
  <c r="K519" i="23"/>
  <c r="K515" i="23"/>
  <c r="K514" i="23"/>
  <c r="K512" i="23"/>
  <c r="K511" i="23"/>
  <c r="K510" i="23" s="1"/>
  <c r="K503" i="23"/>
  <c r="K502" i="23" s="1"/>
  <c r="K501" i="23" s="1"/>
  <c r="K499" i="23"/>
  <c r="K496" i="23"/>
  <c r="K495" i="23"/>
  <c r="K494" i="23" s="1"/>
  <c r="K486" i="23"/>
  <c r="K485" i="23" s="1"/>
  <c r="K484" i="23" s="1"/>
  <c r="K483" i="23" s="1"/>
  <c r="K482" i="23" s="1"/>
  <c r="K481" i="23" s="1"/>
  <c r="K480" i="23" s="1"/>
  <c r="K477" i="23"/>
  <c r="K476" i="23" s="1"/>
  <c r="K475" i="23" s="1"/>
  <c r="K474" i="23" s="1"/>
  <c r="K473" i="23" s="1"/>
  <c r="K471" i="23"/>
  <c r="K470" i="23" s="1"/>
  <c r="K463" i="23"/>
  <c r="K462" i="23" s="1"/>
  <c r="K457" i="23"/>
  <c r="K456" i="23" s="1"/>
  <c r="K455" i="23" s="1"/>
  <c r="K452" i="23"/>
  <c r="K451" i="23" s="1"/>
  <c r="K447" i="23"/>
  <c r="K446" i="23" s="1"/>
  <c r="K445" i="23" s="1"/>
  <c r="K444" i="23" s="1"/>
  <c r="K443" i="23" s="1"/>
  <c r="K442" i="23" s="1"/>
  <c r="K416" i="23"/>
  <c r="K415" i="23"/>
  <c r="K414" i="23" s="1"/>
  <c r="K413" i="23" s="1"/>
  <c r="K412" i="23" s="1"/>
  <c r="K411" i="23" s="1"/>
  <c r="K410" i="23" s="1"/>
  <c r="K409" i="23" s="1"/>
  <c r="K398" i="23"/>
  <c r="K397" i="23"/>
  <c r="K396" i="23" s="1"/>
  <c r="K387" i="23"/>
  <c r="K384" i="23"/>
  <c r="K383" i="23" s="1"/>
  <c r="K377" i="23"/>
  <c r="K376" i="23" s="1"/>
  <c r="K367" i="23"/>
  <c r="K365" i="23"/>
  <c r="K351" i="23"/>
  <c r="K350" i="23"/>
  <c r="K349" i="23" s="1"/>
  <c r="K336" i="23"/>
  <c r="K335" i="23" s="1"/>
  <c r="K330" i="23"/>
  <c r="K329" i="23" s="1"/>
  <c r="K327" i="23"/>
  <c r="K324" i="23"/>
  <c r="K318" i="23"/>
  <c r="K317" i="23" s="1"/>
  <c r="K316" i="23" s="1"/>
  <c r="K311" i="23"/>
  <c r="K310" i="23" s="1"/>
  <c r="K309" i="23" s="1"/>
  <c r="K307" i="23"/>
  <c r="K306" i="23" s="1"/>
  <c r="K305" i="23" s="1"/>
  <c r="K304" i="23" s="1"/>
  <c r="K303" i="23" s="1"/>
  <c r="K300" i="23"/>
  <c r="K299" i="23" s="1"/>
  <c r="K297" i="23"/>
  <c r="K295" i="23"/>
  <c r="K292" i="23"/>
  <c r="K290" i="23"/>
  <c r="K283" i="23"/>
  <c r="K281" i="23" s="1"/>
  <c r="K280" i="23" s="1"/>
  <c r="K279" i="23" s="1"/>
  <c r="K276" i="23"/>
  <c r="K273" i="23"/>
  <c r="K272" i="23"/>
  <c r="K270" i="23"/>
  <c r="K266" i="23"/>
  <c r="K264" i="23"/>
  <c r="K259" i="23"/>
  <c r="K258" i="23" s="1"/>
  <c r="K257" i="23"/>
  <c r="K256" i="23" s="1"/>
  <c r="K255" i="23" s="1"/>
  <c r="K250" i="23"/>
  <c r="K248" i="23"/>
  <c r="K247" i="23" s="1"/>
  <c r="K241" i="23"/>
  <c r="K240" i="23" s="1"/>
  <c r="K239" i="23" s="1"/>
  <c r="K235" i="23"/>
  <c r="K234" i="23" s="1"/>
  <c r="K233" i="23" s="1"/>
  <c r="K230" i="23"/>
  <c r="K228" i="23"/>
  <c r="K226" i="23"/>
  <c r="K223" i="23"/>
  <c r="K222" i="23"/>
  <c r="K211" i="23"/>
  <c r="K210" i="23" s="1"/>
  <c r="K204" i="23"/>
  <c r="K203" i="23" s="1"/>
  <c r="K202" i="23" s="1"/>
  <c r="K201" i="23" s="1"/>
  <c r="K197" i="23"/>
  <c r="K196" i="23" s="1"/>
  <c r="K195" i="23" s="1"/>
  <c r="K193" i="23"/>
  <c r="K192" i="23" s="1"/>
  <c r="K191" i="23" s="1"/>
  <c r="K190" i="23" s="1"/>
  <c r="K188" i="23"/>
  <c r="K186" i="23"/>
  <c r="K184" i="23"/>
  <c r="K182" i="23"/>
  <c r="K179" i="23"/>
  <c r="K178" i="23" s="1"/>
  <c r="K171" i="23"/>
  <c r="K170" i="23" s="1"/>
  <c r="K169" i="23" s="1"/>
  <c r="K167" i="23"/>
  <c r="K164" i="23"/>
  <c r="K160" i="23"/>
  <c r="K156" i="23"/>
  <c r="K154" i="23"/>
  <c r="K147" i="23"/>
  <c r="K145" i="23"/>
  <c r="K143" i="23"/>
  <c r="K142" i="23" s="1"/>
  <c r="K141" i="23"/>
  <c r="K140" i="23" s="1"/>
  <c r="K133" i="23"/>
  <c r="K132" i="23"/>
  <c r="K131" i="23" s="1"/>
  <c r="K129" i="23"/>
  <c r="K121" i="23"/>
  <c r="K120" i="23" s="1"/>
  <c r="K119" i="23" s="1"/>
  <c r="K118" i="23" s="1"/>
  <c r="K117" i="23" s="1"/>
  <c r="K116" i="23" s="1"/>
  <c r="K115" i="23" s="1"/>
  <c r="K113" i="23"/>
  <c r="K111" i="23"/>
  <c r="K110" i="23"/>
  <c r="K105" i="23"/>
  <c r="K100" i="23"/>
  <c r="K99" i="23" s="1"/>
  <c r="K98" i="23" s="1"/>
  <c r="K97" i="23" s="1"/>
  <c r="K94" i="23"/>
  <c r="K93" i="23" s="1"/>
  <c r="K92" i="23" s="1"/>
  <c r="K90" i="23"/>
  <c r="K88" i="23"/>
  <c r="K83" i="23"/>
  <c r="K82" i="23" s="1"/>
  <c r="K81" i="23" s="1"/>
  <c r="K79" i="23"/>
  <c r="K77" i="23"/>
  <c r="K75" i="23"/>
  <c r="K74" i="23" s="1"/>
  <c r="K73" i="23" s="1"/>
  <c r="K62" i="23"/>
  <c r="K61" i="23" s="1"/>
  <c r="K60" i="23" s="1"/>
  <c r="K59" i="23" s="1"/>
  <c r="K58" i="23" s="1"/>
  <c r="K57" i="23" s="1"/>
  <c r="K52" i="23"/>
  <c r="K47" i="23"/>
  <c r="K46" i="23" s="1"/>
  <c r="K45" i="23" s="1"/>
  <c r="K40" i="23"/>
  <c r="K37" i="23"/>
  <c r="K35" i="23"/>
  <c r="K32" i="23"/>
  <c r="K29" i="23"/>
  <c r="K17" i="23"/>
  <c r="K16" i="23" s="1"/>
  <c r="K15" i="23" s="1"/>
  <c r="K14" i="23" s="1"/>
  <c r="K13" i="23" s="1"/>
  <c r="K12" i="23" s="1"/>
  <c r="H816" i="23"/>
  <c r="H814" i="23"/>
  <c r="H812" i="23"/>
  <c r="H811" i="23"/>
  <c r="H809" i="23" s="1"/>
  <c r="H804" i="23"/>
  <c r="H803" i="23" s="1"/>
  <c r="H802" i="23" s="1"/>
  <c r="H801" i="23" s="1"/>
  <c r="H789" i="23"/>
  <c r="H788" i="23" s="1"/>
  <c r="H785" i="23"/>
  <c r="H782" i="23" s="1"/>
  <c r="H776" i="23"/>
  <c r="H775" i="23" s="1"/>
  <c r="H774" i="23" s="1"/>
  <c r="H773" i="23" s="1"/>
  <c r="H772" i="23" s="1"/>
  <c r="H771" i="23" s="1"/>
  <c r="H770" i="23" s="1"/>
  <c r="H768" i="23"/>
  <c r="H767" i="23" s="1"/>
  <c r="H766" i="23" s="1"/>
  <c r="H765" i="23" s="1"/>
  <c r="H764" i="23" s="1"/>
  <c r="H763" i="23" s="1"/>
  <c r="H749" i="23"/>
  <c r="H748" i="23" s="1"/>
  <c r="H747" i="23"/>
  <c r="H746" i="23" s="1"/>
  <c r="H744" i="23"/>
  <c r="H731" i="23"/>
  <c r="H730" i="23" s="1"/>
  <c r="H728" i="23"/>
  <c r="H727" i="23" s="1"/>
  <c r="H720" i="23"/>
  <c r="H718" i="23" s="1"/>
  <c r="H717" i="23" s="1"/>
  <c r="H716" i="23" s="1"/>
  <c r="H714" i="23"/>
  <c r="H713" i="23" s="1"/>
  <c r="H709" i="23"/>
  <c r="H708" i="23" s="1"/>
  <c r="H698" i="23"/>
  <c r="H697" i="23" s="1"/>
  <c r="H696" i="23" s="1"/>
  <c r="H695" i="23" s="1"/>
  <c r="H694" i="23" s="1"/>
  <c r="H693" i="23" s="1"/>
  <c r="H692" i="23"/>
  <c r="H690" i="23" s="1"/>
  <c r="H689" i="23" s="1"/>
  <c r="H688" i="23"/>
  <c r="H687" i="23" s="1"/>
  <c r="H681" i="23"/>
  <c r="H680" i="23" s="1"/>
  <c r="H679" i="23" s="1"/>
  <c r="H678" i="23" s="1"/>
  <c r="H677" i="23" s="1"/>
  <c r="H676" i="23" s="1"/>
  <c r="H675" i="23" s="1"/>
  <c r="H671" i="23"/>
  <c r="H670" i="23" s="1"/>
  <c r="H667" i="23"/>
  <c r="H666" i="23" s="1"/>
  <c r="H663" i="23"/>
  <c r="H662" i="23" s="1"/>
  <c r="H652" i="23"/>
  <c r="H649" i="23"/>
  <c r="H648" i="23" s="1"/>
  <c r="H647" i="23" s="1"/>
  <c r="H642" i="23"/>
  <c r="H641" i="23" s="1"/>
  <c r="H635" i="23"/>
  <c r="H634" i="23" s="1"/>
  <c r="H633" i="23" s="1"/>
  <c r="H632" i="23" s="1"/>
  <c r="H631" i="23" s="1"/>
  <c r="H630" i="23" s="1"/>
  <c r="H622" i="23"/>
  <c r="H618" i="23"/>
  <c r="H616" i="23"/>
  <c r="H614" i="23"/>
  <c r="H610" i="23"/>
  <c r="H609" i="23" s="1"/>
  <c r="H608" i="23" s="1"/>
  <c r="H602" i="23"/>
  <c r="H601" i="23" s="1"/>
  <c r="H600" i="23" s="1"/>
  <c r="H598" i="23"/>
  <c r="H596" i="23"/>
  <c r="H590" i="23"/>
  <c r="H588" i="23"/>
  <c r="H586" i="23"/>
  <c r="H582" i="23"/>
  <c r="H580" i="23"/>
  <c r="H576" i="23"/>
  <c r="H574" i="23"/>
  <c r="H570" i="23"/>
  <c r="H568" i="23" s="1"/>
  <c r="H567" i="23" s="1"/>
  <c r="H566" i="23" s="1"/>
  <c r="H565" i="23" s="1"/>
  <c r="H558" i="23"/>
  <c r="H557" i="23" s="1"/>
  <c r="H556" i="23"/>
  <c r="H555" i="23" s="1"/>
  <c r="H543" i="23"/>
  <c r="H542" i="23" s="1"/>
  <c r="H541" i="23" s="1"/>
  <c r="H538" i="23"/>
  <c r="H537" i="23" s="1"/>
  <c r="H536" i="23" s="1"/>
  <c r="H534" i="23"/>
  <c r="H533" i="23" s="1"/>
  <c r="H530" i="23"/>
  <c r="H529" i="23" s="1"/>
  <c r="H527" i="23"/>
  <c r="H523" i="23"/>
  <c r="H521" i="23"/>
  <c r="H519" i="23"/>
  <c r="H515" i="23"/>
  <c r="H514" i="23"/>
  <c r="H512" i="23"/>
  <c r="H511" i="23"/>
  <c r="H510" i="23" s="1"/>
  <c r="H503" i="23"/>
  <c r="H502" i="23" s="1"/>
  <c r="H501" i="23" s="1"/>
  <c r="H499" i="23"/>
  <c r="H496" i="23"/>
  <c r="H495" i="23"/>
  <c r="H494" i="23" s="1"/>
  <c r="H485" i="23"/>
  <c r="H484" i="23" s="1"/>
  <c r="H483" i="23" s="1"/>
  <c r="H482" i="23" s="1"/>
  <c r="H481" i="23" s="1"/>
  <c r="H480" i="23" s="1"/>
  <c r="H477" i="23"/>
  <c r="H476" i="23" s="1"/>
  <c r="H475" i="23" s="1"/>
  <c r="H474" i="23" s="1"/>
  <c r="H473" i="23" s="1"/>
  <c r="H471" i="23"/>
  <c r="H470" i="23" s="1"/>
  <c r="H466" i="23"/>
  <c r="H465" i="23" s="1"/>
  <c r="H463" i="23"/>
  <c r="H457" i="23"/>
  <c r="H456" i="23" s="1"/>
  <c r="H455" i="23" s="1"/>
  <c r="H452" i="23"/>
  <c r="H451" i="23" s="1"/>
  <c r="H447" i="23"/>
  <c r="H446" i="23" s="1"/>
  <c r="H445" i="23" s="1"/>
  <c r="H444" i="23" s="1"/>
  <c r="H443" i="23" s="1"/>
  <c r="H442" i="23" s="1"/>
  <c r="H438" i="23"/>
  <c r="H437" i="23" s="1"/>
  <c r="H435" i="23" s="1"/>
  <c r="H434" i="23" s="1"/>
  <c r="H433" i="23" s="1"/>
  <c r="H432" i="23" s="1"/>
  <c r="H431" i="23" s="1"/>
  <c r="H430" i="23" s="1"/>
  <c r="H416" i="23"/>
  <c r="H415" i="23"/>
  <c r="H414" i="23" s="1"/>
  <c r="H413" i="23" s="1"/>
  <c r="H412" i="23" s="1"/>
  <c r="H411" i="23" s="1"/>
  <c r="H410" i="23" s="1"/>
  <c r="H409" i="23" s="1"/>
  <c r="H407" i="23"/>
  <c r="H406" i="23" s="1"/>
  <c r="H405" i="23" s="1"/>
  <c r="H404" i="23" s="1"/>
  <c r="H403" i="23" s="1"/>
  <c r="H402" i="23" s="1"/>
  <c r="H401" i="23" s="1"/>
  <c r="H398" i="23"/>
  <c r="H397" i="23"/>
  <c r="H396" i="23" s="1"/>
  <c r="H392" i="23"/>
  <c r="H391" i="23"/>
  <c r="H390" i="23" s="1"/>
  <c r="H388" i="23"/>
  <c r="H387" i="23" s="1"/>
  <c r="H384" i="23"/>
  <c r="H383" i="23" s="1"/>
  <c r="H380" i="23"/>
  <c r="H379" i="23" s="1"/>
  <c r="H377" i="23"/>
  <c r="H368" i="23"/>
  <c r="H367" i="23" s="1"/>
  <c r="H366" i="23"/>
  <c r="H365" i="23" s="1"/>
  <c r="H362" i="23"/>
  <c r="H361" i="23" s="1"/>
  <c r="H351" i="23"/>
  <c r="H350" i="23"/>
  <c r="H349" i="23" s="1"/>
  <c r="H336" i="23"/>
  <c r="H335" i="23" s="1"/>
  <c r="H330" i="23"/>
  <c r="H329" i="23" s="1"/>
  <c r="H318" i="23"/>
  <c r="H317" i="23" s="1"/>
  <c r="H316" i="23" s="1"/>
  <c r="H311" i="23"/>
  <c r="H310" i="23" s="1"/>
  <c r="H309" i="23" s="1"/>
  <c r="H305" i="23"/>
  <c r="H304" i="23" s="1"/>
  <c r="H303" i="23" s="1"/>
  <c r="H295" i="23"/>
  <c r="H293" i="23"/>
  <c r="H292" i="23" s="1"/>
  <c r="H290" i="23"/>
  <c r="H283" i="23"/>
  <c r="H281" i="23" s="1"/>
  <c r="H280" i="23" s="1"/>
  <c r="H279" i="23" s="1"/>
  <c r="H277" i="23"/>
  <c r="H276" i="23" s="1"/>
  <c r="H273" i="23"/>
  <c r="H272" i="23" s="1"/>
  <c r="H270" i="23"/>
  <c r="H266" i="23"/>
  <c r="H264" i="23"/>
  <c r="H259" i="23"/>
  <c r="H258" i="23" s="1"/>
  <c r="H257" i="23"/>
  <c r="H256" i="23" s="1"/>
  <c r="H255" i="23" s="1"/>
  <c r="H250" i="23"/>
  <c r="H248" i="23"/>
  <c r="H241" i="23"/>
  <c r="H240" i="23" s="1"/>
  <c r="H235" i="23"/>
  <c r="H234" i="23" s="1"/>
  <c r="H233" i="23" s="1"/>
  <c r="H230" i="23"/>
  <c r="H226" i="23"/>
  <c r="H223" i="23"/>
  <c r="H222" i="23"/>
  <c r="H211" i="23"/>
  <c r="H210" i="23" s="1"/>
  <c r="H204" i="23"/>
  <c r="H203" i="23" s="1"/>
  <c r="H202" i="23" s="1"/>
  <c r="H201" i="23" s="1"/>
  <c r="H197" i="23"/>
  <c r="H196" i="23" s="1"/>
  <c r="H195" i="23" s="1"/>
  <c r="H193" i="23"/>
  <c r="H192" i="23" s="1"/>
  <c r="H191" i="23" s="1"/>
  <c r="H190" i="23" s="1"/>
  <c r="H188" i="23"/>
  <c r="H186" i="23"/>
  <c r="H184" i="23"/>
  <c r="H182" i="23"/>
  <c r="H179" i="23"/>
  <c r="H178" i="23" s="1"/>
  <c r="H171" i="23"/>
  <c r="H170" i="23" s="1"/>
  <c r="H169" i="23" s="1"/>
  <c r="H167" i="23"/>
  <c r="H164" i="23"/>
  <c r="H161" i="23"/>
  <c r="H160" i="23"/>
  <c r="H156" i="23"/>
  <c r="H154" i="23"/>
  <c r="H147" i="23"/>
  <c r="H145" i="23"/>
  <c r="H143" i="23"/>
  <c r="H142" i="23" s="1"/>
  <c r="H141" i="23"/>
  <c r="H140" i="23" s="1"/>
  <c r="H133" i="23"/>
  <c r="H132" i="23"/>
  <c r="H131" i="23" s="1"/>
  <c r="H129" i="23"/>
  <c r="H121" i="23"/>
  <c r="H120" i="23" s="1"/>
  <c r="H119" i="23" s="1"/>
  <c r="H118" i="23" s="1"/>
  <c r="H117" i="23" s="1"/>
  <c r="H116" i="23" s="1"/>
  <c r="H115" i="23" s="1"/>
  <c r="H113" i="23"/>
  <c r="H111" i="23"/>
  <c r="H109" i="23"/>
  <c r="H105" i="23"/>
  <c r="H100" i="23"/>
  <c r="H99" i="23" s="1"/>
  <c r="H98" i="23" s="1"/>
  <c r="H97" i="23" s="1"/>
  <c r="H94" i="23"/>
  <c r="H93" i="23" s="1"/>
  <c r="H92" i="23" s="1"/>
  <c r="H90" i="23"/>
  <c r="H88" i="23"/>
  <c r="H83" i="23"/>
  <c r="H82" i="23" s="1"/>
  <c r="H81" i="23" s="1"/>
  <c r="H79" i="23"/>
  <c r="H77" i="23"/>
  <c r="H74" i="23"/>
  <c r="H73" i="23" s="1"/>
  <c r="H62" i="23"/>
  <c r="H61" i="23" s="1"/>
  <c r="H60" i="23" s="1"/>
  <c r="H59" i="23" s="1"/>
  <c r="H58" i="23" s="1"/>
  <c r="H57" i="23" s="1"/>
  <c r="H52" i="23"/>
  <c r="H47" i="23"/>
  <c r="H46" i="23" s="1"/>
  <c r="H45" i="23" s="1"/>
  <c r="H40" i="23"/>
  <c r="H37" i="23"/>
  <c r="H35" i="23"/>
  <c r="H32" i="23"/>
  <c r="H29" i="23"/>
  <c r="H17" i="23"/>
  <c r="H16" i="23" s="1"/>
  <c r="H15" i="23" s="1"/>
  <c r="H14" i="23" s="1"/>
  <c r="H13" i="23" s="1"/>
  <c r="H12" i="23" s="1"/>
  <c r="K386" i="23" l="1"/>
  <c r="F376" i="1"/>
  <c r="F522" i="1"/>
  <c r="F515" i="1" s="1"/>
  <c r="H376" i="23"/>
  <c r="K356" i="23"/>
  <c r="H356" i="23"/>
  <c r="F356" i="1"/>
  <c r="F260" i="1"/>
  <c r="F259" i="1" s="1"/>
  <c r="F258" i="1"/>
  <c r="I266" i="1"/>
  <c r="H621" i="23"/>
  <c r="H620" i="23" s="1"/>
  <c r="I22" i="1"/>
  <c r="I21" i="1" s="1"/>
  <c r="I522" i="1"/>
  <c r="I515" i="1" s="1"/>
  <c r="F22" i="1"/>
  <c r="F21" i="1" s="1"/>
  <c r="L22" i="1"/>
  <c r="L21" i="1" s="1"/>
  <c r="L522" i="1"/>
  <c r="I198" i="1"/>
  <c r="H51" i="23"/>
  <c r="H50" i="23" s="1"/>
  <c r="H540" i="23"/>
  <c r="H808" i="23"/>
  <c r="H807" i="23" s="1"/>
  <c r="H806" i="23" s="1"/>
  <c r="K808" i="23"/>
  <c r="K807" i="23" s="1"/>
  <c r="K806" i="23" s="1"/>
  <c r="N808" i="23"/>
  <c r="N807" i="23" s="1"/>
  <c r="N806" i="23" s="1"/>
  <c r="K51" i="23"/>
  <c r="K50" i="23" s="1"/>
  <c r="N51" i="23"/>
  <c r="N50" i="23" s="1"/>
  <c r="F64" i="1"/>
  <c r="F63" i="1" s="1"/>
  <c r="I64" i="1"/>
  <c r="I63" i="1" s="1"/>
  <c r="I149" i="1"/>
  <c r="I148" i="1" s="1"/>
  <c r="I311" i="1"/>
  <c r="I310" i="1" s="1"/>
  <c r="I426" i="1"/>
  <c r="N289" i="23"/>
  <c r="N288" i="23" s="1"/>
  <c r="N287" i="23" s="1"/>
  <c r="N286" i="23" s="1"/>
  <c r="N450" i="23"/>
  <c r="N449" i="23" s="1"/>
  <c r="N573" i="23"/>
  <c r="N572" i="23" s="1"/>
  <c r="K321" i="23"/>
  <c r="K320" i="23" s="1"/>
  <c r="K315" i="23" s="1"/>
  <c r="K314" i="23" s="1"/>
  <c r="K313" i="23" s="1"/>
  <c r="N221" i="23"/>
  <c r="N254" i="23"/>
  <c r="N263" i="23"/>
  <c r="N262" i="23" s="1"/>
  <c r="N261" i="23" s="1"/>
  <c r="N269" i="23"/>
  <c r="N268" i="23" s="1"/>
  <c r="N321" i="23"/>
  <c r="N320" i="23" s="1"/>
  <c r="N315" i="23" s="1"/>
  <c r="N314" i="23" s="1"/>
  <c r="N313" i="23" s="1"/>
  <c r="H254" i="23"/>
  <c r="H269" i="23"/>
  <c r="H268" i="23" s="1"/>
  <c r="N24" i="23"/>
  <c r="N23" i="23" s="1"/>
  <c r="N22" i="23" s="1"/>
  <c r="F164" i="1"/>
  <c r="I165" i="1"/>
  <c r="I164" i="1" s="1"/>
  <c r="H76" i="23"/>
  <c r="H72" i="23" s="1"/>
  <c r="H87" i="23"/>
  <c r="H86" i="23" s="1"/>
  <c r="H153" i="23"/>
  <c r="H152" i="23" s="1"/>
  <c r="H518" i="23"/>
  <c r="K263" i="23"/>
  <c r="K262" i="23" s="1"/>
  <c r="K261" i="23" s="1"/>
  <c r="K269" i="23"/>
  <c r="K268" i="23" s="1"/>
  <c r="K541" i="23"/>
  <c r="K540" i="23" s="1"/>
  <c r="K585" i="23"/>
  <c r="K584" i="23" s="1"/>
  <c r="H686" i="23"/>
  <c r="H685" i="23" s="1"/>
  <c r="H684" i="23" s="1"/>
  <c r="H683" i="23" s="1"/>
  <c r="H682" i="23" s="1"/>
  <c r="H674" i="23" s="1"/>
  <c r="K159" i="23"/>
  <c r="K158" i="23" s="1"/>
  <c r="N181" i="23"/>
  <c r="N177" i="23" s="1"/>
  <c r="N176" i="23" s="1"/>
  <c r="N175" i="23" s="1"/>
  <c r="N174" i="23" s="1"/>
  <c r="N462" i="23"/>
  <c r="N461" i="23" s="1"/>
  <c r="N460" i="23" s="1"/>
  <c r="N459" i="23" s="1"/>
  <c r="N743" i="23"/>
  <c r="N742" i="23" s="1"/>
  <c r="N741" i="23" s="1"/>
  <c r="H24" i="23"/>
  <c r="H23" i="23" s="1"/>
  <c r="H22" i="23" s="1"/>
  <c r="H263" i="23"/>
  <c r="H262" i="23" s="1"/>
  <c r="H261" i="23" s="1"/>
  <c r="H386" i="23"/>
  <c r="K24" i="23"/>
  <c r="K23" i="23" s="1"/>
  <c r="K22" i="23" s="1"/>
  <c r="K76" i="23"/>
  <c r="K72" i="23" s="1"/>
  <c r="K221" i="23"/>
  <c r="K209" i="23" s="1"/>
  <c r="K355" i="23"/>
  <c r="K348" i="23" s="1"/>
  <c r="K493" i="23"/>
  <c r="K492" i="23" s="1"/>
  <c r="K491" i="23" s="1"/>
  <c r="K490" i="23" s="1"/>
  <c r="K489" i="23" s="1"/>
  <c r="N159" i="23"/>
  <c r="N158" i="23" s="1"/>
  <c r="N509" i="23"/>
  <c r="N518" i="23"/>
  <c r="H104" i="23"/>
  <c r="H103" i="23" s="1"/>
  <c r="H493" i="23"/>
  <c r="H492" i="23" s="1"/>
  <c r="H491" i="23" s="1"/>
  <c r="H490" i="23" s="1"/>
  <c r="H489" i="23" s="1"/>
  <c r="H509" i="23"/>
  <c r="H585" i="23"/>
  <c r="H584" i="23" s="1"/>
  <c r="H595" i="23"/>
  <c r="H594" i="23" s="1"/>
  <c r="H640" i="23"/>
  <c r="H639" i="23" s="1"/>
  <c r="H638" i="23" s="1"/>
  <c r="H637" i="23" s="1"/>
  <c r="K104" i="23"/>
  <c r="K103" i="23" s="1"/>
  <c r="K181" i="23"/>
  <c r="K177" i="23" s="1"/>
  <c r="K176" i="23" s="1"/>
  <c r="K175" i="23" s="1"/>
  <c r="K174" i="23" s="1"/>
  <c r="K595" i="23"/>
  <c r="K594" i="23" s="1"/>
  <c r="K613" i="23"/>
  <c r="K612" i="23" s="1"/>
  <c r="K607" i="23" s="1"/>
  <c r="K606" i="23" s="1"/>
  <c r="K605" i="23" s="1"/>
  <c r="K604" i="23" s="1"/>
  <c r="K640" i="23"/>
  <c r="K639" i="23" s="1"/>
  <c r="K638" i="23" s="1"/>
  <c r="K637" i="23" s="1"/>
  <c r="I107" i="1"/>
  <c r="L77" i="1"/>
  <c r="I505" i="1"/>
  <c r="I504" i="1" s="1"/>
  <c r="F16" i="1"/>
  <c r="F12" i="1" s="1"/>
  <c r="K289" i="23"/>
  <c r="K288" i="23" s="1"/>
  <c r="K287" i="23" s="1"/>
  <c r="K286" i="23" s="1"/>
  <c r="F77" i="1"/>
  <c r="F149" i="1"/>
  <c r="F148" i="1" s="1"/>
  <c r="L64" i="1"/>
  <c r="L63" i="1" s="1"/>
  <c r="L477" i="1"/>
  <c r="L311" i="1"/>
  <c r="L310" i="1" s="1"/>
  <c r="I57" i="1"/>
  <c r="I56" i="1" s="1"/>
  <c r="I77" i="1"/>
  <c r="L206" i="1"/>
  <c r="L281" i="1"/>
  <c r="L280" i="1" s="1"/>
  <c r="L376" i="1"/>
  <c r="F198" i="1"/>
  <c r="I31" i="1"/>
  <c r="I30" i="1" s="1"/>
  <c r="L198" i="1"/>
  <c r="F329" i="1"/>
  <c r="F328" i="1" s="1"/>
  <c r="F456" i="1"/>
  <c r="I292" i="1"/>
  <c r="L273" i="1"/>
  <c r="H28" i="23"/>
  <c r="H27" i="23" s="1"/>
  <c r="H139" i="23"/>
  <c r="H138" i="23" s="1"/>
  <c r="H137" i="23" s="1"/>
  <c r="H136" i="23" s="1"/>
  <c r="H247" i="23"/>
  <c r="H239" i="23" s="1"/>
  <c r="H181" i="23"/>
  <c r="H177" i="23" s="1"/>
  <c r="H176" i="23" s="1"/>
  <c r="H175" i="23" s="1"/>
  <c r="H174" i="23" s="1"/>
  <c r="H128" i="23"/>
  <c r="H127" i="23" s="1"/>
  <c r="H126" i="23" s="1"/>
  <c r="H125" i="23" s="1"/>
  <c r="N554" i="23"/>
  <c r="N553" i="23" s="1"/>
  <c r="N552" i="23" s="1"/>
  <c r="N551" i="23" s="1"/>
  <c r="N550" i="23" s="1"/>
  <c r="H726" i="23"/>
  <c r="K128" i="23"/>
  <c r="K127" i="23" s="1"/>
  <c r="K126" i="23" s="1"/>
  <c r="K125" i="23" s="1"/>
  <c r="K139" i="23"/>
  <c r="K138" i="23" s="1"/>
  <c r="K137" i="23" s="1"/>
  <c r="K136" i="23" s="1"/>
  <c r="K686" i="23"/>
  <c r="K685" i="23" s="1"/>
  <c r="K684" i="23" s="1"/>
  <c r="K683" i="23" s="1"/>
  <c r="K682" i="23" s="1"/>
  <c r="K674" i="23" s="1"/>
  <c r="K726" i="23"/>
  <c r="K704" i="23" s="1"/>
  <c r="K703" i="23" s="1"/>
  <c r="K702" i="23" s="1"/>
  <c r="K701" i="23" s="1"/>
  <c r="K743" i="23"/>
  <c r="K742" i="23" s="1"/>
  <c r="K741" i="23" s="1"/>
  <c r="N640" i="23"/>
  <c r="N639" i="23" s="1"/>
  <c r="N638" i="23" s="1"/>
  <c r="N637" i="23" s="1"/>
  <c r="N686" i="23"/>
  <c r="N685" i="23" s="1"/>
  <c r="N684" i="23" s="1"/>
  <c r="N683" i="23" s="1"/>
  <c r="N682" i="23" s="1"/>
  <c r="N674" i="23" s="1"/>
  <c r="N782" i="23"/>
  <c r="N781" i="23" s="1"/>
  <c r="N780" i="23" s="1"/>
  <c r="N779" i="23" s="1"/>
  <c r="N778" i="23" s="1"/>
  <c r="H554" i="23"/>
  <c r="H553" i="23" s="1"/>
  <c r="K87" i="23"/>
  <c r="K86" i="23" s="1"/>
  <c r="K254" i="23"/>
  <c r="K509" i="23"/>
  <c r="K518" i="23"/>
  <c r="K573" i="23"/>
  <c r="K572" i="23" s="1"/>
  <c r="K781" i="23"/>
  <c r="K780" i="23" s="1"/>
  <c r="K779" i="23" s="1"/>
  <c r="K778" i="23" s="1"/>
  <c r="N128" i="23"/>
  <c r="N127" i="23" s="1"/>
  <c r="N126" i="23" s="1"/>
  <c r="N125" i="23" s="1"/>
  <c r="N139" i="23"/>
  <c r="N138" i="23" s="1"/>
  <c r="N137" i="23" s="1"/>
  <c r="N136" i="23" s="1"/>
  <c r="N493" i="23"/>
  <c r="N492" i="23" s="1"/>
  <c r="N491" i="23" s="1"/>
  <c r="N490" i="23" s="1"/>
  <c r="N489" i="23" s="1"/>
  <c r="N595" i="23"/>
  <c r="N594" i="23" s="1"/>
  <c r="F206" i="1"/>
  <c r="I139" i="1"/>
  <c r="I138" i="1" s="1"/>
  <c r="I273" i="1"/>
  <c r="I329" i="1"/>
  <c r="I328" i="1" s="1"/>
  <c r="L16" i="1"/>
  <c r="L12" i="1" s="1"/>
  <c r="L123" i="1"/>
  <c r="L122" i="1" s="1"/>
  <c r="H289" i="23"/>
  <c r="H288" i="23" s="1"/>
  <c r="H287" i="23" s="1"/>
  <c r="H286" i="23" s="1"/>
  <c r="H462" i="23"/>
  <c r="H461" i="23" s="1"/>
  <c r="H460" i="23" s="1"/>
  <c r="H459" i="23" s="1"/>
  <c r="H613" i="23"/>
  <c r="H612" i="23" s="1"/>
  <c r="H743" i="23"/>
  <c r="H742" i="23" s="1"/>
  <c r="H741" i="23" s="1"/>
  <c r="K153" i="23"/>
  <c r="K152" i="23" s="1"/>
  <c r="K661" i="23"/>
  <c r="K660" i="23" s="1"/>
  <c r="K659" i="23" s="1"/>
  <c r="K658" i="23" s="1"/>
  <c r="N28" i="23"/>
  <c r="N27" i="23" s="1"/>
  <c r="N76" i="23"/>
  <c r="N72" i="23" s="1"/>
  <c r="N71" i="23" s="1"/>
  <c r="N70" i="23" s="1"/>
  <c r="N104" i="23"/>
  <c r="N103" i="23" s="1"/>
  <c r="N153" i="23"/>
  <c r="N152" i="23" s="1"/>
  <c r="N613" i="23"/>
  <c r="N612" i="23" s="1"/>
  <c r="N661" i="23"/>
  <c r="N660" i="23" s="1"/>
  <c r="N659" i="23" s="1"/>
  <c r="N658" i="23" s="1"/>
  <c r="N726" i="23"/>
  <c r="N704" i="23" s="1"/>
  <c r="N703" i="23" s="1"/>
  <c r="N702" i="23" s="1"/>
  <c r="N701" i="23" s="1"/>
  <c r="F86" i="1"/>
  <c r="F281" i="1"/>
  <c r="F280" i="1" s="1"/>
  <c r="F317" i="1"/>
  <c r="F316" i="1" s="1"/>
  <c r="F309" i="1" s="1"/>
  <c r="I123" i="1"/>
  <c r="I122" i="1" s="1"/>
  <c r="I485" i="1"/>
  <c r="L292" i="1"/>
  <c r="L394" i="1"/>
  <c r="L393" i="1" s="1"/>
  <c r="L505" i="1"/>
  <c r="L504" i="1" s="1"/>
  <c r="H159" i="23"/>
  <c r="H158" i="23" s="1"/>
  <c r="H573" i="23"/>
  <c r="H572" i="23" s="1"/>
  <c r="K28" i="23"/>
  <c r="K27" i="23" s="1"/>
  <c r="K554" i="23"/>
  <c r="K553" i="23" s="1"/>
  <c r="K552" i="23" s="1"/>
  <c r="K551" i="23" s="1"/>
  <c r="K550" i="23" s="1"/>
  <c r="N356" i="23"/>
  <c r="N355" i="23" s="1"/>
  <c r="N348" i="23" s="1"/>
  <c r="N585" i="23"/>
  <c r="N584" i="23" s="1"/>
  <c r="F57" i="1"/>
  <c r="F56" i="1" s="1"/>
  <c r="F139" i="1"/>
  <c r="F138" i="1" s="1"/>
  <c r="I250" i="1"/>
  <c r="I338" i="1"/>
  <c r="I334" i="1" s="1"/>
  <c r="I376" i="1"/>
  <c r="L317" i="1"/>
  <c r="L316" i="1" s="1"/>
  <c r="L426" i="1"/>
  <c r="K461" i="23"/>
  <c r="K460" i="23" s="1"/>
  <c r="K459" i="23" s="1"/>
  <c r="L31" i="1"/>
  <c r="L30" i="1" s="1"/>
  <c r="I206" i="1"/>
  <c r="I461" i="1"/>
  <c r="I180" i="1"/>
  <c r="L180" i="1"/>
  <c r="F292" i="1"/>
  <c r="F485" i="1"/>
  <c r="F31" i="1"/>
  <c r="F30" i="1" s="1"/>
  <c r="F180" i="1"/>
  <c r="F250" i="1"/>
  <c r="F338" i="1"/>
  <c r="F334" i="1" s="1"/>
  <c r="F505" i="1"/>
  <c r="F504" i="1" s="1"/>
  <c r="I477" i="1"/>
  <c r="L86" i="1"/>
  <c r="L215" i="1"/>
  <c r="L214" i="1" s="1"/>
  <c r="L338" i="1"/>
  <c r="L334" i="1" s="1"/>
  <c r="F273" i="1"/>
  <c r="F461" i="1"/>
  <c r="I215" i="1"/>
  <c r="I214" i="1" s="1"/>
  <c r="L139" i="1"/>
  <c r="L138" i="1" s="1"/>
  <c r="L356" i="1"/>
  <c r="F123" i="1"/>
  <c r="F122" i="1" s="1"/>
  <c r="F448" i="1"/>
  <c r="F477" i="1"/>
  <c r="I16" i="1"/>
  <c r="I12" i="1" s="1"/>
  <c r="I86" i="1"/>
  <c r="I317" i="1"/>
  <c r="I316" i="1" s="1"/>
  <c r="L149" i="1"/>
  <c r="L148" i="1" s="1"/>
  <c r="L250" i="1"/>
  <c r="L329" i="1"/>
  <c r="L328" i="1" s="1"/>
  <c r="L516" i="1"/>
  <c r="L461" i="1"/>
  <c r="L485" i="1"/>
  <c r="I281" i="1"/>
  <c r="I280" i="1" s="1"/>
  <c r="I394" i="1"/>
  <c r="I393" i="1" s="1"/>
  <c r="F215" i="1"/>
  <c r="F214" i="1" s="1"/>
  <c r="N199" i="23"/>
  <c r="N200" i="23"/>
  <c r="N386" i="23"/>
  <c r="K450" i="23"/>
  <c r="K449" i="23" s="1"/>
  <c r="K199" i="23"/>
  <c r="K200" i="23"/>
  <c r="H661" i="23"/>
  <c r="H660" i="23" s="1"/>
  <c r="H659" i="23" s="1"/>
  <c r="H658" i="23" s="1"/>
  <c r="H199" i="23"/>
  <c r="H200" i="23"/>
  <c r="H450" i="23"/>
  <c r="H449" i="23" s="1"/>
  <c r="H781" i="23"/>
  <c r="H780" i="23" s="1"/>
  <c r="H779" i="23" s="1"/>
  <c r="H778" i="23" s="1"/>
  <c r="H436" i="23"/>
  <c r="H552" i="23" l="1"/>
  <c r="H551" i="23" s="1"/>
  <c r="H550" i="23" s="1"/>
  <c r="H508" i="23"/>
  <c r="H507" i="23" s="1"/>
  <c r="H506" i="23" s="1"/>
  <c r="H505" i="23" s="1"/>
  <c r="H607" i="23"/>
  <c r="H606" i="23" s="1"/>
  <c r="H605" i="23" s="1"/>
  <c r="H604" i="23" s="1"/>
  <c r="I355" i="1"/>
  <c r="I197" i="1"/>
  <c r="I414" i="1"/>
  <c r="I413" i="1" s="1"/>
  <c r="L414" i="1"/>
  <c r="L413" i="1" s="1"/>
  <c r="K208" i="23"/>
  <c r="K207" i="23" s="1"/>
  <c r="K206" i="23" s="1"/>
  <c r="N209" i="23"/>
  <c r="N208" i="23" s="1"/>
  <c r="N207" i="23" s="1"/>
  <c r="N206" i="23" s="1"/>
  <c r="L197" i="1"/>
  <c r="N441" i="23"/>
  <c r="K571" i="23"/>
  <c r="K564" i="23" s="1"/>
  <c r="K563" i="23" s="1"/>
  <c r="L309" i="1"/>
  <c r="I235" i="1"/>
  <c r="I234" i="1" s="1"/>
  <c r="K151" i="23"/>
  <c r="K150" i="23" s="1"/>
  <c r="K149" i="23" s="1"/>
  <c r="K124" i="23" s="1"/>
  <c r="K508" i="23"/>
  <c r="K507" i="23" s="1"/>
  <c r="K506" i="23" s="1"/>
  <c r="K505" i="23" s="1"/>
  <c r="H21" i="23"/>
  <c r="H20" i="23" s="1"/>
  <c r="H19" i="23" s="1"/>
  <c r="N21" i="23"/>
  <c r="N20" i="23" s="1"/>
  <c r="N19" i="23" s="1"/>
  <c r="H441" i="23"/>
  <c r="H571" i="23"/>
  <c r="H564" i="23" s="1"/>
  <c r="H563" i="23" s="1"/>
  <c r="I309" i="1"/>
  <c r="L76" i="1"/>
  <c r="L62" i="1" s="1"/>
  <c r="N253" i="23"/>
  <c r="N252" i="23" s="1"/>
  <c r="H71" i="23"/>
  <c r="H70" i="23" s="1"/>
  <c r="H69" i="23" s="1"/>
  <c r="K21" i="23"/>
  <c r="K20" i="23" s="1"/>
  <c r="K19" i="23" s="1"/>
  <c r="K253" i="23"/>
  <c r="K252" i="23" s="1"/>
  <c r="H151" i="23"/>
  <c r="H150" i="23" s="1"/>
  <c r="H149" i="23" s="1"/>
  <c r="H124" i="23" s="1"/>
  <c r="H253" i="23"/>
  <c r="H252" i="23" s="1"/>
  <c r="N69" i="23"/>
  <c r="N151" i="23"/>
  <c r="N150" i="23" s="1"/>
  <c r="N149" i="23" s="1"/>
  <c r="N124" i="23" s="1"/>
  <c r="N508" i="23"/>
  <c r="N507" i="23" s="1"/>
  <c r="N506" i="23" s="1"/>
  <c r="N505" i="23" s="1"/>
  <c r="N571" i="23"/>
  <c r="K347" i="23"/>
  <c r="K346" i="23" s="1"/>
  <c r="K285" i="23" s="1"/>
  <c r="H355" i="23"/>
  <c r="H348" i="23" s="1"/>
  <c r="H347" i="23" s="1"/>
  <c r="H346" i="23" s="1"/>
  <c r="F197" i="1"/>
  <c r="F76" i="1"/>
  <c r="F62" i="1" s="1"/>
  <c r="I11" i="1"/>
  <c r="F327" i="1"/>
  <c r="F355" i="1"/>
  <c r="I76" i="1"/>
  <c r="I62" i="1" s="1"/>
  <c r="L11" i="1"/>
  <c r="L476" i="1"/>
  <c r="L355" i="1"/>
  <c r="L347" i="1" s="1"/>
  <c r="I327" i="1"/>
  <c r="L515" i="1"/>
  <c r="L235" i="1"/>
  <c r="L234" i="1" s="1"/>
  <c r="F476" i="1"/>
  <c r="I476" i="1"/>
  <c r="F11" i="1"/>
  <c r="N347" i="23"/>
  <c r="N346" i="23" s="1"/>
  <c r="N285" i="23" s="1"/>
  <c r="L327" i="1"/>
  <c r="K71" i="23"/>
  <c r="K70" i="23" s="1"/>
  <c r="K69" i="23" s="1"/>
  <c r="K441" i="23"/>
  <c r="I347" i="1"/>
  <c r="F235" i="1"/>
  <c r="F234" i="1" s="1"/>
  <c r="H488" i="23" l="1"/>
  <c r="H479" i="23" s="1"/>
  <c r="K488" i="23"/>
  <c r="K479" i="23" s="1"/>
  <c r="K173" i="23"/>
  <c r="N11" i="23"/>
  <c r="H11" i="23"/>
  <c r="N173" i="23"/>
  <c r="K11" i="23"/>
  <c r="K10" i="23" s="1"/>
  <c r="L10" i="1"/>
  <c r="L567" i="1" s="1"/>
  <c r="I10" i="1"/>
  <c r="I567" i="1" s="1"/>
  <c r="D19" i="25" s="1"/>
  <c r="C17" i="26"/>
  <c r="C16" i="26"/>
  <c r="C13" i="26"/>
  <c r="I14" i="26"/>
  <c r="I19" i="26" s="1"/>
  <c r="C15" i="26"/>
  <c r="F15" i="26"/>
  <c r="F19" i="26" s="1"/>
  <c r="C14" i="25"/>
  <c r="C13" i="25" s="1"/>
  <c r="C12" i="25" s="1"/>
  <c r="D14" i="25"/>
  <c r="D13" i="25" s="1"/>
  <c r="D12" i="25" s="1"/>
  <c r="E14" i="25"/>
  <c r="E13" i="25" s="1"/>
  <c r="E12" i="25" s="1"/>
  <c r="E19" i="25" l="1"/>
  <c r="C19" i="26"/>
  <c r="N10" i="23"/>
  <c r="L652" i="23"/>
  <c r="I652" i="23"/>
  <c r="F652" i="23"/>
  <c r="L541" i="23"/>
  <c r="J304" i="1"/>
  <c r="D304" i="1"/>
  <c r="N740" i="23"/>
  <c r="N738" i="23" s="1"/>
  <c r="N737" i="23" s="1"/>
  <c r="N736" i="23" s="1"/>
  <c r="N735" i="23" s="1"/>
  <c r="N734" i="23" s="1"/>
  <c r="N733" i="23" s="1"/>
  <c r="N700" i="23" s="1"/>
  <c r="N657" i="23" s="1"/>
  <c r="L570" i="23"/>
  <c r="N570" i="23" s="1"/>
  <c r="N568" i="23" s="1"/>
  <c r="N567" i="23" s="1"/>
  <c r="N566" i="23" s="1"/>
  <c r="N565" i="23" s="1"/>
  <c r="N564" i="23" s="1"/>
  <c r="N563" i="23" s="1"/>
  <c r="N488" i="23" s="1"/>
  <c r="J521" i="1"/>
  <c r="L787" i="23"/>
  <c r="J518" i="1"/>
  <c r="J517" i="1" s="1"/>
  <c r="L784" i="23"/>
  <c r="L783" i="23" s="1"/>
  <c r="N800" i="23"/>
  <c r="N798" i="23" s="1"/>
  <c r="N797" i="23" s="1"/>
  <c r="N796" i="23" s="1"/>
  <c r="N795" i="23" l="1"/>
  <c r="N794" i="23"/>
  <c r="N793" i="23" s="1"/>
  <c r="N792" i="23" s="1"/>
  <c r="N791" i="23" s="1"/>
  <c r="L558" i="23"/>
  <c r="I558" i="23"/>
  <c r="F558" i="23"/>
  <c r="L556" i="23"/>
  <c r="I556" i="23"/>
  <c r="F556" i="23"/>
  <c r="J127" i="1"/>
  <c r="G127" i="1"/>
  <c r="D127" i="1"/>
  <c r="J125" i="1"/>
  <c r="G125" i="1"/>
  <c r="D125" i="1"/>
  <c r="D19" i="1" l="1"/>
  <c r="F79" i="23"/>
  <c r="L79" i="23"/>
  <c r="I79" i="23"/>
  <c r="J19" i="1"/>
  <c r="G19" i="1"/>
  <c r="F720" i="23" l="1"/>
  <c r="D262" i="1"/>
  <c r="G403" i="1"/>
  <c r="D403" i="1"/>
  <c r="D402" i="1" s="1"/>
  <c r="I330" i="23"/>
  <c r="F330" i="23"/>
  <c r="D366" i="1"/>
  <c r="G167" i="1"/>
  <c r="D167" i="1"/>
  <c r="L257" i="23" l="1"/>
  <c r="I257" i="23"/>
  <c r="F257" i="23"/>
  <c r="J217" i="1"/>
  <c r="J216" i="1" s="1"/>
  <c r="G217" i="1"/>
  <c r="G216" i="1" s="1"/>
  <c r="D217" i="1"/>
  <c r="D216" i="1" s="1"/>
  <c r="J312" i="1"/>
  <c r="G312" i="1"/>
  <c r="L811" i="23"/>
  <c r="I811" i="23"/>
  <c r="F811" i="23"/>
  <c r="J531" i="1"/>
  <c r="G531" i="1"/>
  <c r="D531" i="1"/>
  <c r="L283" i="23"/>
  <c r="I283" i="23"/>
  <c r="F283" i="23"/>
  <c r="J527" i="1"/>
  <c r="G527" i="1"/>
  <c r="D527" i="1"/>
  <c r="L143" i="23"/>
  <c r="I143" i="23"/>
  <c r="F143" i="23"/>
  <c r="J489" i="1"/>
  <c r="G489" i="1"/>
  <c r="D489" i="1"/>
  <c r="J487" i="1"/>
  <c r="G487" i="1"/>
  <c r="D487" i="1"/>
  <c r="L141" i="23"/>
  <c r="I141" i="23"/>
  <c r="F141" i="23"/>
  <c r="L132" i="23"/>
  <c r="I132" i="23"/>
  <c r="F132" i="23"/>
  <c r="J481" i="1"/>
  <c r="G481" i="1"/>
  <c r="D481" i="1"/>
  <c r="G447" i="1"/>
  <c r="I205" i="23"/>
  <c r="J437" i="1"/>
  <c r="L231" i="23"/>
  <c r="H229" i="23"/>
  <c r="H228" i="23" s="1"/>
  <c r="H221" i="23" s="1"/>
  <c r="H209" i="23" s="1"/>
  <c r="H208" i="23" s="1"/>
  <c r="H207" i="23" s="1"/>
  <c r="H206" i="23" s="1"/>
  <c r="H173" i="23" s="1"/>
  <c r="F434" i="1"/>
  <c r="F433" i="1" s="1"/>
  <c r="F426" i="1" s="1"/>
  <c r="F414" i="1" s="1"/>
  <c r="F413" i="1" s="1"/>
  <c r="H328" i="23"/>
  <c r="H327" i="23" s="1"/>
  <c r="D399" i="1"/>
  <c r="F399" i="1" s="1"/>
  <c r="F398" i="1" s="1"/>
  <c r="F394" i="1" s="1"/>
  <c r="F393" i="1" s="1"/>
  <c r="L325" i="23"/>
  <c r="J396" i="1"/>
  <c r="F380" i="23"/>
  <c r="D384" i="1"/>
  <c r="F368" i="23"/>
  <c r="F366" i="23"/>
  <c r="D364" i="1"/>
  <c r="D362" i="1"/>
  <c r="J325" i="1"/>
  <c r="G325" i="1"/>
  <c r="D325" i="1"/>
  <c r="L167" i="23"/>
  <c r="I167" i="23"/>
  <c r="F167" i="23"/>
  <c r="L164" i="23"/>
  <c r="I164" i="23"/>
  <c r="F164" i="23"/>
  <c r="J322" i="1"/>
  <c r="G322" i="1"/>
  <c r="D322" i="1"/>
  <c r="J314" i="1"/>
  <c r="G314" i="1"/>
  <c r="D314" i="1"/>
  <c r="L156" i="23"/>
  <c r="I156" i="23"/>
  <c r="F156" i="23"/>
  <c r="L154" i="23"/>
  <c r="I154" i="23"/>
  <c r="F154" i="23"/>
  <c r="G287" i="1"/>
  <c r="D287" i="1"/>
  <c r="I692" i="23"/>
  <c r="F692" i="23"/>
  <c r="I688" i="23"/>
  <c r="F688" i="23"/>
  <c r="G283" i="1"/>
  <c r="D283" i="1"/>
  <c r="G254" i="1"/>
  <c r="D254" i="1"/>
  <c r="L746" i="23"/>
  <c r="I747" i="23"/>
  <c r="I746" i="23" s="1"/>
  <c r="F747" i="23"/>
  <c r="L681" i="23"/>
  <c r="I681" i="23"/>
  <c r="F681" i="23"/>
  <c r="J249" i="1"/>
  <c r="G249" i="1"/>
  <c r="D249" i="1"/>
  <c r="J246" i="1"/>
  <c r="G246" i="1"/>
  <c r="D246" i="1"/>
  <c r="L715" i="23"/>
  <c r="I715" i="23"/>
  <c r="F715" i="23"/>
  <c r="L710" i="23"/>
  <c r="I710" i="23"/>
  <c r="F710" i="23"/>
  <c r="J241" i="1"/>
  <c r="G241" i="1"/>
  <c r="D241" i="1"/>
  <c r="J238" i="1"/>
  <c r="G238" i="1"/>
  <c r="L707" i="23"/>
  <c r="I707" i="23"/>
  <c r="H707" i="23"/>
  <c r="H706" i="23" s="1"/>
  <c r="H705" i="23" s="1"/>
  <c r="H704" i="23" s="1"/>
  <c r="H703" i="23" s="1"/>
  <c r="H702" i="23" s="1"/>
  <c r="H701" i="23" s="1"/>
  <c r="D221" i="1"/>
  <c r="D220" i="1" s="1"/>
  <c r="F293" i="23"/>
  <c r="L557" i="23"/>
  <c r="J79" i="1"/>
  <c r="G79" i="1"/>
  <c r="D79" i="1"/>
  <c r="L511" i="23"/>
  <c r="I511" i="23"/>
  <c r="F511" i="23"/>
  <c r="L495" i="23"/>
  <c r="I495" i="23"/>
  <c r="F495" i="23"/>
  <c r="J66" i="1"/>
  <c r="G66" i="1"/>
  <c r="D66" i="1"/>
  <c r="K800" i="23"/>
  <c r="K798" i="23" s="1"/>
  <c r="K797" i="23" s="1"/>
  <c r="K796" i="23" s="1"/>
  <c r="H800" i="23"/>
  <c r="H798" i="23" s="1"/>
  <c r="H797" i="23" s="1"/>
  <c r="H796" i="23" s="1"/>
  <c r="K740" i="23"/>
  <c r="K738" i="23" s="1"/>
  <c r="K737" i="23" s="1"/>
  <c r="K736" i="23" s="1"/>
  <c r="K735" i="23" s="1"/>
  <c r="K734" i="23" s="1"/>
  <c r="K733" i="23" s="1"/>
  <c r="K700" i="23" s="1"/>
  <c r="K657" i="23" s="1"/>
  <c r="H740" i="23"/>
  <c r="H738" i="23" s="1"/>
  <c r="H737" i="23" s="1"/>
  <c r="H736" i="23" s="1"/>
  <c r="H735" i="23" s="1"/>
  <c r="H734" i="23" s="1"/>
  <c r="H733" i="23" s="1"/>
  <c r="I570" i="23"/>
  <c r="F570" i="23"/>
  <c r="I75" i="23"/>
  <c r="G15" i="1"/>
  <c r="D440" i="1"/>
  <c r="F161" i="23"/>
  <c r="L731" i="23"/>
  <c r="L730" i="23" s="1"/>
  <c r="I731" i="23"/>
  <c r="I730" i="23" s="1"/>
  <c r="L728" i="23"/>
  <c r="L727" i="23" s="1"/>
  <c r="I728" i="23"/>
  <c r="I727" i="23" s="1"/>
  <c r="L716" i="23"/>
  <c r="L98" i="23"/>
  <c r="L97" i="23" s="1"/>
  <c r="L463" i="23"/>
  <c r="L466" i="23"/>
  <c r="L465" i="23" s="1"/>
  <c r="I557" i="23"/>
  <c r="L40" i="23"/>
  <c r="I40" i="23"/>
  <c r="K795" i="23" l="1"/>
  <c r="K794" i="23"/>
  <c r="K793" i="23" s="1"/>
  <c r="K792" i="23" s="1"/>
  <c r="K791" i="23" s="1"/>
  <c r="K820" i="23" s="1"/>
  <c r="H700" i="23"/>
  <c r="H657" i="23" s="1"/>
  <c r="H794" i="23"/>
  <c r="H793" i="23" s="1"/>
  <c r="H792" i="23" s="1"/>
  <c r="H791" i="23" s="1"/>
  <c r="H795" i="23"/>
  <c r="H321" i="23"/>
  <c r="H320" i="23" s="1"/>
  <c r="H315" i="23" s="1"/>
  <c r="H314" i="23" s="1"/>
  <c r="H313" i="23" s="1"/>
  <c r="F347" i="1"/>
  <c r="F10" i="1" s="1"/>
  <c r="F567" i="1" s="1"/>
  <c r="I726" i="23"/>
  <c r="L726" i="23"/>
  <c r="C19" i="25" l="1"/>
  <c r="H285" i="23"/>
  <c r="L142" i="23"/>
  <c r="I142" i="23"/>
  <c r="F142" i="23"/>
  <c r="L311" i="23"/>
  <c r="L310" i="23" s="1"/>
  <c r="L309" i="23" s="1"/>
  <c r="I311" i="23"/>
  <c r="I310" i="23" s="1"/>
  <c r="I309" i="23" s="1"/>
  <c r="F311" i="23"/>
  <c r="F310" i="23" s="1"/>
  <c r="F309" i="23" s="1"/>
  <c r="J488" i="1"/>
  <c r="G488" i="1"/>
  <c r="D488" i="1"/>
  <c r="I329" i="23"/>
  <c r="F329" i="23"/>
  <c r="F407" i="23"/>
  <c r="F406" i="23" s="1"/>
  <c r="F405" i="23" s="1"/>
  <c r="F404" i="23" s="1"/>
  <c r="F403" i="23" s="1"/>
  <c r="F402" i="23" s="1"/>
  <c r="F401" i="23" s="1"/>
  <c r="H10" i="23" l="1"/>
  <c r="H820" i="23" s="1"/>
  <c r="F362" i="23"/>
  <c r="L264" i="23"/>
  <c r="I264" i="23"/>
  <c r="F264" i="23"/>
  <c r="L266" i="23"/>
  <c r="I266" i="23"/>
  <c r="F266" i="23"/>
  <c r="L297" i="23"/>
  <c r="I297" i="23"/>
  <c r="F263" i="23" l="1"/>
  <c r="F262" i="23" s="1"/>
  <c r="L263" i="23"/>
  <c r="L262" i="23" s="1"/>
  <c r="I263" i="23"/>
  <c r="I262" i="23" s="1"/>
  <c r="L47" i="23"/>
  <c r="I47" i="23"/>
  <c r="F47" i="23"/>
  <c r="L534" i="23"/>
  <c r="L533" i="23" s="1"/>
  <c r="I534" i="23"/>
  <c r="I533" i="23" s="1"/>
  <c r="F534" i="23"/>
  <c r="F533" i="23" s="1"/>
  <c r="L768" i="23"/>
  <c r="I768" i="23"/>
  <c r="F768" i="23"/>
  <c r="L698" i="23" l="1"/>
  <c r="L697" i="23" s="1"/>
  <c r="L696" i="23" s="1"/>
  <c r="L695" i="23" s="1"/>
  <c r="L694" i="23" s="1"/>
  <c r="I698" i="23"/>
  <c r="I697" i="23" s="1"/>
  <c r="I696" i="23" s="1"/>
  <c r="I695" i="23" s="1"/>
  <c r="I694" i="23" s="1"/>
  <c r="F698" i="23"/>
  <c r="F697" i="23" s="1"/>
  <c r="F696" i="23" s="1"/>
  <c r="F695" i="23" s="1"/>
  <c r="F694" i="23" s="1"/>
  <c r="L622" i="23"/>
  <c r="I622" i="23"/>
  <c r="F622" i="23"/>
  <c r="F621" i="23" s="1"/>
  <c r="L776" i="23"/>
  <c r="I776" i="23"/>
  <c r="F776" i="23"/>
  <c r="I749" i="23"/>
  <c r="L744" i="23"/>
  <c r="I744" i="23"/>
  <c r="F718" i="23"/>
  <c r="L714" i="23"/>
  <c r="I714" i="23"/>
  <c r="F714" i="23"/>
  <c r="L709" i="23"/>
  <c r="I709" i="23"/>
  <c r="F709" i="23"/>
  <c r="L706" i="23"/>
  <c r="I706" i="23"/>
  <c r="F706" i="23"/>
  <c r="L690" i="23"/>
  <c r="L689" i="23" s="1"/>
  <c r="I690" i="23"/>
  <c r="I689" i="23" s="1"/>
  <c r="F690" i="23"/>
  <c r="F689" i="23" s="1"/>
  <c r="L687" i="23"/>
  <c r="I687" i="23"/>
  <c r="F687" i="23"/>
  <c r="L680" i="23"/>
  <c r="I680" i="23"/>
  <c r="F680" i="23"/>
  <c r="I664" i="23"/>
  <c r="F649" i="23"/>
  <c r="F648" i="23" s="1"/>
  <c r="F647" i="23" s="1"/>
  <c r="L642" i="23"/>
  <c r="I642" i="23"/>
  <c r="L635" i="23"/>
  <c r="I635" i="23"/>
  <c r="F635" i="23"/>
  <c r="L618" i="23"/>
  <c r="I618" i="23"/>
  <c r="F618" i="23"/>
  <c r="L616" i="23"/>
  <c r="I616" i="23"/>
  <c r="F616" i="23"/>
  <c r="L614" i="23"/>
  <c r="I614" i="23"/>
  <c r="F614" i="23"/>
  <c r="L610" i="23"/>
  <c r="I610" i="23"/>
  <c r="F610" i="23"/>
  <c r="L602" i="23"/>
  <c r="I602" i="23"/>
  <c r="F602" i="23"/>
  <c r="L598" i="23"/>
  <c r="I598" i="23"/>
  <c r="F598" i="23"/>
  <c r="L596" i="23"/>
  <c r="I596" i="23"/>
  <c r="F596" i="23"/>
  <c r="L582" i="23"/>
  <c r="I582" i="23"/>
  <c r="F582" i="23"/>
  <c r="L580" i="23"/>
  <c r="I580" i="23"/>
  <c r="F580" i="23"/>
  <c r="L578" i="23"/>
  <c r="L576" i="23"/>
  <c r="I576" i="23"/>
  <c r="F576" i="23"/>
  <c r="L574" i="23"/>
  <c r="I574" i="23"/>
  <c r="F574" i="23"/>
  <c r="L693" i="23" l="1"/>
  <c r="I693" i="23"/>
  <c r="F693" i="23"/>
  <c r="L590" i="23"/>
  <c r="I590" i="23"/>
  <c r="F590" i="23"/>
  <c r="L586" i="23"/>
  <c r="I586" i="23"/>
  <c r="F586" i="23"/>
  <c r="L555" i="23"/>
  <c r="I555" i="23"/>
  <c r="I543" i="23"/>
  <c r="I542" i="23" s="1"/>
  <c r="I541" i="23" s="1"/>
  <c r="F543" i="23"/>
  <c r="F542" i="23" s="1"/>
  <c r="F541" i="23" s="1"/>
  <c r="L530" i="23"/>
  <c r="L529" i="23" s="1"/>
  <c r="I530" i="23"/>
  <c r="I529" i="23" s="1"/>
  <c r="F530" i="23"/>
  <c r="F529" i="23" s="1"/>
  <c r="L527" i="23"/>
  <c r="I527" i="23"/>
  <c r="F527" i="23"/>
  <c r="L523" i="23"/>
  <c r="I523" i="23"/>
  <c r="L521" i="23"/>
  <c r="I521" i="23"/>
  <c r="L515" i="23"/>
  <c r="I515" i="23"/>
  <c r="F515" i="23"/>
  <c r="L510" i="23" l="1"/>
  <c r="I510" i="23"/>
  <c r="J155" i="1"/>
  <c r="G155" i="1"/>
  <c r="D155" i="1"/>
  <c r="D154" i="1" s="1"/>
  <c r="L499" i="23"/>
  <c r="I499" i="23"/>
  <c r="F499" i="23"/>
  <c r="I486" i="23" l="1"/>
  <c r="L494" i="23"/>
  <c r="I494" i="23"/>
  <c r="L477" i="23"/>
  <c r="I477" i="23"/>
  <c r="F477" i="23"/>
  <c r="L471" i="23"/>
  <c r="I471" i="23"/>
  <c r="F471" i="23"/>
  <c r="F466" i="23"/>
  <c r="F438" i="23"/>
  <c r="F437" i="23" s="1"/>
  <c r="F436" i="23" s="1"/>
  <c r="L423" i="23"/>
  <c r="I384" i="23"/>
  <c r="L398" i="23"/>
  <c r="I398" i="23"/>
  <c r="F398" i="23"/>
  <c r="L377" i="23"/>
  <c r="L376" i="23" s="1"/>
  <c r="I377" i="23"/>
  <c r="I376" i="23" s="1"/>
  <c r="F377" i="23"/>
  <c r="L367" i="23"/>
  <c r="I367" i="23"/>
  <c r="L365" i="23"/>
  <c r="I365" i="23"/>
  <c r="F365" i="23"/>
  <c r="F351" i="23"/>
  <c r="L351" i="23"/>
  <c r="I351" i="23"/>
  <c r="L336" i="23"/>
  <c r="L335" i="23" s="1"/>
  <c r="I336" i="23"/>
  <c r="I335" i="23" s="1"/>
  <c r="F336" i="23"/>
  <c r="F335" i="23" s="1"/>
  <c r="L327" i="23"/>
  <c r="I327" i="23"/>
  <c r="L324" i="23"/>
  <c r="I318" i="23"/>
  <c r="F318" i="23"/>
  <c r="L307" i="23"/>
  <c r="L306" i="23" s="1"/>
  <c r="I307" i="23"/>
  <c r="I306" i="23" s="1"/>
  <c r="L356" i="23" l="1"/>
  <c r="L321" i="23"/>
  <c r="L320" i="23" s="1"/>
  <c r="I356" i="23"/>
  <c r="L295" i="23"/>
  <c r="I295" i="23"/>
  <c r="F295" i="23"/>
  <c r="L292" i="23"/>
  <c r="I292" i="23"/>
  <c r="F292" i="23"/>
  <c r="L290" i="23"/>
  <c r="I290" i="23"/>
  <c r="F290" i="23"/>
  <c r="L273" i="23"/>
  <c r="I273" i="23"/>
  <c r="L270" i="23"/>
  <c r="I270" i="23"/>
  <c r="F289" i="23" l="1"/>
  <c r="L289" i="23"/>
  <c r="L256" i="23"/>
  <c r="I256" i="23"/>
  <c r="F256" i="23"/>
  <c r="F255" i="23" s="1"/>
  <c r="L250" i="23"/>
  <c r="I250" i="23"/>
  <c r="F250" i="23"/>
  <c r="F248" i="23"/>
  <c r="L248" i="23"/>
  <c r="L247" i="23" s="1"/>
  <c r="I248" i="23"/>
  <c r="I247" i="23" s="1"/>
  <c r="I235" i="23"/>
  <c r="I234" i="23" s="1"/>
  <c r="I233" i="23" s="1"/>
  <c r="F235" i="23"/>
  <c r="F234" i="23" s="1"/>
  <c r="F233" i="23" s="1"/>
  <c r="L228" i="23"/>
  <c r="I228" i="23"/>
  <c r="L223" i="23"/>
  <c r="I223" i="23"/>
  <c r="L211" i="23"/>
  <c r="I211" i="23"/>
  <c r="F211" i="23"/>
  <c r="L204" i="23"/>
  <c r="I204" i="23"/>
  <c r="F204" i="23"/>
  <c r="F247" i="23" l="1"/>
  <c r="L193" i="23"/>
  <c r="I193" i="23"/>
  <c r="F193" i="23"/>
  <c r="L188" i="23"/>
  <c r="I188" i="23"/>
  <c r="F188" i="23"/>
  <c r="L186" i="23"/>
  <c r="I186" i="23"/>
  <c r="F186" i="23"/>
  <c r="L184" i="23"/>
  <c r="I184" i="23"/>
  <c r="F184" i="23"/>
  <c r="L182" i="23"/>
  <c r="I182" i="23"/>
  <c r="F182" i="23"/>
  <c r="L179" i="23"/>
  <c r="I179" i="23"/>
  <c r="F179" i="23"/>
  <c r="F171" i="23"/>
  <c r="L171" i="23"/>
  <c r="I171" i="23"/>
  <c r="L147" i="23"/>
  <c r="I147" i="23"/>
  <c r="F147" i="23"/>
  <c r="L145" i="23"/>
  <c r="I145" i="23"/>
  <c r="F145" i="23"/>
  <c r="L131" i="23"/>
  <c r="I131" i="23"/>
  <c r="F131" i="23"/>
  <c r="L129" i="23"/>
  <c r="I129" i="23"/>
  <c r="F129" i="23"/>
  <c r="L121" i="23"/>
  <c r="I121" i="23"/>
  <c r="F121" i="23"/>
  <c r="I300" i="23"/>
  <c r="I299" i="23" s="1"/>
  <c r="I289" i="23" s="1"/>
  <c r="I100" i="23"/>
  <c r="F100" i="23"/>
  <c r="F99" i="23" s="1"/>
  <c r="F98" i="23" s="1"/>
  <c r="F97" i="23" s="1"/>
  <c r="I90" i="23" l="1"/>
  <c r="F90" i="23"/>
  <c r="I88" i="23"/>
  <c r="F88" i="23"/>
  <c r="L83" i="23"/>
  <c r="L82" i="23" s="1"/>
  <c r="L81" i="23" s="1"/>
  <c r="I83" i="23"/>
  <c r="I82" i="23" s="1"/>
  <c r="I81" i="23" s="1"/>
  <c r="F83" i="23"/>
  <c r="F82" i="23" s="1"/>
  <c r="F81" i="23" s="1"/>
  <c r="L77" i="23"/>
  <c r="L76" i="23" s="1"/>
  <c r="I77" i="23"/>
  <c r="I76" i="23" s="1"/>
  <c r="F77" i="23"/>
  <c r="F76" i="23" s="1"/>
  <c r="L74" i="23"/>
  <c r="L73" i="23" s="1"/>
  <c r="I74" i="23"/>
  <c r="I73" i="23" s="1"/>
  <c r="F74" i="23"/>
  <c r="F73" i="23" s="1"/>
  <c r="L62" i="23"/>
  <c r="L61" i="23" s="1"/>
  <c r="L60" i="23" s="1"/>
  <c r="L59" i="23" s="1"/>
  <c r="L58" i="23" s="1"/>
  <c r="L57" i="23" s="1"/>
  <c r="I62" i="23"/>
  <c r="I61" i="23" s="1"/>
  <c r="I60" i="23" s="1"/>
  <c r="I59" i="23" s="1"/>
  <c r="I58" i="23" s="1"/>
  <c r="I57" i="23" s="1"/>
  <c r="F62" i="23"/>
  <c r="F61" i="23" s="1"/>
  <c r="F60" i="23" s="1"/>
  <c r="F59" i="23" s="1"/>
  <c r="F58" i="23" s="1"/>
  <c r="F57" i="23" s="1"/>
  <c r="F40" i="23"/>
  <c r="L37" i="23"/>
  <c r="I37" i="23"/>
  <c r="F37" i="23"/>
  <c r="L35" i="23"/>
  <c r="I35" i="23"/>
  <c r="F35" i="23"/>
  <c r="L32" i="23"/>
  <c r="I32" i="23"/>
  <c r="F32" i="23"/>
  <c r="L29" i="23"/>
  <c r="I29" i="23"/>
  <c r="F29" i="23"/>
  <c r="L816" i="23"/>
  <c r="I816" i="23"/>
  <c r="L814" i="23"/>
  <c r="I814" i="23"/>
  <c r="F814" i="23"/>
  <c r="L812" i="23"/>
  <c r="I812" i="23"/>
  <c r="F812" i="23"/>
  <c r="L809" i="23"/>
  <c r="I809" i="23"/>
  <c r="F809" i="23"/>
  <c r="L804" i="23"/>
  <c r="L803" i="23" s="1"/>
  <c r="L802" i="23" s="1"/>
  <c r="L801" i="23" s="1"/>
  <c r="I804" i="23"/>
  <c r="I803" i="23" s="1"/>
  <c r="I802" i="23" s="1"/>
  <c r="I801" i="23" s="1"/>
  <c r="F804" i="23"/>
  <c r="F803" i="23" s="1"/>
  <c r="F802" i="23" s="1"/>
  <c r="F801" i="23" s="1"/>
  <c r="L798" i="23"/>
  <c r="L797" i="23" s="1"/>
  <c r="L796" i="23" s="1"/>
  <c r="I798" i="23"/>
  <c r="I797" i="23" s="1"/>
  <c r="I796" i="23" s="1"/>
  <c r="I794" i="23" s="1"/>
  <c r="I793" i="23" s="1"/>
  <c r="F798" i="23"/>
  <c r="F797" i="23" s="1"/>
  <c r="F796" i="23" s="1"/>
  <c r="L789" i="23"/>
  <c r="L788" i="23" s="1"/>
  <c r="I789" i="23"/>
  <c r="I788" i="23" s="1"/>
  <c r="F789" i="23"/>
  <c r="F788" i="23" s="1"/>
  <c r="L785" i="23"/>
  <c r="L782" i="23" s="1"/>
  <c r="I785" i="23"/>
  <c r="I782" i="23" s="1"/>
  <c r="F785" i="23"/>
  <c r="F782" i="23" s="1"/>
  <c r="I775" i="23"/>
  <c r="I774" i="23" s="1"/>
  <c r="I773" i="23" s="1"/>
  <c r="I772" i="23" s="1"/>
  <c r="I771" i="23" s="1"/>
  <c r="I770" i="23" s="1"/>
  <c r="F775" i="23"/>
  <c r="F774" i="23" s="1"/>
  <c r="F773" i="23" s="1"/>
  <c r="F772" i="23" s="1"/>
  <c r="F771" i="23" s="1"/>
  <c r="F770" i="23" s="1"/>
  <c r="L775" i="23"/>
  <c r="L774" i="23" s="1"/>
  <c r="L773" i="23" s="1"/>
  <c r="L772" i="23" s="1"/>
  <c r="L771" i="23" s="1"/>
  <c r="L770" i="23" s="1"/>
  <c r="I767" i="23"/>
  <c r="I766" i="23" s="1"/>
  <c r="I765" i="23" s="1"/>
  <c r="I764" i="23" s="1"/>
  <c r="I763" i="23" s="1"/>
  <c r="F767" i="23"/>
  <c r="F766" i="23" s="1"/>
  <c r="F765" i="23" s="1"/>
  <c r="F764" i="23" s="1"/>
  <c r="F763" i="23" s="1"/>
  <c r="L767" i="23"/>
  <c r="L766" i="23" s="1"/>
  <c r="L765" i="23" s="1"/>
  <c r="L764" i="23" s="1"/>
  <c r="L763" i="23" s="1"/>
  <c r="F757" i="23"/>
  <c r="F756" i="23" s="1"/>
  <c r="F749" i="23"/>
  <c r="F748" i="23" s="1"/>
  <c r="L748" i="23"/>
  <c r="I748" i="23"/>
  <c r="F746" i="23"/>
  <c r="F744" i="23"/>
  <c r="L743" i="23"/>
  <c r="I743" i="23"/>
  <c r="L738" i="23"/>
  <c r="L737" i="23" s="1"/>
  <c r="L736" i="23" s="1"/>
  <c r="L735" i="23" s="1"/>
  <c r="I738" i="23"/>
  <c r="I737" i="23" s="1"/>
  <c r="I736" i="23" s="1"/>
  <c r="I735" i="23" s="1"/>
  <c r="F738" i="23"/>
  <c r="F737" i="23" s="1"/>
  <c r="F736" i="23" s="1"/>
  <c r="F735" i="23" s="1"/>
  <c r="F730" i="23"/>
  <c r="F728" i="23"/>
  <c r="F727" i="23" s="1"/>
  <c r="I718" i="23"/>
  <c r="I717" i="23" s="1"/>
  <c r="I716" i="23" s="1"/>
  <c r="F717" i="23"/>
  <c r="F716" i="23" s="1"/>
  <c r="L713" i="23"/>
  <c r="I713" i="23"/>
  <c r="F713" i="23"/>
  <c r="L708" i="23"/>
  <c r="I708" i="23"/>
  <c r="F708" i="23"/>
  <c r="L705" i="23"/>
  <c r="I705" i="23"/>
  <c r="F705" i="23"/>
  <c r="L686" i="23"/>
  <c r="L685" i="23" s="1"/>
  <c r="L684" i="23" s="1"/>
  <c r="L683" i="23" s="1"/>
  <c r="L682" i="23" s="1"/>
  <c r="I686" i="23"/>
  <c r="I685" i="23" s="1"/>
  <c r="I684" i="23" s="1"/>
  <c r="I683" i="23" s="1"/>
  <c r="I682" i="23" s="1"/>
  <c r="F686" i="23"/>
  <c r="F685" i="23" s="1"/>
  <c r="F684" i="23" s="1"/>
  <c r="F683" i="23" s="1"/>
  <c r="I679" i="23"/>
  <c r="I678" i="23" s="1"/>
  <c r="I677" i="23" s="1"/>
  <c r="I676" i="23" s="1"/>
  <c r="I675" i="23" s="1"/>
  <c r="F679" i="23"/>
  <c r="F678" i="23" s="1"/>
  <c r="F677" i="23" s="1"/>
  <c r="F676" i="23" s="1"/>
  <c r="F675" i="23" s="1"/>
  <c r="L679" i="23"/>
  <c r="L678" i="23" s="1"/>
  <c r="L677" i="23" s="1"/>
  <c r="L676" i="23" s="1"/>
  <c r="L675" i="23" s="1"/>
  <c r="L671" i="23"/>
  <c r="L670" i="23" s="1"/>
  <c r="I671" i="23"/>
  <c r="I670" i="23" s="1"/>
  <c r="F671" i="23"/>
  <c r="F670" i="23" s="1"/>
  <c r="L667" i="23"/>
  <c r="L666" i="23" s="1"/>
  <c r="I667" i="23"/>
  <c r="I666" i="23" s="1"/>
  <c r="F667" i="23"/>
  <c r="F666" i="23" s="1"/>
  <c r="L663" i="23"/>
  <c r="L662" i="23" s="1"/>
  <c r="I663" i="23"/>
  <c r="I662" i="23" s="1"/>
  <c r="F663" i="23"/>
  <c r="F662" i="23" s="1"/>
  <c r="I649" i="23"/>
  <c r="I648" i="23" s="1"/>
  <c r="I647" i="23" s="1"/>
  <c r="L648" i="23"/>
  <c r="L647" i="23" s="1"/>
  <c r="F642" i="23"/>
  <c r="F641" i="23" s="1"/>
  <c r="L641" i="23"/>
  <c r="I641" i="23"/>
  <c r="L634" i="23"/>
  <c r="L633" i="23" s="1"/>
  <c r="L632" i="23" s="1"/>
  <c r="L631" i="23" s="1"/>
  <c r="L630" i="23" s="1"/>
  <c r="I634" i="23"/>
  <c r="I633" i="23" s="1"/>
  <c r="I632" i="23" s="1"/>
  <c r="I631" i="23" s="1"/>
  <c r="I630" i="23" s="1"/>
  <c r="F634" i="23"/>
  <c r="F633" i="23" s="1"/>
  <c r="F632" i="23" s="1"/>
  <c r="F631" i="23" s="1"/>
  <c r="F630" i="23" s="1"/>
  <c r="L613" i="23"/>
  <c r="L612" i="23" s="1"/>
  <c r="I613" i="23"/>
  <c r="I612" i="23" s="1"/>
  <c r="F613" i="23"/>
  <c r="F612" i="23" s="1"/>
  <c r="L609" i="23"/>
  <c r="L608" i="23" s="1"/>
  <c r="I609" i="23"/>
  <c r="I608" i="23" s="1"/>
  <c r="F609" i="23"/>
  <c r="F608" i="23" s="1"/>
  <c r="L601" i="23"/>
  <c r="L600" i="23" s="1"/>
  <c r="I601" i="23"/>
  <c r="I600" i="23" s="1"/>
  <c r="F601" i="23"/>
  <c r="F600" i="23" s="1"/>
  <c r="L595" i="23"/>
  <c r="L594" i="23" s="1"/>
  <c r="I595" i="23"/>
  <c r="I594" i="23" s="1"/>
  <c r="F595" i="23"/>
  <c r="F594" i="23" s="1"/>
  <c r="L573" i="23"/>
  <c r="L572" i="23" s="1"/>
  <c r="I573" i="23"/>
  <c r="I572" i="23" s="1"/>
  <c r="F573" i="23"/>
  <c r="F572" i="23" s="1"/>
  <c r="L568" i="23"/>
  <c r="L567" i="23" s="1"/>
  <c r="L566" i="23" s="1"/>
  <c r="L565" i="23" s="1"/>
  <c r="I568" i="23"/>
  <c r="I567" i="23" s="1"/>
  <c r="I566" i="23" s="1"/>
  <c r="I565" i="23" s="1"/>
  <c r="I560" i="23" s="1"/>
  <c r="I559" i="23" s="1"/>
  <c r="F568" i="23"/>
  <c r="F567" i="23" s="1"/>
  <c r="F566" i="23" s="1"/>
  <c r="F565" i="23" s="1"/>
  <c r="L588" i="23"/>
  <c r="L585" i="23" s="1"/>
  <c r="L584" i="23" s="1"/>
  <c r="I588" i="23"/>
  <c r="I585" i="23" s="1"/>
  <c r="I584" i="23" s="1"/>
  <c r="F588" i="23"/>
  <c r="F585" i="23" s="1"/>
  <c r="F584" i="23" s="1"/>
  <c r="F557" i="23"/>
  <c r="F555" i="23"/>
  <c r="L540" i="23"/>
  <c r="I540" i="23"/>
  <c r="L538" i="23"/>
  <c r="L537" i="23" s="1"/>
  <c r="L536" i="23" s="1"/>
  <c r="I538" i="23"/>
  <c r="I537" i="23" s="1"/>
  <c r="I536" i="23" s="1"/>
  <c r="F538" i="23"/>
  <c r="F537" i="23" s="1"/>
  <c r="F536" i="23" s="1"/>
  <c r="F523" i="23"/>
  <c r="F521" i="23"/>
  <c r="L519" i="23"/>
  <c r="L518" i="23" s="1"/>
  <c r="I519" i="23"/>
  <c r="I518" i="23" s="1"/>
  <c r="F519" i="23"/>
  <c r="L514" i="23"/>
  <c r="I514" i="23"/>
  <c r="F514" i="23"/>
  <c r="I512" i="23"/>
  <c r="F512" i="23"/>
  <c r="L512" i="23"/>
  <c r="F510" i="23"/>
  <c r="L503" i="23"/>
  <c r="L502" i="23" s="1"/>
  <c r="L501" i="23" s="1"/>
  <c r="I503" i="23"/>
  <c r="I502" i="23" s="1"/>
  <c r="I501" i="23" s="1"/>
  <c r="F503" i="23"/>
  <c r="F502" i="23" s="1"/>
  <c r="F501" i="23" s="1"/>
  <c r="L496" i="23"/>
  <c r="I496" i="23"/>
  <c r="F496" i="23"/>
  <c r="F494" i="23"/>
  <c r="L485" i="23"/>
  <c r="L484" i="23" s="1"/>
  <c r="L483" i="23" s="1"/>
  <c r="L482" i="23" s="1"/>
  <c r="L481" i="23" s="1"/>
  <c r="L480" i="23" s="1"/>
  <c r="I485" i="23"/>
  <c r="I484" i="23" s="1"/>
  <c r="I483" i="23" s="1"/>
  <c r="I482" i="23" s="1"/>
  <c r="I481" i="23" s="1"/>
  <c r="I480" i="23" s="1"/>
  <c r="F485" i="23"/>
  <c r="F484" i="23" s="1"/>
  <c r="F483" i="23" s="1"/>
  <c r="F482" i="23" s="1"/>
  <c r="F481" i="23" s="1"/>
  <c r="F480" i="23" s="1"/>
  <c r="L476" i="23"/>
  <c r="L475" i="23" s="1"/>
  <c r="L474" i="23" s="1"/>
  <c r="L473" i="23" s="1"/>
  <c r="I476" i="23"/>
  <c r="I475" i="23" s="1"/>
  <c r="I474" i="23" s="1"/>
  <c r="I473" i="23" s="1"/>
  <c r="F476" i="23"/>
  <c r="F475" i="23" s="1"/>
  <c r="F474" i="23" s="1"/>
  <c r="F473" i="23" s="1"/>
  <c r="L470" i="23"/>
  <c r="I470" i="23"/>
  <c r="F470" i="23"/>
  <c r="F465" i="23"/>
  <c r="L462" i="23"/>
  <c r="L461" i="23" s="1"/>
  <c r="I463" i="23"/>
  <c r="I462" i="23" s="1"/>
  <c r="I461" i="23" s="1"/>
  <c r="F463" i="23"/>
  <c r="L457" i="23"/>
  <c r="L456" i="23" s="1"/>
  <c r="L455" i="23" s="1"/>
  <c r="I457" i="23"/>
  <c r="I456" i="23" s="1"/>
  <c r="I455" i="23" s="1"/>
  <c r="F457" i="23"/>
  <c r="F456" i="23" s="1"/>
  <c r="F455" i="23" s="1"/>
  <c r="L452" i="23"/>
  <c r="L451" i="23" s="1"/>
  <c r="I452" i="23"/>
  <c r="I451" i="23" s="1"/>
  <c r="F452" i="23"/>
  <c r="F451" i="23" s="1"/>
  <c r="L447" i="23"/>
  <c r="L446" i="23" s="1"/>
  <c r="L445" i="23" s="1"/>
  <c r="L444" i="23" s="1"/>
  <c r="L443" i="23" s="1"/>
  <c r="L442" i="23" s="1"/>
  <c r="I447" i="23"/>
  <c r="I446" i="23" s="1"/>
  <c r="I445" i="23" s="1"/>
  <c r="I444" i="23" s="1"/>
  <c r="I443" i="23" s="1"/>
  <c r="I442" i="23" s="1"/>
  <c r="F447" i="23"/>
  <c r="F446" i="23" s="1"/>
  <c r="F445" i="23" s="1"/>
  <c r="F444" i="23" s="1"/>
  <c r="F443" i="23" s="1"/>
  <c r="F442" i="23" s="1"/>
  <c r="F435" i="23"/>
  <c r="F434" i="23" s="1"/>
  <c r="F433" i="23" s="1"/>
  <c r="F432" i="23" s="1"/>
  <c r="F431" i="23" s="1"/>
  <c r="F430" i="23" s="1"/>
  <c r="L435" i="23"/>
  <c r="L434" i="23" s="1"/>
  <c r="L433" i="23" s="1"/>
  <c r="L432" i="23" s="1"/>
  <c r="L431" i="23" s="1"/>
  <c r="L430" i="23" s="1"/>
  <c r="L422" i="23"/>
  <c r="L414" i="23" s="1"/>
  <c r="L413" i="23" s="1"/>
  <c r="L412" i="23" s="1"/>
  <c r="L411" i="23" s="1"/>
  <c r="L410" i="23" s="1"/>
  <c r="L409" i="23" s="1"/>
  <c r="F415" i="23"/>
  <c r="I416" i="23"/>
  <c r="I415" i="23"/>
  <c r="I414" i="23" s="1"/>
  <c r="I413" i="23" s="1"/>
  <c r="I412" i="23" s="1"/>
  <c r="I411" i="23" s="1"/>
  <c r="I410" i="23" s="1"/>
  <c r="I409" i="23" s="1"/>
  <c r="L397" i="23"/>
  <c r="L396" i="23" s="1"/>
  <c r="I397" i="23"/>
  <c r="I396" i="23" s="1"/>
  <c r="F397" i="23"/>
  <c r="F396" i="23" s="1"/>
  <c r="L392" i="23"/>
  <c r="F388" i="23"/>
  <c r="F387" i="23" s="1"/>
  <c r="L387" i="23"/>
  <c r="I387" i="23"/>
  <c r="F384" i="23"/>
  <c r="F383" i="23" s="1"/>
  <c r="I383" i="23"/>
  <c r="F379" i="23"/>
  <c r="F376" i="23" s="1"/>
  <c r="F367" i="23"/>
  <c r="F361" i="23"/>
  <c r="L350" i="23"/>
  <c r="L349" i="23" s="1"/>
  <c r="I350" i="23"/>
  <c r="I349" i="23" s="1"/>
  <c r="F350" i="23"/>
  <c r="F349" i="23" s="1"/>
  <c r="F327" i="23"/>
  <c r="F321" i="23" s="1"/>
  <c r="I324" i="23"/>
  <c r="I321" i="23" s="1"/>
  <c r="I320" i="23" s="1"/>
  <c r="L317" i="23"/>
  <c r="L316" i="23" s="1"/>
  <c r="I317" i="23"/>
  <c r="I316" i="23" s="1"/>
  <c r="F317" i="23"/>
  <c r="F316" i="23" s="1"/>
  <c r="L305" i="23"/>
  <c r="L304" i="23" s="1"/>
  <c r="L303" i="23" s="1"/>
  <c r="I305" i="23"/>
  <c r="I304" i="23" s="1"/>
  <c r="I303" i="23" s="1"/>
  <c r="F305" i="23"/>
  <c r="F304" i="23" s="1"/>
  <c r="F303" i="23" s="1"/>
  <c r="L288" i="23"/>
  <c r="I281" i="23"/>
  <c r="I280" i="23" s="1"/>
  <c r="F281" i="23"/>
  <c r="F280" i="23" s="1"/>
  <c r="F279" i="23" s="1"/>
  <c r="L281" i="23"/>
  <c r="L280" i="23" s="1"/>
  <c r="F277" i="23"/>
  <c r="F276" i="23" s="1"/>
  <c r="L276" i="23"/>
  <c r="I276" i="23"/>
  <c r="F273" i="23"/>
  <c r="F272" i="23" s="1"/>
  <c r="L272" i="23"/>
  <c r="L269" i="23" s="1"/>
  <c r="I272" i="23"/>
  <c r="I269" i="23" s="1"/>
  <c r="F270" i="23"/>
  <c r="F259" i="23"/>
  <c r="L259" i="23"/>
  <c r="L258" i="23" s="1"/>
  <c r="I259" i="23"/>
  <c r="I258" i="23" s="1"/>
  <c r="L255" i="23"/>
  <c r="I255" i="23"/>
  <c r="L241" i="23"/>
  <c r="L240" i="23" s="1"/>
  <c r="L239" i="23" s="1"/>
  <c r="I241" i="23"/>
  <c r="I240" i="23" s="1"/>
  <c r="I239" i="23" s="1"/>
  <c r="F241" i="23"/>
  <c r="L230" i="23"/>
  <c r="I230" i="23"/>
  <c r="F230" i="23"/>
  <c r="L226" i="23"/>
  <c r="I226" i="23"/>
  <c r="F223" i="23"/>
  <c r="L222" i="23"/>
  <c r="I222" i="23"/>
  <c r="F222" i="23"/>
  <c r="L210" i="23"/>
  <c r="I210" i="23"/>
  <c r="F210" i="23"/>
  <c r="L203" i="23"/>
  <c r="L202" i="23" s="1"/>
  <c r="L201" i="23" s="1"/>
  <c r="I203" i="23"/>
  <c r="I202" i="23" s="1"/>
  <c r="I201" i="23" s="1"/>
  <c r="F203" i="23"/>
  <c r="F202" i="23" s="1"/>
  <c r="F201" i="23" s="1"/>
  <c r="L197" i="23"/>
  <c r="L196" i="23" s="1"/>
  <c r="L195" i="23" s="1"/>
  <c r="I197" i="23"/>
  <c r="I196" i="23" s="1"/>
  <c r="I195" i="23" s="1"/>
  <c r="F197" i="23"/>
  <c r="F196" i="23" s="1"/>
  <c r="F195" i="23" s="1"/>
  <c r="I192" i="23"/>
  <c r="I191" i="23" s="1"/>
  <c r="I190" i="23" s="1"/>
  <c r="F192" i="23"/>
  <c r="F191" i="23" s="1"/>
  <c r="F190" i="23" s="1"/>
  <c r="L192" i="23"/>
  <c r="L191" i="23" s="1"/>
  <c r="L190" i="23" s="1"/>
  <c r="L181" i="23"/>
  <c r="F181" i="23"/>
  <c r="I181" i="23"/>
  <c r="L178" i="23"/>
  <c r="I178" i="23"/>
  <c r="F178" i="23"/>
  <c r="L170" i="23"/>
  <c r="L169" i="23" s="1"/>
  <c r="I170" i="23"/>
  <c r="I169" i="23" s="1"/>
  <c r="F170" i="23"/>
  <c r="F169" i="23" s="1"/>
  <c r="L160" i="23"/>
  <c r="L159" i="23" s="1"/>
  <c r="L158" i="23" s="1"/>
  <c r="I160" i="23"/>
  <c r="I159" i="23" s="1"/>
  <c r="I158" i="23" s="1"/>
  <c r="F160" i="23"/>
  <c r="F159" i="23" s="1"/>
  <c r="F158" i="23" s="1"/>
  <c r="L153" i="23"/>
  <c r="L152" i="23" s="1"/>
  <c r="I153" i="23"/>
  <c r="I152" i="23" s="1"/>
  <c r="F153" i="23"/>
  <c r="F152" i="23" s="1"/>
  <c r="L140" i="23"/>
  <c r="L139" i="23" s="1"/>
  <c r="L138" i="23" s="1"/>
  <c r="L137" i="23" s="1"/>
  <c r="L136" i="23" s="1"/>
  <c r="I140" i="23"/>
  <c r="I139" i="23" s="1"/>
  <c r="I138" i="23" s="1"/>
  <c r="I137" i="23" s="1"/>
  <c r="I136" i="23" s="1"/>
  <c r="F140" i="23"/>
  <c r="L133" i="23"/>
  <c r="L128" i="23" s="1"/>
  <c r="L127" i="23" s="1"/>
  <c r="L126" i="23" s="1"/>
  <c r="L125" i="23" s="1"/>
  <c r="I133" i="23"/>
  <c r="I128" i="23" s="1"/>
  <c r="I127" i="23" s="1"/>
  <c r="I126" i="23" s="1"/>
  <c r="I125" i="23" s="1"/>
  <c r="F133" i="23"/>
  <c r="F128" i="23" s="1"/>
  <c r="F127" i="23" s="1"/>
  <c r="F126" i="23" s="1"/>
  <c r="F125" i="23" s="1"/>
  <c r="L120" i="23"/>
  <c r="L119" i="23" s="1"/>
  <c r="L118" i="23" s="1"/>
  <c r="L117" i="23" s="1"/>
  <c r="L116" i="23" s="1"/>
  <c r="L115" i="23" s="1"/>
  <c r="I120" i="23"/>
  <c r="I119" i="23" s="1"/>
  <c r="I118" i="23" s="1"/>
  <c r="I117" i="23" s="1"/>
  <c r="I116" i="23" s="1"/>
  <c r="I115" i="23" s="1"/>
  <c r="F120" i="23"/>
  <c r="F119" i="23" s="1"/>
  <c r="F118" i="23" s="1"/>
  <c r="F117" i="23" s="1"/>
  <c r="F116" i="23" s="1"/>
  <c r="F115" i="23" s="1"/>
  <c r="L113" i="23"/>
  <c r="I113" i="23"/>
  <c r="L111" i="23"/>
  <c r="I111" i="23"/>
  <c r="F111" i="23"/>
  <c r="L110" i="23"/>
  <c r="I110" i="23"/>
  <c r="F109" i="23"/>
  <c r="F105" i="23"/>
  <c r="L105" i="23"/>
  <c r="I105" i="23"/>
  <c r="I99" i="23"/>
  <c r="I98" i="23" s="1"/>
  <c r="I97" i="23" s="1"/>
  <c r="L94" i="23"/>
  <c r="L93" i="23" s="1"/>
  <c r="L92" i="23" s="1"/>
  <c r="I94" i="23"/>
  <c r="I93" i="23" s="1"/>
  <c r="I92" i="23" s="1"/>
  <c r="F94" i="23"/>
  <c r="F93" i="23" s="1"/>
  <c r="F92" i="23" s="1"/>
  <c r="L52" i="23"/>
  <c r="I52" i="23"/>
  <c r="F52" i="23"/>
  <c r="L46" i="23"/>
  <c r="L45" i="23" s="1"/>
  <c r="I46" i="23"/>
  <c r="I45" i="23" s="1"/>
  <c r="F46" i="23"/>
  <c r="F45" i="23" s="1"/>
  <c r="F24" i="23"/>
  <c r="F23" i="23" s="1"/>
  <c r="F22" i="23" s="1"/>
  <c r="L24" i="23"/>
  <c r="L23" i="23" s="1"/>
  <c r="L22" i="23" s="1"/>
  <c r="I24" i="23"/>
  <c r="I23" i="23" s="1"/>
  <c r="I22" i="23" s="1"/>
  <c r="L17" i="23"/>
  <c r="L16" i="23" s="1"/>
  <c r="L15" i="23" s="1"/>
  <c r="L14" i="23" s="1"/>
  <c r="L13" i="23" s="1"/>
  <c r="L12" i="23" s="1"/>
  <c r="I17" i="23"/>
  <c r="I16" i="23" s="1"/>
  <c r="I15" i="23" s="1"/>
  <c r="I14" i="23" s="1"/>
  <c r="I13" i="23" s="1"/>
  <c r="I12" i="23" s="1"/>
  <c r="F17" i="23"/>
  <c r="F16" i="23" s="1"/>
  <c r="F15" i="23" s="1"/>
  <c r="F356" i="23" l="1"/>
  <c r="F240" i="23"/>
  <c r="F239" i="23" s="1"/>
  <c r="L808" i="23"/>
  <c r="F51" i="23"/>
  <c r="F50" i="23" s="1"/>
  <c r="I808" i="23"/>
  <c r="I807" i="23" s="1"/>
  <c r="I806" i="23" s="1"/>
  <c r="I792" i="23" s="1"/>
  <c r="I791" i="23" s="1"/>
  <c r="L51" i="23"/>
  <c r="L50" i="23" s="1"/>
  <c r="I51" i="23"/>
  <c r="I50" i="23" s="1"/>
  <c r="I450" i="23"/>
  <c r="I449" i="23" s="1"/>
  <c r="F320" i="23"/>
  <c r="F315" i="23" s="1"/>
  <c r="F450" i="23"/>
  <c r="F449" i="23" s="1"/>
  <c r="L450" i="23"/>
  <c r="L449" i="23" s="1"/>
  <c r="L287" i="23"/>
  <c r="L286" i="23" s="1"/>
  <c r="F414" i="23"/>
  <c r="F413" i="23" s="1"/>
  <c r="F412" i="23" s="1"/>
  <c r="F411" i="23" s="1"/>
  <c r="F410" i="23" s="1"/>
  <c r="F355" i="23"/>
  <c r="F139" i="23"/>
  <c r="F138" i="23" s="1"/>
  <c r="F137" i="23" s="1"/>
  <c r="F136" i="23" s="1"/>
  <c r="I199" i="23"/>
  <c r="I200" i="23"/>
  <c r="F199" i="23"/>
  <c r="F200" i="23"/>
  <c r="F14" i="23"/>
  <c r="F13" i="23" s="1"/>
  <c r="F12" i="23" s="1"/>
  <c r="L199" i="23"/>
  <c r="L200" i="23"/>
  <c r="I704" i="23"/>
  <c r="I703" i="23" s="1"/>
  <c r="I702" i="23" s="1"/>
  <c r="I701" i="23" s="1"/>
  <c r="L704" i="23"/>
  <c r="L703" i="23" s="1"/>
  <c r="L702" i="23" s="1"/>
  <c r="L701" i="23" s="1"/>
  <c r="L261" i="23"/>
  <c r="I261" i="23"/>
  <c r="F261" i="23"/>
  <c r="I288" i="23"/>
  <c r="I287" i="23" s="1"/>
  <c r="F571" i="23"/>
  <c r="F564" i="23" s="1"/>
  <c r="F563" i="23" s="1"/>
  <c r="I674" i="23"/>
  <c r="L674" i="23"/>
  <c r="L254" i="23"/>
  <c r="I621" i="23"/>
  <c r="I620" i="23" s="1"/>
  <c r="I607" i="23" s="1"/>
  <c r="I606" i="23" s="1"/>
  <c r="I605" i="23" s="1"/>
  <c r="I604" i="23" s="1"/>
  <c r="I571" i="23"/>
  <c r="I564" i="23" s="1"/>
  <c r="I563" i="23" s="1"/>
  <c r="I221" i="23"/>
  <c r="L571" i="23"/>
  <c r="L564" i="23" s="1"/>
  <c r="L563" i="23" s="1"/>
  <c r="F518" i="23"/>
  <c r="L355" i="23"/>
  <c r="L348" i="23" s="1"/>
  <c r="L509" i="23"/>
  <c r="F221" i="23"/>
  <c r="F209" i="23" s="1"/>
  <c r="L28" i="23"/>
  <c r="L27" i="23" s="1"/>
  <c r="L21" i="23" s="1"/>
  <c r="L20" i="23" s="1"/>
  <c r="I28" i="23"/>
  <c r="I27" i="23" s="1"/>
  <c r="I21" i="23" s="1"/>
  <c r="I20" i="23" s="1"/>
  <c r="I315" i="23"/>
  <c r="F269" i="23"/>
  <c r="F268" i="23" s="1"/>
  <c r="I254" i="23"/>
  <c r="L72" i="23"/>
  <c r="F258" i="23"/>
  <c r="F254" i="23" s="1"/>
  <c r="I493" i="23"/>
  <c r="I268" i="23"/>
  <c r="I104" i="23"/>
  <c r="I103" i="23" s="1"/>
  <c r="L104" i="23"/>
  <c r="L103" i="23" s="1"/>
  <c r="F391" i="23"/>
  <c r="F390" i="23" s="1"/>
  <c r="F386" i="23" s="1"/>
  <c r="I87" i="23"/>
  <c r="I86" i="23" s="1"/>
  <c r="L87" i="23"/>
  <c r="L86" i="23" s="1"/>
  <c r="L268" i="23"/>
  <c r="I72" i="23"/>
  <c r="I742" i="23"/>
  <c r="I741" i="23" s="1"/>
  <c r="I734" i="23" s="1"/>
  <c r="I733" i="23" s="1"/>
  <c r="F87" i="23"/>
  <c r="F86" i="23" s="1"/>
  <c r="F72" i="23"/>
  <c r="F151" i="23"/>
  <c r="F150" i="23" s="1"/>
  <c r="F149" i="23" s="1"/>
  <c r="L221" i="23"/>
  <c r="L209" i="23" s="1"/>
  <c r="I151" i="23"/>
  <c r="I150" i="23" s="1"/>
  <c r="I149" i="23" s="1"/>
  <c r="I124" i="23" s="1"/>
  <c r="L493" i="23"/>
  <c r="F392" i="23"/>
  <c r="L391" i="23"/>
  <c r="L390" i="23" s="1"/>
  <c r="L386" i="23" s="1"/>
  <c r="F462" i="23"/>
  <c r="F461" i="23" s="1"/>
  <c r="F460" i="23" s="1"/>
  <c r="F459" i="23" s="1"/>
  <c r="F493" i="23"/>
  <c r="F492" i="23" s="1"/>
  <c r="F491" i="23" s="1"/>
  <c r="I554" i="23"/>
  <c r="I553" i="23" s="1"/>
  <c r="I552" i="23" s="1"/>
  <c r="I551" i="23" s="1"/>
  <c r="I550" i="23" s="1"/>
  <c r="F416" i="23"/>
  <c r="F28" i="23"/>
  <c r="F27" i="23" s="1"/>
  <c r="F21" i="23" s="1"/>
  <c r="F540" i="23"/>
  <c r="I177" i="23"/>
  <c r="I176" i="23" s="1"/>
  <c r="I175" i="23" s="1"/>
  <c r="I174" i="23" s="1"/>
  <c r="I509" i="23"/>
  <c r="F781" i="23"/>
  <c r="F780" i="23" s="1"/>
  <c r="F779" i="23" s="1"/>
  <c r="F778" i="23" s="1"/>
  <c r="F509" i="23"/>
  <c r="L554" i="23"/>
  <c r="L553" i="23" s="1"/>
  <c r="L552" i="23" s="1"/>
  <c r="L551" i="23" s="1"/>
  <c r="L550" i="23" s="1"/>
  <c r="L279" i="23"/>
  <c r="L177" i="23"/>
  <c r="L176" i="23" s="1"/>
  <c r="L175" i="23" s="1"/>
  <c r="L174" i="23" s="1"/>
  <c r="I661" i="23"/>
  <c r="I660" i="23" s="1"/>
  <c r="I659" i="23" s="1"/>
  <c r="I658" i="23" s="1"/>
  <c r="F661" i="23"/>
  <c r="F660" i="23" s="1"/>
  <c r="F659" i="23" s="1"/>
  <c r="F658" i="23" s="1"/>
  <c r="F554" i="23"/>
  <c r="F553" i="23" s="1"/>
  <c r="L151" i="23"/>
  <c r="L150" i="23" s="1"/>
  <c r="L149" i="23" s="1"/>
  <c r="L124" i="23" s="1"/>
  <c r="L661" i="23"/>
  <c r="L660" i="23" s="1"/>
  <c r="L659" i="23" s="1"/>
  <c r="L658" i="23" s="1"/>
  <c r="L807" i="23"/>
  <c r="L806" i="23" s="1"/>
  <c r="L794" i="23"/>
  <c r="L793" i="23" s="1"/>
  <c r="L795" i="23"/>
  <c r="F177" i="23"/>
  <c r="F176" i="23" s="1"/>
  <c r="F175" i="23" s="1"/>
  <c r="F174" i="23" s="1"/>
  <c r="L781" i="23"/>
  <c r="L780" i="23" s="1"/>
  <c r="L779" i="23" s="1"/>
  <c r="L778" i="23" s="1"/>
  <c r="I781" i="23"/>
  <c r="I780" i="23" s="1"/>
  <c r="I779" i="23" s="1"/>
  <c r="I778" i="23" s="1"/>
  <c r="F620" i="23"/>
  <c r="F607" i="23" s="1"/>
  <c r="F606" i="23" s="1"/>
  <c r="F605" i="23" s="1"/>
  <c r="F604" i="23" s="1"/>
  <c r="I640" i="23"/>
  <c r="I639" i="23" s="1"/>
  <c r="I638" i="23" s="1"/>
  <c r="I637" i="23" s="1"/>
  <c r="F682" i="23"/>
  <c r="F674" i="23" s="1"/>
  <c r="F743" i="23"/>
  <c r="F742" i="23" s="1"/>
  <c r="F741" i="23" s="1"/>
  <c r="F734" i="23" s="1"/>
  <c r="F733" i="23" s="1"/>
  <c r="L315" i="23"/>
  <c r="I391" i="23"/>
  <c r="I390" i="23" s="1"/>
  <c r="I386" i="23" s="1"/>
  <c r="F726" i="23"/>
  <c r="F755" i="23"/>
  <c r="F754" i="23" s="1"/>
  <c r="F753" i="23" s="1"/>
  <c r="F752" i="23" s="1"/>
  <c r="F751" i="23" s="1"/>
  <c r="L640" i="23"/>
  <c r="L639" i="23" s="1"/>
  <c r="L638" i="23" s="1"/>
  <c r="L637" i="23" s="1"/>
  <c r="L742" i="23"/>
  <c r="L741" i="23" s="1"/>
  <c r="L734" i="23" s="1"/>
  <c r="L733" i="23" s="1"/>
  <c r="I279" i="23"/>
  <c r="F795" i="23"/>
  <c r="F794" i="23"/>
  <c r="F793" i="23" s="1"/>
  <c r="F816" i="23"/>
  <c r="I392" i="23"/>
  <c r="L460" i="23"/>
  <c r="L459" i="23" s="1"/>
  <c r="F113" i="23"/>
  <c r="F104" i="23" s="1"/>
  <c r="F103" i="23" s="1"/>
  <c r="I460" i="23"/>
  <c r="I459" i="23" s="1"/>
  <c r="I795" i="23"/>
  <c r="F552" i="23" l="1"/>
  <c r="F551" i="23" s="1"/>
  <c r="F550" i="23" s="1"/>
  <c r="F208" i="23"/>
  <c r="F207" i="23" s="1"/>
  <c r="F206" i="23" s="1"/>
  <c r="I209" i="23"/>
  <c r="I208" i="23" s="1"/>
  <c r="I207" i="23" s="1"/>
  <c r="I206" i="23" s="1"/>
  <c r="F808" i="23"/>
  <c r="F807" i="23" s="1"/>
  <c r="F806" i="23" s="1"/>
  <c r="F792" i="23" s="1"/>
  <c r="F791" i="23" s="1"/>
  <c r="F409" i="23"/>
  <c r="I19" i="23"/>
  <c r="L19" i="23"/>
  <c r="I492" i="23"/>
  <c r="L492" i="23"/>
  <c r="L441" i="23"/>
  <c r="I441" i="23"/>
  <c r="L314" i="23"/>
  <c r="L313" i="23" s="1"/>
  <c r="I286" i="23"/>
  <c r="F124" i="23"/>
  <c r="F20" i="23"/>
  <c r="F19" i="23" s="1"/>
  <c r="F71" i="23"/>
  <c r="F70" i="23" s="1"/>
  <c r="F69" i="23" s="1"/>
  <c r="F508" i="23"/>
  <c r="F507" i="23" s="1"/>
  <c r="F506" i="23" s="1"/>
  <c r="F505" i="23" s="1"/>
  <c r="L253" i="23"/>
  <c r="L252" i="23" s="1"/>
  <c r="I508" i="23"/>
  <c r="I507" i="23" s="1"/>
  <c r="I506" i="23" s="1"/>
  <c r="I505" i="23" s="1"/>
  <c r="L508" i="23"/>
  <c r="L507" i="23" s="1"/>
  <c r="L506" i="23" s="1"/>
  <c r="L505" i="23" s="1"/>
  <c r="F348" i="23"/>
  <c r="F347" i="23" s="1"/>
  <c r="F346" i="23" s="1"/>
  <c r="I355" i="23"/>
  <c r="L71" i="23"/>
  <c r="I253" i="23"/>
  <c r="I252" i="23" s="1"/>
  <c r="F253" i="23"/>
  <c r="F252" i="23" s="1"/>
  <c r="F441" i="23"/>
  <c r="F640" i="23"/>
  <c r="F639" i="23" s="1"/>
  <c r="F638" i="23" s="1"/>
  <c r="F637" i="23" s="1"/>
  <c r="F314" i="23"/>
  <c r="F313" i="23" s="1"/>
  <c r="I314" i="23"/>
  <c r="I313" i="23" s="1"/>
  <c r="I71" i="23"/>
  <c r="I70" i="23" s="1"/>
  <c r="I69" i="23" s="1"/>
  <c r="I11" i="23" s="1"/>
  <c r="L208" i="23"/>
  <c r="L207" i="23" s="1"/>
  <c r="L206" i="23" s="1"/>
  <c r="I700" i="23"/>
  <c r="I657" i="23" s="1"/>
  <c r="F490" i="23"/>
  <c r="F489" i="23" s="1"/>
  <c r="L792" i="23"/>
  <c r="L791" i="23" s="1"/>
  <c r="L700" i="23"/>
  <c r="L657" i="23" s="1"/>
  <c r="F704" i="23"/>
  <c r="F703" i="23" s="1"/>
  <c r="F702" i="23" s="1"/>
  <c r="F701" i="23" s="1"/>
  <c r="F700" i="23" s="1"/>
  <c r="F657" i="23" s="1"/>
  <c r="L347" i="23"/>
  <c r="L346" i="23" s="1"/>
  <c r="F288" i="23"/>
  <c r="F287" i="23" s="1"/>
  <c r="F11" i="23" l="1"/>
  <c r="L285" i="23"/>
  <c r="I173" i="23"/>
  <c r="F173" i="23"/>
  <c r="L491" i="23"/>
  <c r="L490" i="23" s="1"/>
  <c r="L489" i="23" s="1"/>
  <c r="L488" i="23" s="1"/>
  <c r="I491" i="23"/>
  <c r="I490" i="23" s="1"/>
  <c r="I489" i="23" s="1"/>
  <c r="I488" i="23" s="1"/>
  <c r="I479" i="23" s="1"/>
  <c r="F286" i="23"/>
  <c r="F285" i="23" s="1"/>
  <c r="L70" i="23"/>
  <c r="L69" i="23" s="1"/>
  <c r="L11" i="23" s="1"/>
  <c r="L173" i="23"/>
  <c r="F488" i="23"/>
  <c r="F479" i="23" s="1"/>
  <c r="I348" i="23"/>
  <c r="I347" i="23" s="1"/>
  <c r="J311" i="1"/>
  <c r="G311" i="1"/>
  <c r="D311" i="1"/>
  <c r="J258" i="1"/>
  <c r="I346" i="23" l="1"/>
  <c r="I285" i="23" s="1"/>
  <c r="I10" i="23" s="1"/>
  <c r="I820" i="23" s="1"/>
  <c r="F10" i="23"/>
  <c r="F820" i="23" s="1"/>
  <c r="L10" i="23"/>
  <c r="D519" i="1"/>
  <c r="D516" i="1" s="1"/>
  <c r="J523" i="1"/>
  <c r="G523" i="1"/>
  <c r="D523" i="1"/>
  <c r="G391" i="1" l="1"/>
  <c r="G390" i="1" s="1"/>
  <c r="D391" i="1"/>
  <c r="D390" i="1" s="1"/>
  <c r="J232" i="1" l="1"/>
  <c r="J231" i="1" s="1"/>
  <c r="G232" i="1"/>
  <c r="G231" i="1" s="1"/>
  <c r="D232" i="1"/>
  <c r="D231" i="1" s="1"/>
  <c r="J351" i="1" l="1"/>
  <c r="G351" i="1"/>
  <c r="D351" i="1"/>
  <c r="J95" i="1" l="1"/>
  <c r="J120" i="1" l="1"/>
  <c r="J119" i="1" s="1"/>
  <c r="G120" i="1"/>
  <c r="G119" i="1" s="1"/>
  <c r="D120" i="1"/>
  <c r="D119" i="1" s="1"/>
  <c r="J99" i="1" l="1"/>
  <c r="J428" i="1" l="1"/>
  <c r="D473" i="1"/>
  <c r="G467" i="1"/>
  <c r="D467" i="1"/>
  <c r="J83" i="1"/>
  <c r="J509" i="1"/>
  <c r="G509" i="1"/>
  <c r="J506" i="1"/>
  <c r="G506" i="1"/>
  <c r="D506" i="1"/>
  <c r="J501" i="1"/>
  <c r="G501" i="1"/>
  <c r="J496" i="1"/>
  <c r="J495" i="1" s="1"/>
  <c r="G496" i="1"/>
  <c r="G495" i="1" s="1"/>
  <c r="D496" i="1"/>
  <c r="J493" i="1"/>
  <c r="G493" i="1"/>
  <c r="D493" i="1"/>
  <c r="J491" i="1"/>
  <c r="G491" i="1"/>
  <c r="D491" i="1"/>
  <c r="J480" i="1"/>
  <c r="G480" i="1"/>
  <c r="D480" i="1"/>
  <c r="J478" i="1"/>
  <c r="G478" i="1"/>
  <c r="D478" i="1"/>
  <c r="J456" i="1"/>
  <c r="G456" i="1"/>
  <c r="D457" i="1"/>
  <c r="D459" i="1"/>
  <c r="G446" i="1"/>
  <c r="D446" i="1"/>
  <c r="J436" i="1"/>
  <c r="G436" i="1"/>
  <c r="G440" i="1"/>
  <c r="G439" i="1" s="1"/>
  <c r="G438" i="1" s="1"/>
  <c r="D439" i="1"/>
  <c r="D438" i="1" s="1"/>
  <c r="D456" i="1" l="1"/>
  <c r="G433" i="1"/>
  <c r="D433" i="1"/>
  <c r="G428" i="1"/>
  <c r="J416" i="1"/>
  <c r="G416" i="1"/>
  <c r="D416" i="1"/>
  <c r="G402" i="1"/>
  <c r="J409" i="1"/>
  <c r="J408" i="1" s="1"/>
  <c r="G409" i="1"/>
  <c r="G408" i="1" s="1"/>
  <c r="D409" i="1"/>
  <c r="D408" i="1" s="1"/>
  <c r="J398" i="1"/>
  <c r="G398" i="1"/>
  <c r="J395" i="1"/>
  <c r="D400" i="1"/>
  <c r="J388" i="1"/>
  <c r="G388" i="1"/>
  <c r="D388" i="1"/>
  <c r="J394" i="1" l="1"/>
  <c r="J393" i="1" s="1"/>
  <c r="J379" i="1" l="1"/>
  <c r="G379" i="1"/>
  <c r="D379" i="1"/>
  <c r="J377" i="1"/>
  <c r="G377" i="1"/>
  <c r="D377" i="1"/>
  <c r="D365" i="1"/>
  <c r="G376" i="1" l="1"/>
  <c r="J376" i="1"/>
  <c r="J363" i="1"/>
  <c r="G363" i="1"/>
  <c r="J361" i="1"/>
  <c r="G361" i="1"/>
  <c r="D361" i="1"/>
  <c r="G356" i="1" l="1"/>
  <c r="J356" i="1"/>
  <c r="G350" i="1"/>
  <c r="G349" i="1" s="1"/>
  <c r="D350" i="1"/>
  <c r="D349" i="1" s="1"/>
  <c r="J332" i="1"/>
  <c r="G332" i="1"/>
  <c r="J330" i="1"/>
  <c r="G330" i="1"/>
  <c r="D332" i="1"/>
  <c r="D330" i="1"/>
  <c r="J345" i="1"/>
  <c r="G345" i="1"/>
  <c r="D345" i="1"/>
  <c r="J343" i="1"/>
  <c r="G343" i="1"/>
  <c r="D343" i="1"/>
  <c r="J341" i="1"/>
  <c r="G341" i="1"/>
  <c r="J339" i="1"/>
  <c r="G339" i="1"/>
  <c r="D339" i="1"/>
  <c r="J336" i="1"/>
  <c r="G336" i="1"/>
  <c r="D336" i="1"/>
  <c r="J319" i="1"/>
  <c r="G319" i="1"/>
  <c r="D319" i="1"/>
  <c r="G306" i="1"/>
  <c r="G305" i="1" s="1"/>
  <c r="G304" i="1" s="1"/>
  <c r="J294" i="1"/>
  <c r="G294" i="1"/>
  <c r="J275" i="1"/>
  <c r="J274" i="1" s="1"/>
  <c r="G275" i="1"/>
  <c r="G274" i="1" s="1"/>
  <c r="D268" i="1"/>
  <c r="J290" i="1"/>
  <c r="G290" i="1"/>
  <c r="D290" i="1"/>
  <c r="J285" i="1"/>
  <c r="J284" i="1" s="1"/>
  <c r="G285" i="1"/>
  <c r="G284" i="1" s="1"/>
  <c r="D285" i="1"/>
  <c r="D284" i="1" s="1"/>
  <c r="J282" i="1"/>
  <c r="G282" i="1"/>
  <c r="D282" i="1"/>
  <c r="J278" i="1"/>
  <c r="J277" i="1" s="1"/>
  <c r="G278" i="1"/>
  <c r="G277" i="1" s="1"/>
  <c r="D260" i="1"/>
  <c r="D259" i="1" s="1"/>
  <c r="J253" i="1"/>
  <c r="G253" i="1"/>
  <c r="D253" i="1"/>
  <c r="J256" i="1"/>
  <c r="G256" i="1"/>
  <c r="J251" i="1"/>
  <c r="G251" i="1"/>
  <c r="J248" i="1"/>
  <c r="G248" i="1"/>
  <c r="D248" i="1"/>
  <c r="J245" i="1"/>
  <c r="G245" i="1"/>
  <c r="D245" i="1"/>
  <c r="J240" i="1"/>
  <c r="G240" i="1"/>
  <c r="D240" i="1"/>
  <c r="J237" i="1"/>
  <c r="G237" i="1"/>
  <c r="D237" i="1"/>
  <c r="J329" i="1" l="1"/>
  <c r="J328" i="1" s="1"/>
  <c r="G329" i="1"/>
  <c r="G328" i="1" s="1"/>
  <c r="D329" i="1"/>
  <c r="D328" i="1" s="1"/>
  <c r="G273" i="1"/>
  <c r="J273" i="1"/>
  <c r="J225" i="1"/>
  <c r="G225" i="1"/>
  <c r="D225" i="1"/>
  <c r="J228" i="1" l="1"/>
  <c r="G228" i="1"/>
  <c r="D228" i="1"/>
  <c r="J223" i="1"/>
  <c r="G223" i="1"/>
  <c r="D223" i="1"/>
  <c r="J218" i="1"/>
  <c r="G218" i="1"/>
  <c r="D218" i="1"/>
  <c r="J209" i="1"/>
  <c r="G209" i="1"/>
  <c r="D209" i="1"/>
  <c r="J207" i="1"/>
  <c r="G207" i="1"/>
  <c r="D207" i="1"/>
  <c r="J202" i="1"/>
  <c r="J201" i="1" s="1"/>
  <c r="G202" i="1"/>
  <c r="D202" i="1"/>
  <c r="J128" i="1"/>
  <c r="G128" i="1"/>
  <c r="D128" i="1"/>
  <c r="J178" i="1"/>
  <c r="G178" i="1"/>
  <c r="D178" i="1"/>
  <c r="J154" i="1"/>
  <c r="G154" i="1"/>
  <c r="J152" i="1"/>
  <c r="G152" i="1"/>
  <c r="D152" i="1"/>
  <c r="J150" i="1"/>
  <c r="G150" i="1"/>
  <c r="D150" i="1"/>
  <c r="J144" i="1"/>
  <c r="G144" i="1"/>
  <c r="D144" i="1"/>
  <c r="G143" i="1"/>
  <c r="D143" i="1"/>
  <c r="J140" i="1"/>
  <c r="G140" i="1"/>
  <c r="D140" i="1"/>
  <c r="J136" i="1"/>
  <c r="G136" i="1"/>
  <c r="D136" i="1"/>
  <c r="J134" i="1"/>
  <c r="G134" i="1"/>
  <c r="J132" i="1"/>
  <c r="J130" i="1"/>
  <c r="G130" i="1"/>
  <c r="D130" i="1"/>
  <c r="J126" i="1"/>
  <c r="G126" i="1"/>
  <c r="J124" i="1"/>
  <c r="G124" i="1"/>
  <c r="G116" i="1"/>
  <c r="G115" i="1" s="1"/>
  <c r="J116" i="1"/>
  <c r="J103" i="1"/>
  <c r="G103" i="1"/>
  <c r="J101" i="1"/>
  <c r="G101" i="1"/>
  <c r="D101" i="1"/>
  <c r="G99" i="1"/>
  <c r="D99" i="1"/>
  <c r="J97" i="1"/>
  <c r="G97" i="1"/>
  <c r="D97" i="1"/>
  <c r="G95" i="1"/>
  <c r="D95" i="1"/>
  <c r="J93" i="1"/>
  <c r="G93" i="1"/>
  <c r="D93" i="1"/>
  <c r="J91" i="1"/>
  <c r="G91" i="1"/>
  <c r="J89" i="1"/>
  <c r="G89" i="1"/>
  <c r="D89" i="1"/>
  <c r="G83" i="1"/>
  <c r="D83" i="1"/>
  <c r="J78" i="1"/>
  <c r="G78" i="1"/>
  <c r="D78" i="1"/>
  <c r="J72" i="1"/>
  <c r="G72" i="1"/>
  <c r="D72" i="1"/>
  <c r="G60" i="1"/>
  <c r="D60" i="1"/>
  <c r="J58" i="1"/>
  <c r="G58" i="1"/>
  <c r="D58" i="1"/>
  <c r="J48" i="1"/>
  <c r="G48" i="1"/>
  <c r="D48" i="1"/>
  <c r="J46" i="1"/>
  <c r="G46" i="1"/>
  <c r="D46" i="1"/>
  <c r="J28" i="1"/>
  <c r="G28" i="1"/>
  <c r="D28" i="1"/>
  <c r="D25" i="1"/>
  <c r="J23" i="1"/>
  <c r="G23" i="1"/>
  <c r="D23" i="1"/>
  <c r="J17" i="1"/>
  <c r="G17" i="1"/>
  <c r="D17" i="1"/>
  <c r="J14" i="1"/>
  <c r="G14" i="1"/>
  <c r="D14" i="1"/>
  <c r="G13" i="1" l="1"/>
  <c r="D13" i="1"/>
  <c r="J13" i="1"/>
  <c r="J57" i="1"/>
  <c r="G57" i="1"/>
  <c r="D57" i="1"/>
  <c r="D436" i="1" l="1"/>
  <c r="J227" i="1"/>
  <c r="J215" i="1" s="1"/>
  <c r="G227" i="1"/>
  <c r="G215" i="1" s="1"/>
  <c r="D227" i="1"/>
  <c r="D215" i="1" l="1"/>
  <c r="D214" i="1" s="1"/>
  <c r="G395" i="1" l="1"/>
  <c r="D363" i="1"/>
  <c r="D356" i="1" s="1"/>
  <c r="D547" i="1"/>
  <c r="D463" i="1"/>
  <c r="D398" i="1"/>
  <c r="D383" i="1"/>
  <c r="D376" i="1" s="1"/>
  <c r="D256" i="1"/>
  <c r="D251" i="1"/>
  <c r="D126" i="1"/>
  <c r="D124" i="1"/>
  <c r="G108" i="1"/>
  <c r="D394" i="1" l="1"/>
  <c r="D393" i="1" s="1"/>
  <c r="G394" i="1"/>
  <c r="G393" i="1" s="1"/>
  <c r="G258" i="1" l="1"/>
  <c r="D267" i="1"/>
  <c r="D258" i="1" l="1"/>
  <c r="D266" i="1"/>
  <c r="G214" i="1"/>
  <c r="D277" i="1" l="1"/>
  <c r="D275" i="1"/>
  <c r="D274" i="1" s="1"/>
  <c r="D273" i="1" l="1"/>
  <c r="D201" i="1" l="1"/>
  <c r="D513" i="1" l="1"/>
  <c r="D91" i="1" l="1"/>
  <c r="D109" i="1" l="1"/>
  <c r="J167" i="1" l="1"/>
  <c r="J166" i="1" s="1"/>
  <c r="J165" i="1" s="1"/>
  <c r="G166" i="1"/>
  <c r="G165" i="1" s="1"/>
  <c r="D166" i="1"/>
  <c r="D165" i="1" s="1"/>
  <c r="D557" i="1" l="1"/>
  <c r="D555" i="1"/>
  <c r="D553" i="1"/>
  <c r="D551" i="1"/>
  <c r="D549" i="1"/>
  <c r="D540" i="1"/>
  <c r="D534" i="1"/>
  <c r="D532" i="1"/>
  <c r="D529" i="1"/>
  <c r="D525" i="1"/>
  <c r="D512" i="1"/>
  <c r="D509" i="1"/>
  <c r="D508" i="1" s="1"/>
  <c r="D505" i="1" s="1"/>
  <c r="D500" i="1"/>
  <c r="D499" i="1" s="1"/>
  <c r="D498" i="1" s="1"/>
  <c r="D495" i="1"/>
  <c r="D486" i="1"/>
  <c r="D485" i="1" s="1"/>
  <c r="D482" i="1"/>
  <c r="D477" i="1" s="1"/>
  <c r="D472" i="1"/>
  <c r="D471" i="1" s="1"/>
  <c r="D462" i="1"/>
  <c r="D450" i="1"/>
  <c r="D445" i="1"/>
  <c r="D444" i="1" s="1"/>
  <c r="D435" i="1"/>
  <c r="D431" i="1"/>
  <c r="D428" i="1"/>
  <c r="D427" i="1"/>
  <c r="D415" i="1"/>
  <c r="D387" i="1"/>
  <c r="D355" i="1" s="1"/>
  <c r="D348" i="1"/>
  <c r="D335" i="1"/>
  <c r="D318" i="1"/>
  <c r="D317" i="1" s="1"/>
  <c r="D316" i="1" s="1"/>
  <c r="D310" i="1"/>
  <c r="D301" i="1"/>
  <c r="D300" i="1" s="1"/>
  <c r="D299" i="1" s="1"/>
  <c r="D294" i="1"/>
  <c r="D293" i="1" s="1"/>
  <c r="D289" i="1"/>
  <c r="D288" i="1" s="1"/>
  <c r="D281" i="1"/>
  <c r="D280" i="1" s="1"/>
  <c r="D255" i="1"/>
  <c r="D250" i="1"/>
  <c r="D247" i="1"/>
  <c r="D244" i="1"/>
  <c r="D239" i="1"/>
  <c r="D236" i="1"/>
  <c r="D206" i="1"/>
  <c r="D199" i="1"/>
  <c r="D194" i="1"/>
  <c r="D193" i="1" s="1"/>
  <c r="D190" i="1"/>
  <c r="D189" i="1" s="1"/>
  <c r="D186" i="1"/>
  <c r="D185" i="1" s="1"/>
  <c r="D182" i="1"/>
  <c r="D181" i="1" s="1"/>
  <c r="D177" i="1"/>
  <c r="D176" i="1" s="1"/>
  <c r="D149" i="1"/>
  <c r="D142" i="1"/>
  <c r="D139" i="1" s="1"/>
  <c r="D138" i="1" s="1"/>
  <c r="D108" i="1"/>
  <c r="D107" i="1" s="1"/>
  <c r="D103" i="1"/>
  <c r="D87" i="1"/>
  <c r="D82" i="1"/>
  <c r="D56" i="1"/>
  <c r="D16" i="1"/>
  <c r="D12" i="1" s="1"/>
  <c r="D449" i="1" l="1"/>
  <c r="D448" i="1" s="1"/>
  <c r="D235" i="1"/>
  <c r="D426" i="1"/>
  <c r="D414" i="1" s="1"/>
  <c r="D198" i="1"/>
  <c r="D197" i="1" s="1"/>
  <c r="D476" i="1"/>
  <c r="D65" i="1"/>
  <c r="D31" i="1"/>
  <c r="D30" i="1" s="1"/>
  <c r="D123" i="1"/>
  <c r="D122" i="1" s="1"/>
  <c r="D86" i="1"/>
  <c r="D164" i="1"/>
  <c r="D466" i="1"/>
  <c r="D465" i="1" s="1"/>
  <c r="D461" i="1" s="1"/>
  <c r="D148" i="1"/>
  <c r="D309" i="1"/>
  <c r="D292" i="1"/>
  <c r="D338" i="1"/>
  <c r="D334" i="1" s="1"/>
  <c r="D327" i="1" s="1"/>
  <c r="D504" i="1"/>
  <c r="D180" i="1"/>
  <c r="D234" i="1" l="1"/>
  <c r="D413" i="1"/>
  <c r="D347" i="1"/>
  <c r="J80" i="1"/>
  <c r="G80" i="1"/>
  <c r="D536" i="1" l="1"/>
  <c r="D522" i="1" l="1"/>
  <c r="D515" i="1" s="1"/>
  <c r="D80" i="1"/>
  <c r="D64" i="1"/>
  <c r="D63" i="1" s="1"/>
  <c r="J486" i="1"/>
  <c r="J485" i="1" s="1"/>
  <c r="G486" i="1"/>
  <c r="G485" i="1" s="1"/>
  <c r="J142" i="1"/>
  <c r="G142" i="1"/>
  <c r="J87" i="1"/>
  <c r="G87" i="1"/>
  <c r="D77" i="1" l="1"/>
  <c r="D76" i="1" s="1"/>
  <c r="D62" i="1" s="1"/>
  <c r="J86" i="1"/>
  <c r="J199" i="1"/>
  <c r="J473" i="1" l="1"/>
  <c r="G473" i="1"/>
  <c r="J467" i="1"/>
  <c r="G199" i="1" l="1"/>
  <c r="D22" i="1" l="1"/>
  <c r="D21" i="1" s="1"/>
  <c r="D11" i="1" s="1"/>
  <c r="D10" i="1" l="1"/>
  <c r="D567" i="1" s="1"/>
  <c r="C18" i="25" l="1"/>
  <c r="C17" i="25" s="1"/>
  <c r="C16" i="25" s="1"/>
  <c r="C11" i="25" s="1"/>
  <c r="C10" i="25" s="1"/>
  <c r="C20" i="25" s="1"/>
  <c r="J482" i="1"/>
  <c r="J477" i="1" s="1"/>
  <c r="G482" i="1"/>
  <c r="G477" i="1" s="1"/>
  <c r="J65" i="1"/>
  <c r="J64" i="1" s="1"/>
  <c r="J63" i="1" s="1"/>
  <c r="G65" i="1"/>
  <c r="G64" i="1" s="1"/>
  <c r="G63" i="1" s="1"/>
  <c r="G431" i="1" l="1"/>
  <c r="J431" i="1"/>
  <c r="G450" i="1" l="1"/>
  <c r="J450" i="1"/>
  <c r="J300" i="1"/>
  <c r="G301" i="1"/>
  <c r="G300" i="1" s="1"/>
  <c r="J25" i="1" l="1"/>
  <c r="J22" i="1" s="1"/>
  <c r="J21" i="1" s="1"/>
  <c r="G25" i="1"/>
  <c r="G22" i="1" s="1"/>
  <c r="G21" i="1" s="1"/>
  <c r="J462" i="1" l="1"/>
  <c r="G462" i="1"/>
  <c r="J335" i="1" l="1"/>
  <c r="G335" i="1"/>
  <c r="J318" i="1"/>
  <c r="J317" i="1" s="1"/>
  <c r="G318" i="1"/>
  <c r="G317" i="1" s="1"/>
  <c r="J299" i="1"/>
  <c r="G299" i="1"/>
  <c r="J255" i="1"/>
  <c r="G255" i="1"/>
  <c r="J115" i="1"/>
  <c r="J107" i="1" s="1"/>
  <c r="G338" i="1" l="1"/>
  <c r="G334" i="1" s="1"/>
  <c r="G327" i="1" s="1"/>
  <c r="J338" i="1"/>
  <c r="J334" i="1" s="1"/>
  <c r="J327" i="1" s="1"/>
  <c r="J557" i="1" l="1"/>
  <c r="G557" i="1"/>
  <c r="G555" i="1"/>
  <c r="J553" i="1"/>
  <c r="G553" i="1"/>
  <c r="J551" i="1"/>
  <c r="G551" i="1"/>
  <c r="J549" i="1"/>
  <c r="G549" i="1"/>
  <c r="J548" i="1"/>
  <c r="G548" i="1"/>
  <c r="J540" i="1"/>
  <c r="G540" i="1"/>
  <c r="J536" i="1"/>
  <c r="G536" i="1"/>
  <c r="J534" i="1"/>
  <c r="G534" i="1"/>
  <c r="J532" i="1"/>
  <c r="G532" i="1"/>
  <c r="J529" i="1"/>
  <c r="G529" i="1"/>
  <c r="J525" i="1"/>
  <c r="G525" i="1"/>
  <c r="J519" i="1"/>
  <c r="G519" i="1"/>
  <c r="J472" i="1"/>
  <c r="J471" i="1" s="1"/>
  <c r="G472" i="1"/>
  <c r="G471" i="1" s="1"/>
  <c r="J466" i="1"/>
  <c r="J465" i="1" s="1"/>
  <c r="G466" i="1"/>
  <c r="G465" i="1" s="1"/>
  <c r="J512" i="1"/>
  <c r="G512" i="1"/>
  <c r="J508" i="1"/>
  <c r="J505" i="1" s="1"/>
  <c r="G508" i="1"/>
  <c r="G505" i="1" s="1"/>
  <c r="J500" i="1"/>
  <c r="J499" i="1" s="1"/>
  <c r="J498" i="1" s="1"/>
  <c r="G500" i="1"/>
  <c r="G499" i="1" s="1"/>
  <c r="G498" i="1" s="1"/>
  <c r="J449" i="1"/>
  <c r="J448" i="1" s="1"/>
  <c r="G449" i="1"/>
  <c r="G448" i="1" s="1"/>
  <c r="J445" i="1"/>
  <c r="J444" i="1" s="1"/>
  <c r="G445" i="1"/>
  <c r="G444" i="1" s="1"/>
  <c r="J435" i="1"/>
  <c r="G435" i="1"/>
  <c r="J427" i="1"/>
  <c r="J426" i="1" s="1"/>
  <c r="G427" i="1"/>
  <c r="G426" i="1" s="1"/>
  <c r="J415" i="1"/>
  <c r="G415" i="1"/>
  <c r="J387" i="1"/>
  <c r="J355" i="1" s="1"/>
  <c r="G387" i="1"/>
  <c r="G355" i="1" s="1"/>
  <c r="J350" i="1"/>
  <c r="J349" i="1" s="1"/>
  <c r="J316" i="1"/>
  <c r="G316" i="1"/>
  <c r="J310" i="1"/>
  <c r="G310" i="1"/>
  <c r="J293" i="1"/>
  <c r="J292" i="1" s="1"/>
  <c r="G293" i="1"/>
  <c r="G292" i="1" s="1"/>
  <c r="J289" i="1"/>
  <c r="J288" i="1" s="1"/>
  <c r="G289" i="1"/>
  <c r="G288" i="1" s="1"/>
  <c r="J281" i="1"/>
  <c r="J280" i="1" s="1"/>
  <c r="G281" i="1"/>
  <c r="G280" i="1" s="1"/>
  <c r="J250" i="1"/>
  <c r="G250" i="1"/>
  <c r="J247" i="1"/>
  <c r="G247" i="1"/>
  <c r="J244" i="1"/>
  <c r="G244" i="1"/>
  <c r="J239" i="1"/>
  <c r="G239" i="1"/>
  <c r="J236" i="1"/>
  <c r="G236" i="1"/>
  <c r="J214" i="1"/>
  <c r="J206" i="1"/>
  <c r="G206" i="1"/>
  <c r="J198" i="1"/>
  <c r="G198" i="1"/>
  <c r="J194" i="1"/>
  <c r="J193" i="1" s="1"/>
  <c r="G194" i="1"/>
  <c r="G193" i="1" s="1"/>
  <c r="J190" i="1"/>
  <c r="J189" i="1" s="1"/>
  <c r="G190" i="1"/>
  <c r="G189" i="1" s="1"/>
  <c r="J186" i="1"/>
  <c r="J185" i="1" s="1"/>
  <c r="G186" i="1"/>
  <c r="G185" i="1" s="1"/>
  <c r="J182" i="1"/>
  <c r="J181" i="1" s="1"/>
  <c r="G182" i="1"/>
  <c r="G181" i="1" s="1"/>
  <c r="J177" i="1"/>
  <c r="J176" i="1" s="1"/>
  <c r="G177" i="1"/>
  <c r="G176" i="1" s="1"/>
  <c r="J164" i="1"/>
  <c r="G164" i="1"/>
  <c r="J149" i="1"/>
  <c r="J148" i="1" s="1"/>
  <c r="G149" i="1"/>
  <c r="G148" i="1" s="1"/>
  <c r="J139" i="1"/>
  <c r="J138" i="1" s="1"/>
  <c r="G139" i="1"/>
  <c r="G138" i="1" s="1"/>
  <c r="G107" i="1"/>
  <c r="G86" i="1"/>
  <c r="J82" i="1"/>
  <c r="G82" i="1"/>
  <c r="J56" i="1"/>
  <c r="G56" i="1"/>
  <c r="J31" i="1"/>
  <c r="J30" i="1" s="1"/>
  <c r="G31" i="1"/>
  <c r="G30" i="1" s="1"/>
  <c r="J16" i="1"/>
  <c r="J12" i="1" s="1"/>
  <c r="G16" i="1"/>
  <c r="G12" i="1" s="1"/>
  <c r="J414" i="1" l="1"/>
  <c r="J413" i="1" s="1"/>
  <c r="G522" i="1"/>
  <c r="G414" i="1"/>
  <c r="G413" i="1" s="1"/>
  <c r="J522" i="1"/>
  <c r="J197" i="1"/>
  <c r="G197" i="1"/>
  <c r="J516" i="1"/>
  <c r="G516" i="1"/>
  <c r="J235" i="1"/>
  <c r="J234" i="1" s="1"/>
  <c r="J476" i="1"/>
  <c r="G476" i="1"/>
  <c r="G348" i="1"/>
  <c r="J348" i="1"/>
  <c r="J123" i="1"/>
  <c r="J122" i="1" s="1"/>
  <c r="J77" i="1"/>
  <c r="J76" i="1" s="1"/>
  <c r="G123" i="1"/>
  <c r="G122" i="1" s="1"/>
  <c r="J504" i="1"/>
  <c r="J309" i="1"/>
  <c r="G11" i="1"/>
  <c r="J11" i="1"/>
  <c r="J461" i="1"/>
  <c r="G504" i="1"/>
  <c r="G180" i="1"/>
  <c r="G461" i="1"/>
  <c r="G77" i="1"/>
  <c r="G76" i="1" s="1"/>
  <c r="J180" i="1"/>
  <c r="G309" i="1"/>
  <c r="G515" i="1" l="1"/>
  <c r="J515" i="1"/>
  <c r="G235" i="1"/>
  <c r="G234" i="1" s="1"/>
  <c r="J62" i="1"/>
  <c r="J347" i="1"/>
  <c r="G347" i="1"/>
  <c r="G62" i="1"/>
  <c r="J10" i="1" l="1"/>
  <c r="G10" i="1"/>
  <c r="G567" i="1" s="1"/>
  <c r="D16" i="25" l="1"/>
  <c r="D11" i="25" s="1"/>
  <c r="D10" i="25" s="1"/>
  <c r="D20" i="25" s="1"/>
  <c r="D17" i="25"/>
  <c r="D18" i="25"/>
  <c r="J567" i="1"/>
  <c r="E17" i="25" l="1"/>
  <c r="E18" i="25"/>
  <c r="E16" i="25"/>
  <c r="E11" i="25" s="1"/>
  <c r="E10" i="25" s="1"/>
  <c r="E20" i="25" s="1"/>
  <c r="L621" i="23" l="1"/>
  <c r="L620" i="23" s="1"/>
  <c r="N624" i="23"/>
  <c r="N621" i="23" s="1"/>
  <c r="N620" i="23" s="1"/>
  <c r="L607" i="23" l="1"/>
  <c r="L606" i="23" s="1"/>
  <c r="L605" i="23" s="1"/>
  <c r="L604" i="23" s="1"/>
  <c r="L479" i="23" s="1"/>
  <c r="L820" i="23" s="1"/>
  <c r="N607" i="23"/>
  <c r="N606" i="23" s="1"/>
  <c r="N605" i="23" s="1"/>
  <c r="N604" i="23" s="1"/>
  <c r="N479" i="23" s="1"/>
  <c r="N820" i="23" s="1"/>
  <c r="D33" i="36" l="1"/>
  <c r="D39" i="36" l="1"/>
  <c r="D40" i="36" s="1"/>
  <c r="D37" i="36"/>
</calcChain>
</file>

<file path=xl/sharedStrings.xml><?xml version="1.0" encoding="utf-8"?>
<sst xmlns="http://schemas.openxmlformats.org/spreadsheetml/2006/main" count="2921" uniqueCount="923">
  <si>
    <t>Целевая статья</t>
  </si>
  <si>
    <t>Вид расходов</t>
  </si>
  <si>
    <t>Направление расходов (отрасль), наименование показателя</t>
  </si>
  <si>
    <t>2024 год</t>
  </si>
  <si>
    <t>2025 год</t>
  </si>
  <si>
    <t>00 0 00 00000</t>
  </si>
  <si>
    <t>Муниципальные программы Юсьвинского муниципального округа Пермского края</t>
  </si>
  <si>
    <t>01 0 00 00000</t>
  </si>
  <si>
    <t>Муниципальная программа "Совершенствование муниципального управления в Юсьвинском муниципальном округе Пермского края"</t>
  </si>
  <si>
    <t>01 1 00 00000</t>
  </si>
  <si>
    <t>Подпрограмма "Формирование общедоступной информационно-коммуникационной среды"</t>
  </si>
  <si>
    <t>01 1 20 00000</t>
  </si>
  <si>
    <t>Основное мероприятие "Предоставление муниципальных услуг в электронном виде"</t>
  </si>
  <si>
    <t>01 1 20 4У020</t>
  </si>
  <si>
    <t>Программное обеспечение, сопровождение информационных систем, приобретение  компьютерной  оргтехники в целях автоматизации  административно - управленческих процессов при выполнении функций администрации Юсьвинского муниципального округа Пермского края</t>
  </si>
  <si>
    <t>01 1 30 00000</t>
  </si>
  <si>
    <t>Основное мероприятие "Информационное сопровождение деятельности органов местного самоуправления Юсьвинского муниципального округа Пермского края"</t>
  </si>
  <si>
    <t>01 1 30 4У040</t>
  </si>
  <si>
    <t>01 1 30 4У041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</si>
  <si>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Юсьвинского муниципального округа Пермского края в СМИ</t>
  </si>
  <si>
    <t>01 2 00 00000</t>
  </si>
  <si>
    <t xml:space="preserve">Подпрограмма "Организация деятельности по реализации вопросов местного значения Юсьвинского муниципального округа Пермского края" </t>
  </si>
  <si>
    <t>01 2 10 00000</t>
  </si>
  <si>
    <t>Основное мероприятие "Обеспечение исполнения администрацией Юсьвинского муниципального округа вопросов местного значения, предусмотренных законом РФ № 131-ФЗ"</t>
  </si>
  <si>
    <t>01 2 10 4У060</t>
  </si>
  <si>
    <t>Обеспечение выполнения функций главы муниципального округа - главы администрации Юсьвинского муниципального округа Пермского края</t>
  </si>
  <si>
    <t>01 2 10 4У070</t>
  </si>
  <si>
    <t xml:space="preserve"> Обеспечение выполнения функций администрации Юсьвинского муниципального округа и её структурных подразделений</t>
  </si>
  <si>
    <t>01 2 10 70001</t>
  </si>
  <si>
    <t>Выплата пенсии за выслугу лет лицам, замещавшим муниципальные  должности и должности муниципальной службы</t>
  </si>
  <si>
    <t>01 3 00 00000</t>
  </si>
  <si>
    <t>Подпрограмма "Организация деятельности по осуществлению администрацией Юсьвинского муниципального округа Пермского края переданных отдельных государственных полномочий"</t>
  </si>
  <si>
    <t>01 3 10 00000</t>
  </si>
  <si>
    <t>Основное мероприятие "Обеспечение выполнения переданных отдельных государственных полномочий"</t>
  </si>
  <si>
    <t>Образование комиссий по делам несовершеннолетних и защите их прав и организация их деятельности</t>
  </si>
  <si>
    <t>01 3 10 2К080</t>
  </si>
  <si>
    <t>Обеспечение хранения, комплектования, учет и использование архивных документов государственной части архивного фонда Пермского края</t>
  </si>
  <si>
    <t>01 3 10 2П040</t>
  </si>
  <si>
    <t>Составление протоколов об административных правонарушениях</t>
  </si>
  <si>
    <t>01 3 10 2П060</t>
  </si>
  <si>
    <t>Осуществление полномочий по созданию и организации деятельности административных комиссий</t>
  </si>
  <si>
    <t>01 3 10 2У110</t>
  </si>
  <si>
    <t>01 3 10 2Т060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</si>
  <si>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</si>
  <si>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01 3 10 51200</t>
  </si>
  <si>
    <t>Осуществление полномочий 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</si>
  <si>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01 3 10 59300</t>
  </si>
  <si>
    <t>Государственная регистрация актов гражданского состояния</t>
  </si>
  <si>
    <t>01 3 10 51180</t>
  </si>
  <si>
    <t>01 5 00 00000</t>
  </si>
  <si>
    <t>Подпрограмма "Формирование позитивного имиджа Юсьвинского муниципального округа Пермского края"</t>
  </si>
  <si>
    <t>01 5 10 00000</t>
  </si>
  <si>
    <t>Основное мероприятие "Формирование позитивного имиджа Юсьвинского муниципального округа Пермского края"</t>
  </si>
  <si>
    <t>01 5 10 4У092</t>
  </si>
  <si>
    <t>Изготовление печатной продукции</t>
  </si>
  <si>
    <t>01 5 10 4У093</t>
  </si>
  <si>
    <t>Публикация в средствах массовой информации</t>
  </si>
  <si>
    <t>02 0 00 00000</t>
  </si>
  <si>
    <t>Муниципальная программа "Развитие  образования Юсьвинского муниципального округа Пермского края"</t>
  </si>
  <si>
    <t>02 1 00 00000</t>
  </si>
  <si>
    <t>Подпрограмма "Дошкольное образование"</t>
  </si>
  <si>
    <t xml:space="preserve"> 02 1 10 00000</t>
  </si>
  <si>
    <t>Основное мероприятие "Оказание услуг по присмотру и уходу, реализации основных общеобразовательных программ дошкольного образования"</t>
  </si>
  <si>
    <t>02 1 10 00150</t>
  </si>
  <si>
    <t>Оказание услуг дошкольного образования в рамках полномочий Юсьвинского муниципального округа Пермского края</t>
  </si>
  <si>
    <t>02 1 10 2Н021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</si>
  <si>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</si>
  <si>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02 1 10 2Н022</t>
  </si>
  <si>
    <t>Предоставление выплаты компенсаций части родительской платы за присмотр и уход за  ребенком в образовательных организациях, реализующих образовательную программу  дошкольного образования</t>
  </si>
  <si>
    <t>02 1 10 4Н010</t>
  </si>
  <si>
    <t>Обеспечение бесплатного проезда обучающихся до места обучения и обратно</t>
  </si>
  <si>
    <t>02 1 10 4Н020</t>
  </si>
  <si>
    <t>Обеспечение бесплатным питанием обучающихся с ограниченными возможностями здоровья в образовательных учреждениях</t>
  </si>
  <si>
    <t>02 2 00 00000</t>
  </si>
  <si>
    <t>Подпрограмма "Общее (начальное, основное, среднее) образование"</t>
  </si>
  <si>
    <t xml:space="preserve">02 2 10 00000 </t>
  </si>
  <si>
    <t>Основное мероприятие "Оказание услуг на получение общедоступного бесплатного начального общего, основного общего, среднего общего образования"</t>
  </si>
  <si>
    <t>02 2 10 00150</t>
  </si>
  <si>
    <t>Оказание услуг в сфере общего образования в рамках полномочий Юсьвинского муниципального округа Пермского края</t>
  </si>
  <si>
    <t>02 2 10 2Н021</t>
  </si>
  <si>
    <t>Предоставление государственных гарантий на получение общедоступного бесплатного дошкольного, начального, основного, среднего общего образования, а также дополнительного образования в общеобразовательных организациях</t>
  </si>
  <si>
    <t>02 2 10 SH040</t>
  </si>
  <si>
    <t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организациях, осуществляющих образовательную деятельность по адаптированным основным образовательным программам</t>
  </si>
  <si>
    <t>в том числе за счет средств бюджета Пермского края</t>
  </si>
  <si>
    <t xml:space="preserve">в том числе за счет средств местного  бюджета </t>
  </si>
  <si>
    <t>02 2 20 00000</t>
  </si>
  <si>
    <t>Основное мероприятие "Предоставление государственных гарантий на общедоступное и бесплатное начальное общее , основное общее, среднее (полное) образование"</t>
  </si>
  <si>
    <t>02 2 20 4Н010</t>
  </si>
  <si>
    <t>Обеспечение бесплатного проезда  обучающихся до места обучения и обратно</t>
  </si>
  <si>
    <t>02 2 20 4Н020</t>
  </si>
  <si>
    <t>02 2 20 4Н030</t>
  </si>
  <si>
    <t>Обеспечение доступности качественного образования учащимся общеобразовательных учреждений из отдаленных населенных пунктов округа</t>
  </si>
  <si>
    <t>02 2 20 4Н040</t>
  </si>
  <si>
    <t>Организация подвоза питания для обучающихся  (воспитанников) структурных подразделений образовательных учреждений</t>
  </si>
  <si>
    <t>02 2 20 2Н025</t>
  </si>
  <si>
    <t>02 2 20 2Н026</t>
  </si>
  <si>
    <t>02 2 20 53030</t>
  </si>
  <si>
    <t>Выплата ежемесячного денежного вознаграждения за выполнение функций классного руководителя педагогическим работникам муниципальных образовательных организаций</t>
  </si>
  <si>
    <t>02 2 20 L3040</t>
  </si>
  <si>
    <t>02 2 30 00000</t>
  </si>
  <si>
    <t>Основное мероприятие "Строительство объектов общественной инфраструктуры муниципального значения для создания новых мест в общеобразовательных учреждениях"</t>
  </si>
  <si>
    <t>02 2 30 SН070</t>
  </si>
  <si>
    <t>Строительство школьного образовательного учреждения на 60 мест в с.Доег Юсьвинского муниципального округа</t>
  </si>
  <si>
    <t>за счет краевого бюджета (целевая субсидия)</t>
  </si>
  <si>
    <t>за счет краевого бюджета (единая субсидия)</t>
  </si>
  <si>
    <t>за счет местного бюджета</t>
  </si>
  <si>
    <t>Строительство интерната Майкорская ОШИ Юсьвинского муниципального округа</t>
  </si>
  <si>
    <t>02 3 00 00000</t>
  </si>
  <si>
    <t>Подпрограмма "Дополнительное образование и воспитание детей"</t>
  </si>
  <si>
    <t>02 3 10 00000</t>
  </si>
  <si>
    <t>Основное мероприятие "Оказание услуг по реализации дополнительных образовательных программ"</t>
  </si>
  <si>
    <t>02 3 10 00150</t>
  </si>
  <si>
    <t>02 3 10 00155</t>
  </si>
  <si>
    <t>02 3 10 4Н050</t>
  </si>
  <si>
    <t>Мероприятия, направленные на поддержку и развитие одаренных детей</t>
  </si>
  <si>
    <t>02 3 10 4Н060</t>
  </si>
  <si>
    <t>Обеспечение деятельности психолого-медико педагогической комиссии</t>
  </si>
  <si>
    <t>02 3 10 4Н066</t>
  </si>
  <si>
    <t>Организация и проведение мероприятий для детей приоритетных категорий</t>
  </si>
  <si>
    <t>02 3 10 4Н067</t>
  </si>
  <si>
    <t>Организация и проведение профилактических мероприятий, направленных на предупреждение опасного поведения несовершеннолетних участников дорожного движения</t>
  </si>
  <si>
    <t>Мероприятия по формированию патриотического и духовно-нравственного воспитания детей</t>
  </si>
  <si>
    <t>02 4 00 00000</t>
  </si>
  <si>
    <t>Подпрограмма "Развитие системы отдыха, оздоровления и занятости детей"</t>
  </si>
  <si>
    <t>02 4 10 00000</t>
  </si>
  <si>
    <t>Основное мероприятие "Организация оздоровительной кампании в каникулярный период"</t>
  </si>
  <si>
    <t>02 4 10 4Н081</t>
  </si>
  <si>
    <t>Организация досуга, занятости и отдыха детей приоритетных категорий в каникулярное время</t>
  </si>
  <si>
    <t>02 4 10 4Н082</t>
  </si>
  <si>
    <t>Обеспечение организации отдыха детей в каникулярное время в рамках полномочий Юсьвинского муниципального округа Пермского края</t>
  </si>
  <si>
    <t>02 4 10 2С140</t>
  </si>
  <si>
    <t>Организация оздоровления и отдыха детей за счет субвенций на выполнение отдельных государственных полномочий по организации и обеспечению отдыха детей и их оздоровления</t>
  </si>
  <si>
    <t>02 5 00 00000</t>
  </si>
  <si>
    <t>Подпрограмма "Кадровая политика"</t>
  </si>
  <si>
    <t>02 5 20 00000</t>
  </si>
  <si>
    <t>Основное мероприятие "Мероприятия, обеспечивающие кадровую политику в сфере образования"</t>
  </si>
  <si>
    <t>02 5 20 4Н090</t>
  </si>
  <si>
    <t>Мероприятия, обеспечивающие кадровую политику в сфере образования</t>
  </si>
  <si>
    <t>02 5 20 4Н095</t>
  </si>
  <si>
    <t>Проведение и участие в семинарах, конференциях, форумах, конкурсах по обмену опытом с участием педагогических работников</t>
  </si>
  <si>
    <t>02 5 30 00000</t>
  </si>
  <si>
    <t>Основное мероприятие "Предоставление социальных гарантий и льгот педагогическим работникам образовательных учреждений"</t>
  </si>
  <si>
    <t>02 5 30 2Н024</t>
  </si>
  <si>
    <t>Предоставление  мер социальной поддержки педагогическим работникам общеобразовательных организаций</t>
  </si>
  <si>
    <t>02 5 30 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</si>
  <si>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</si>
  <si>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02 6 00 00000</t>
  </si>
  <si>
    <t>Подпрограмма "Приведение образовательных организаций в нормативное состояние"</t>
  </si>
  <si>
    <t>02  6 10 00000</t>
  </si>
  <si>
    <t>Основное мероприятие "Создание безопасных условий в рамках лицензирования образовательных организаций и устранения предписаний надзорных органов"</t>
  </si>
  <si>
    <t>в том числе за счет местного бюджета</t>
  </si>
  <si>
    <t>за счет федерального бюджета</t>
  </si>
  <si>
    <t>за счет краевого бюджета</t>
  </si>
  <si>
    <t>02 7 00 00000</t>
  </si>
  <si>
    <t>Подпрограмма "Реализация государственной политики в сфере образования"</t>
  </si>
  <si>
    <t>02 7 10 00000</t>
  </si>
  <si>
    <t>Основное мероприятие "Развитие системы этнокультурного образования"</t>
  </si>
  <si>
    <t>02 7 10 4Н210</t>
  </si>
  <si>
    <t>Проведение традиционных народных праздников, массовых мероприятий, направленных на сохранение и развитие коми-пермяцкой культуры</t>
  </si>
  <si>
    <t>03 0 00 00000</t>
  </si>
  <si>
    <t>Муниципальная программа "Улучшение качества жизни населения Юсьвинского муниципального округа Пермского края"</t>
  </si>
  <si>
    <t>03 1 00 00000</t>
  </si>
  <si>
    <t>Подпрограмма "Создание условий для повышения качества жизни людей пожилого возраста"</t>
  </si>
  <si>
    <t>03 1 20 00000</t>
  </si>
  <si>
    <t>Основное мероприятие "Проведение мероприятий по содействию в развитии гражданского общества"</t>
  </si>
  <si>
    <t>03 1 20 4КЖ50</t>
  </si>
  <si>
    <t>Предоставление субсидий СО НКО на организацию  и проведение общественно-значимых мероприятий с людьми пожилого возраста</t>
  </si>
  <si>
    <t>03 2 00 00000</t>
  </si>
  <si>
    <t>Подпрограмма "Создание условий для повышения качества жизни людей с ограниченными возможностями"</t>
  </si>
  <si>
    <t>03 2 10 00000</t>
  </si>
  <si>
    <t xml:space="preserve"> Основное мероприятие "Мероприятия по повышению качества жизни людей с ограниченными возможностями"</t>
  </si>
  <si>
    <t>03 2 10 4КЖ20</t>
  </si>
  <si>
    <t>03 3 00 00000</t>
  </si>
  <si>
    <t>Подпрограмма "Создание условий для формирования здорового образа жизни"</t>
  </si>
  <si>
    <t>03 3 10 00000</t>
  </si>
  <si>
    <t>Основное мероприятие "Мероприятия, направленные на формирование здорового  образа жизни"</t>
  </si>
  <si>
    <t>03 3 10 4КЖ40</t>
  </si>
  <si>
    <t>Организация и проведение мероприятий по пропаганде здорового образа жизни и профилактике вредных привычек</t>
  </si>
  <si>
    <t>Подпрограмма "Повышение социальной активности населения"</t>
  </si>
  <si>
    <t>Основное мероприятие "Мероприятия, направленные на повышение социальной активности населения"</t>
  </si>
  <si>
    <t>04 0 00 00000</t>
  </si>
  <si>
    <t>Муниципальная программа "Улучшение жилищных условий граждан, проживающих в Юсьвинском муниципальном округе Пермского края"</t>
  </si>
  <si>
    <t>04 0 10 00000</t>
  </si>
  <si>
    <t>Основное мероприятие  "Обеспечение жильем молодых семей"</t>
  </si>
  <si>
    <t>04 0 10 2С020</t>
  </si>
  <si>
    <t>в том числе за счет краевого бюджета</t>
  </si>
  <si>
    <t>04 0 10 L4970</t>
  </si>
  <si>
    <t>в том числе за счет федерального бюджета</t>
  </si>
  <si>
    <t>04 0 20 00000</t>
  </si>
  <si>
    <t>Основное мероприятие "Обеспечение жильем отдельных категорий граждан, установленных законодательством"</t>
  </si>
  <si>
    <t>04 0 20 2С190</t>
  </si>
  <si>
    <t xml:space="preserve">Обеспечение жилыми помещениями реабилитированных лиц, имеющих инвалидность или являющимся пенсионерами, и проживающим совместно членов их семей </t>
  </si>
  <si>
    <t>04 0 30 00000</t>
  </si>
  <si>
    <t>Основное мероприятие "Обеспечение жильем детей- сирот и детей, оставшихся без попечения родителей, лиц из числа детей-сирот и детей, оставшихся без попечения родителей"</t>
  </si>
  <si>
    <t>04 0 30 2С070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</si>
  <si>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</si>
  <si>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04 0 30 2С080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</si>
  <si>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их числа детей-сирот и детей, оставшихся без попечения родителей, по договорам найма специализированных жилых помещений</t>
  </si>
  <si>
    <t>04 0 30 2С090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</si>
  <si>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их числа детей-сирот и детей, оставшихся без попечения родителей</t>
  </si>
  <si>
    <t>05 0 00 00000</t>
  </si>
  <si>
    <t>Муниципальная программа "Управление муниципальным имуществом  Юсьвинского муниципального округа Пермского края"</t>
  </si>
  <si>
    <t>05 0 10 00000</t>
  </si>
  <si>
    <t>05 0 10 4И020</t>
  </si>
  <si>
    <t>05 0 10 4И030</t>
  </si>
  <si>
    <t>Оплата взносов за капитальный ремонт общего имущества в многоквартирном доме помещений, находящихся в собственности Юсьвинского муниципального округа Пермского края</t>
  </si>
  <si>
    <t>05 0 10 4И040</t>
  </si>
  <si>
    <t>Проведение капитального ремонта муниципального жилищного фонда, возмещение затрат нанимателям за капитальный ремонт</t>
  </si>
  <si>
    <t>05 0 10 4И060</t>
  </si>
  <si>
    <t>за счет средств краевого бюджета</t>
  </si>
  <si>
    <t xml:space="preserve">06 0 00 00000 </t>
  </si>
  <si>
    <t>Муниципальная программа "Развитие культуры, искусства и молодежной политики в  Юсьвинском муниципальном округе Пермского края"</t>
  </si>
  <si>
    <t xml:space="preserve">06 1 00 00000  </t>
  </si>
  <si>
    <t>Подпрограмма "Сохранение и развитие культурного потенциала Юсьвинского муниципального округа Пермского края"</t>
  </si>
  <si>
    <t xml:space="preserve">06 1 10 00000 </t>
  </si>
  <si>
    <t>Основное мероприятие "Сохранение и развитие традиционной народной культуры, нематериального культурного наследия на территории Юсьвинского муниципального округа Пермского края"</t>
  </si>
  <si>
    <t xml:space="preserve">06 1 10 00150 </t>
  </si>
  <si>
    <t>06 1 20 00000</t>
  </si>
  <si>
    <t>Основное мероприятие "Сохранение и развитие библиотечного дела"</t>
  </si>
  <si>
    <t>06 1 20 00150</t>
  </si>
  <si>
    <t>06 1 20 4К010</t>
  </si>
  <si>
    <t xml:space="preserve">Комплектование книжных фондов муниципальных общедоступных  библиотек </t>
  </si>
  <si>
    <t>06 1 30 00000</t>
  </si>
  <si>
    <t>Основное мероприятие "Сохранение, пополнение, популяризация музейного фонда и развития музеев"</t>
  </si>
  <si>
    <t>06 1 30 00150</t>
  </si>
  <si>
    <t>06 1 40 00000</t>
  </si>
  <si>
    <t>Основное мероприятие "Предоставление дополнительного образования детям в области искусства"</t>
  </si>
  <si>
    <t>06 1 40 00150</t>
  </si>
  <si>
    <t>06 1 50 00000</t>
  </si>
  <si>
    <t>Основное мероприятие "Организация и проведение социально- значимых мероприятий в сфере искусства и культуры"</t>
  </si>
  <si>
    <t>06 1 50 4К020</t>
  </si>
  <si>
    <t>06 1 50 4К030</t>
  </si>
  <si>
    <t>Проведение мероприятий, направленных на патриотическое воспитание населения, укрепление гражданского единства и межконфессионального согласия, популяризацию семейных ценностей, сохранение и развитие национальных традиций, в том числе коми-пермяцкой культуры</t>
  </si>
  <si>
    <t>06 1 60 00000</t>
  </si>
  <si>
    <t>Основное мероприятие "Кадровая политика"</t>
  </si>
  <si>
    <t xml:space="preserve">06 1 60 4К060 </t>
  </si>
  <si>
    <t>06 1  70 00000</t>
  </si>
  <si>
    <t>Основное мероприятие «Развитие инфраструктуры, приведение в нормативное состояние, укрепление материально-технической базы, текущий ремонт учреждений культуры и образовательных учреждений в сфере культуры»</t>
  </si>
  <si>
    <t>в том числе</t>
  </si>
  <si>
    <t xml:space="preserve">Ремонтные работы (текущий ремонт в отношении зданий домов культур (и их филиалов), расположенных в населенных пунктах с численностью жителей до 50 тысяч человек                                                                                                         </t>
  </si>
  <si>
    <t>06 1 А2 00000</t>
  </si>
  <si>
    <t>Основное мероприятие "Реализация федерального проекта "Творческие люди"</t>
  </si>
  <si>
    <t>06 2 00 00000</t>
  </si>
  <si>
    <t>Подпрограмма "Молодежная политика"</t>
  </si>
  <si>
    <t>06 2 10 00000</t>
  </si>
  <si>
    <t>Основное мероприятие "Организация и проведение мероприятий среди молодежи"</t>
  </si>
  <si>
    <t xml:space="preserve">06 2 10 4К130 </t>
  </si>
  <si>
    <t>Организация и проведение мероприятий, направленных на поддержку общественных молодежных объединений.  Проведение заседаний, круглых столов, дискуссий, семинаров, творческих конкурсов по основным направлениям в сфере государственной молодежной политики. Участие молодежи в районных, межмуниципальных, окружных, краевых, межрегиональных, всероссийских и международных конкурсах и мероприятиях</t>
  </si>
  <si>
    <t>06 2 10 SН220</t>
  </si>
  <si>
    <t>Реализация мероприятий в сфере молодежной политики</t>
  </si>
  <si>
    <t>06 3 00 00000</t>
  </si>
  <si>
    <t>Подпрограмма "Информационная  политика"</t>
  </si>
  <si>
    <t>06 3 10 00000</t>
  </si>
  <si>
    <t>Основное мероприятие "Информирование населения округа о политических, экономических, социальных, культурных и иных аспектах общественной жизни Юсьвинского муниципального округа Пермского края"</t>
  </si>
  <si>
    <t xml:space="preserve">06 3 10 4К140 </t>
  </si>
  <si>
    <t>07 0 00 00000</t>
  </si>
  <si>
    <t>Муниципальная программа "Развитие физической культуры и спорта в  Юсьвинском муниципальном округе Пермского края"</t>
  </si>
  <si>
    <t>07 0 10 00000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</si>
  <si>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 Пермского края"</t>
  </si>
  <si>
    <t xml:space="preserve">07 0 10 4Ф010 </t>
  </si>
  <si>
    <t xml:space="preserve"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 </t>
  </si>
  <si>
    <t>07 0 20 00000</t>
  </si>
  <si>
    <t>Основное мероприятие "Развитие и укрепление материально-технической базы объектов спорта на территории Юсьвинского муниципального округа Пермского края"</t>
  </si>
  <si>
    <t>07 0 20  SФ130</t>
  </si>
  <si>
    <t>Проектирование и устройство спортивных площадок и оснащение объектов спортивным оборудованием и инвентарем для занятий физической культурой и спортом</t>
  </si>
  <si>
    <t>Капитальный ремонт объектов спортивной инфраструктуры муниципального значения</t>
  </si>
  <si>
    <t xml:space="preserve">08 0 00 00000 </t>
  </si>
  <si>
    <t>Муниципальная программа "Обеспечение общественной безопасности на территории Юсьвинского муниципального округа Пермского края"</t>
  </si>
  <si>
    <t>08 1  00 00000</t>
  </si>
  <si>
    <t>Подпрограмма "Противодействие идеологии терроризма и экстремизма на территории Юсьвинского муниципального округа Пермского края"</t>
  </si>
  <si>
    <t>08 1 10 00000</t>
  </si>
  <si>
    <t>Основное мероприятие "Предотвращение условий, способствующих возникновению и распространению идеологии терроризма и экстремизма"</t>
  </si>
  <si>
    <t>08 1 10 4П020</t>
  </si>
  <si>
    <t>Обучение специалистов учреждений социальной сферы и членов антитеррористических комиссий по вопросам профилактики терроризма, а также минимизации и (или) ликвидации его проявлений</t>
  </si>
  <si>
    <t>08 1 10 4П070</t>
  </si>
  <si>
    <t>Внедрение технических средств системы видеонаблюдения, а так же развитие и усовершенствование использования комплекса технических средств системы видеонаблюдения в общественных местах и местах массового пребывания граждан</t>
  </si>
  <si>
    <t xml:space="preserve">08 2 00 00000 </t>
  </si>
  <si>
    <t>Подпрограмма "Предупреждение  правонарушений, совершаемых на улице и в общественных местах"</t>
  </si>
  <si>
    <t>Основное мероприятие "Обеспечение общественной безопасности на территории Юсьвинского муниципального округа Пермского края"</t>
  </si>
  <si>
    <t>Организация деятельности  народной дружины, а также организация и проведение рейдов и других профилактических мероприятий, в т.ч. с несовершеннолетними</t>
  </si>
  <si>
    <t>200</t>
  </si>
  <si>
    <t>Закупка товаров, работ и услуг для обеспечения  государственных (муниципальных) нужд</t>
  </si>
  <si>
    <t>09 0 00 00000</t>
  </si>
  <si>
    <t>Муниципальная программа "Экономическое развитие Юсьвинского муниципального округа Пермского края"</t>
  </si>
  <si>
    <t>Проведение  сельскохозяйственных ярмарок</t>
  </si>
  <si>
    <t>Проведение мероприятия, посвященного Дню работников сельского хозяйства и перерабатывающей промышленности</t>
  </si>
  <si>
    <t>Проведение отраслевых  семинаров со специалистами сельхозпредприятий</t>
  </si>
  <si>
    <t>Проведение конкурса техников по искусственному осеменению  коров</t>
  </si>
  <si>
    <t>Проведение конкурса механизаторов</t>
  </si>
  <si>
    <t>10 0 00 00000</t>
  </si>
  <si>
    <t>Муниципальная программа "Территориальное развитие Юсьвинского муниципального округа Пермского края"</t>
  </si>
  <si>
    <t>10 1 00 00000</t>
  </si>
  <si>
    <t>Подпрограмма "Комплексное  развитие сельских территорий"</t>
  </si>
  <si>
    <t>10 1 10 00000</t>
  </si>
  <si>
    <t>Основное мероприятие "Создание условий для обеспечения доступным и комфортным жильем сельского населения, развитие инфраструктуры на сельских территориях, содействие занятости сельского населения"</t>
  </si>
  <si>
    <t>за счет средств местного бюджета</t>
  </si>
  <si>
    <t>10 1 10 L5765</t>
  </si>
  <si>
    <t>Реализация мероприятий, направленных на комплексное развитие сельских территорий (Благоустройство сельских территорий)</t>
  </si>
  <si>
    <t>400</t>
  </si>
  <si>
    <t>Капитальные вложения в объекты недвижимого имущества государственной (муниципальной) собственности</t>
  </si>
  <si>
    <t>10 2 00 00000</t>
  </si>
  <si>
    <t>Подпрограмма "Благоустройство территории  Юсьвинского муниципального округа Пермского края"</t>
  </si>
  <si>
    <t>10 2 20 00000</t>
  </si>
  <si>
    <t>Основное мероприятие "Благоустройство территории Юсьвинского муниципального округа Пермского края"</t>
  </si>
  <si>
    <t>10 2 20 4М090</t>
  </si>
  <si>
    <t>10 2 20 4М091</t>
  </si>
  <si>
    <t>Обустройство уличного освещения в населенных пунктах Юсьвинского муниципального округа Пермского края</t>
  </si>
  <si>
    <t>10 2 30 00000</t>
  </si>
  <si>
    <t>Основное мероприятие "Мероприятия по охране окружающей среды"</t>
  </si>
  <si>
    <t xml:space="preserve">10 2 30 4М035 </t>
  </si>
  <si>
    <t xml:space="preserve">10 2 30 4М036 </t>
  </si>
  <si>
    <t>Организация зон санитарной охраны водозаборных скважин</t>
  </si>
  <si>
    <t>10 2 30 4М037</t>
  </si>
  <si>
    <t>Мероприятия по организации экологического воспитания и формирования экологической культуры</t>
  </si>
  <si>
    <t>10 2 30 4М038</t>
  </si>
  <si>
    <t>Обустройство мест (площадок) накопления твердых коммунальных отходов</t>
  </si>
  <si>
    <t>10 2 40 00000</t>
  </si>
  <si>
    <t>10 3 00 00000</t>
  </si>
  <si>
    <t xml:space="preserve"> Подпрограмма "Развитие коммунальной инфраструктуры Юсьвинского муниципального округа Пермского края" </t>
  </si>
  <si>
    <t>10 3 10 00000</t>
  </si>
  <si>
    <t>Основное мероприятие "Строительство, ремонт объектов коммунальной, инженерной  инфраструктуры муниципального значения, разработка проектной документации"</t>
  </si>
  <si>
    <t>10 3 10 4М070</t>
  </si>
  <si>
    <t>Ремонт (обустройство) источников водоснабжения и систем водоснабжения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</si>
  <si>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</t>
  </si>
  <si>
    <t>10 3 30 00000</t>
  </si>
  <si>
    <t>Основное мероприятие "Газификация Юсьвинского муниципального округа"</t>
  </si>
  <si>
    <t>10 3 30 4М080</t>
  </si>
  <si>
    <t>Техническое и аварийно-диспетчерское обслуживание распределительных газопроводов</t>
  </si>
  <si>
    <t>11 0 00 00000</t>
  </si>
  <si>
    <t>Муниципальная программа "Развитие транспортной системы Юсьвинского муниципального округа Пермского края"</t>
  </si>
  <si>
    <t>11 1 00 00000</t>
  </si>
  <si>
    <t>Подпрограмма "Развитие и совершенствование автомобильных дорог Юсьвинского муниципального округа Пермского края"</t>
  </si>
  <si>
    <t>11 1 10 00000</t>
  </si>
  <si>
    <t xml:space="preserve"> Основное мероприятие "Паспортизация муниципальных дорог"</t>
  </si>
  <si>
    <t>11 1 10 4Д010</t>
  </si>
  <si>
    <t>11 1 40 00000</t>
  </si>
  <si>
    <t>Основное мероприятие "Ремонт муниципальных дорог и искусственных дорожных сооружений"</t>
  </si>
  <si>
    <t>11 1 40 SТ040</t>
  </si>
  <si>
    <t>11 1 40 4Д030</t>
  </si>
  <si>
    <t xml:space="preserve">11 1 50 00000 </t>
  </si>
  <si>
    <t>11 1 50 4Д040</t>
  </si>
  <si>
    <t>11 2 00 00000</t>
  </si>
  <si>
    <t xml:space="preserve"> Подпрограмма "Развитие автомобильного транспорта Юсьвинского муниципального округа Пермского края"</t>
  </si>
  <si>
    <t>11 2 10 00000</t>
  </si>
  <si>
    <t xml:space="preserve"> Основное мероприятие "Организация пассажирских перевозок на территории Юсьвинского муниципального округа Пермского края"</t>
  </si>
  <si>
    <t>11 2 10 4Д051</t>
  </si>
  <si>
    <t>Организация пассажирских перевозок на территории Юсьвинского муниципального округа Пермского края</t>
  </si>
  <si>
    <t>11 3 00 00000</t>
  </si>
  <si>
    <t>Подпрограмма "Повышение безопасности  дорожного движения на автомобильных дорогах Юсьвинского муниципального округа Пермского края"</t>
  </si>
  <si>
    <t>11 3 10 00000</t>
  </si>
  <si>
    <t>11 3 10 4Д060</t>
  </si>
  <si>
    <t>12 0 00 00000</t>
  </si>
  <si>
    <t>Основное мероприятие "Поддержка и развитие малых форм хозяйствования"</t>
  </si>
  <si>
    <t>Основное мероприятие "Поддержка кадрового потенциала"</t>
  </si>
  <si>
    <t>13 0 00 00000</t>
  </si>
  <si>
    <t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t>
  </si>
  <si>
    <t>13 0 10 00000</t>
  </si>
  <si>
    <t>Основное мероприятие "Организация системы защиты населения и территории округа от чрезвычайных ситуаций природного и техногенного характера"</t>
  </si>
  <si>
    <t>13 0 10 4Ч010</t>
  </si>
  <si>
    <t xml:space="preserve">Обучение членов комиссии по ГО и РСЧС </t>
  </si>
  <si>
    <t>13 0 10 4Ч020</t>
  </si>
  <si>
    <t>Проведение мероприятий  пропагандирующих соблюдение мер пожарной безопасности и безопасности на воде на территории населенных пунктов Юсьвинского муниципального округа Пермского края</t>
  </si>
  <si>
    <t>13 0 10 00170</t>
  </si>
  <si>
    <t>13 0 20 00000</t>
  </si>
  <si>
    <t>Основное мероприятие "Обеспечение  пожарной безопасности на территории Юсьвинского муниципального округа Пермского края"</t>
  </si>
  <si>
    <t>13 0 20 4Ч030</t>
  </si>
  <si>
    <t>13 0 20 4Ч040</t>
  </si>
  <si>
    <t>13 0 20 4Ч055</t>
  </si>
  <si>
    <t>Обустройство пожарных водоемов, пожарных гидрантов в населенных пунктах муниципального округа</t>
  </si>
  <si>
    <t>13 0 20 00180</t>
  </si>
  <si>
    <t>13 0 30 00000</t>
  </si>
  <si>
    <t>Основное мероприятие "Оснащенность пунктов временного размещения"</t>
  </si>
  <si>
    <t>13 0 30 4Ч070</t>
  </si>
  <si>
    <t>14 0 00 00000</t>
  </si>
  <si>
    <t>Муниципальная адресная программа "Переселение граждан и снос ветхих (аварийных) домов на территории Юсьвинского муниципального округа Пермского края"</t>
  </si>
  <si>
    <t>14 2 00 00000</t>
  </si>
  <si>
    <t>Подпрограмма  «Переселение граждан и снос ветхих (аварийных) домов, признанных аварийными после 1 января 2017 года на территории Юсьвинского муниципального округа Пермского края»</t>
  </si>
  <si>
    <t>Основное мероприятие «Переселение граждан из аварийного жилищного фонда признанного аварийным после 1 января 2017 года на территории Юсьвинского муниципального округа Пермского края»</t>
  </si>
  <si>
    <t>Реализация мероприятий по переселению граждан из аварийного жилищного фонда, признанного аварийным после 1 января 2017 года на территории Юсьвинского муниципального округа Пермского края</t>
  </si>
  <si>
    <t>15 0 00 00000</t>
  </si>
  <si>
    <t>15 0 10 00000</t>
  </si>
  <si>
    <t>Основное мероприятие «Управление земельными ресурсами»</t>
  </si>
  <si>
    <t>15 0 10 4Г010</t>
  </si>
  <si>
    <t>Формирование земельных участков</t>
  </si>
  <si>
    <t xml:space="preserve"> за счет местного бюджета</t>
  </si>
  <si>
    <t>15 0 10 SЦ140</t>
  </si>
  <si>
    <t>15 0 20 00000</t>
  </si>
  <si>
    <t>Основное мероприятие «Разработка документов территориального планирования и градостроительного зонирования, документации по планировке территории Юсьвинского муниципального округа»</t>
  </si>
  <si>
    <t>15 0 20 4Г030</t>
  </si>
  <si>
    <t>Совершенствование документов территориального планирования, документов градостроительного зонирования, утверждение проектов планировок территорий</t>
  </si>
  <si>
    <t>Муниципальная программа "Формирование комфортной городской среды на территории Юсьвинского муниципального округа Пермского края"</t>
  </si>
  <si>
    <t>Разработка проектно-сметной документации, дизайн-проектов</t>
  </si>
  <si>
    <t>Благоустройство общественных и дворовых территорий Юсьвинского муниципального округа Пермского края</t>
  </si>
  <si>
    <t xml:space="preserve">90 0 00 00000 </t>
  </si>
  <si>
    <t xml:space="preserve">Непрограммные мероприятия  </t>
  </si>
  <si>
    <t xml:space="preserve">91 0 00 00000 </t>
  </si>
  <si>
    <t>Обеспечение деятельности органов местного самоуправления Юсьвинского муниципального округа</t>
  </si>
  <si>
    <t xml:space="preserve">91 0 00 00021  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</si>
  <si>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</si>
  <si>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</si>
  <si>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91 0 00 00031 </t>
  </si>
  <si>
    <t>92 0 00 00000</t>
  </si>
  <si>
    <t>Мероприятия, осуществляемые органами местного самоуправления  Юсьвинского муниципального округа в рамках непрограммных направлений расходов</t>
  </si>
  <si>
    <t>92 0 00 00200</t>
  </si>
  <si>
    <t>Обеспечение деятельности МКУ "Управление дорожного хозяйства и капитального строительства"</t>
  </si>
  <si>
    <t>800</t>
  </si>
  <si>
    <t>Иные бюджетные ассигнования</t>
  </si>
  <si>
    <t>92 0 00 00210</t>
  </si>
  <si>
    <t>92 0 00 2Н022</t>
  </si>
  <si>
    <t>92 0 00 2Н024</t>
  </si>
  <si>
    <t>Предоставление  мер социальной поддержки педагогическим работникам   общеобразовательных организаций (администрирование)</t>
  </si>
  <si>
    <t>92 0 00 2Н028</t>
  </si>
  <si>
    <t>Реализация функций (полномочий) по ведению бухгалтерского (бюджетного), кадрового,налогового, статистического учета, планированию финансово-хозяйственной деятельности и составлению отчетности</t>
  </si>
  <si>
    <t>92 0 00 00220</t>
  </si>
  <si>
    <t xml:space="preserve"> Обеспечение деятельности  муниципального казенного учреждения «Единый сервисный центр» </t>
  </si>
  <si>
    <t>92 0 00 00221</t>
  </si>
  <si>
    <t>Подготовка котельных к отопительному сезону</t>
  </si>
  <si>
    <t>92 0 00 2У090</t>
  </si>
  <si>
    <t>Мероприятия при осуществлении деятельности по обращению с животными без владельцев</t>
  </si>
  <si>
    <t>92 0 00 2У100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</si>
  <si>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</si>
  <si>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92 0 00 00777</t>
  </si>
  <si>
    <t>Резервный фонд администрации Юсьвинского муниципального округа Пермского края</t>
  </si>
  <si>
    <t>300</t>
  </si>
  <si>
    <t>Социальное обеспечение и иные выплаты населению</t>
  </si>
  <si>
    <t>92 0 00 00260</t>
  </si>
  <si>
    <t>Представительские расходы и иные расходы, связанные с представительской деятельностью органов местного самоуправления</t>
  </si>
  <si>
    <t>92 0 00 00270</t>
  </si>
  <si>
    <t xml:space="preserve">Расходы на уплату членского взноса в Совет муниципальных образований </t>
  </si>
  <si>
    <t>Итого расходов:</t>
  </si>
  <si>
    <t>Обеспечение функционирования официального сайта администрации Юсьвинского муниципального округа Пермского края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</si>
  <si>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</si>
  <si>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 2 30 SН071</t>
  </si>
  <si>
    <t>02 3 10 4Н068</t>
  </si>
  <si>
    <t>03 4 00 00000</t>
  </si>
  <si>
    <t>03 4 10 00000</t>
  </si>
  <si>
    <t xml:space="preserve">Организация и проведение мероприятий культурно-досуговыми учреждениями </t>
  </si>
  <si>
    <t>Библиотечное, библиографическое и информационное обслуживание пользователей библиотеки</t>
  </si>
  <si>
    <t>Публичный показ музейных предметов, музейных коллекций</t>
  </si>
  <si>
    <t>Реализация дополнительного образования детям в области искусства</t>
  </si>
  <si>
    <t>07 0 30 00000</t>
  </si>
  <si>
    <t>Основное мероприятие "Капитальный ремонт объектов спортивной инфраструктуры муниципального значения"</t>
  </si>
  <si>
    <t>07 0 30 SФ350</t>
  </si>
  <si>
    <t>08 2 10 SП020</t>
  </si>
  <si>
    <t>08 2 10 00000</t>
  </si>
  <si>
    <t>08 2 10 4П080</t>
  </si>
  <si>
    <t>08 2 10 4П091</t>
  </si>
  <si>
    <t>09 1 00 00000</t>
  </si>
  <si>
    <t>Подпрограмма  «Развитие малого и среднего предпринимательства в Юсьвинском муниципальном округе Пермского края»</t>
  </si>
  <si>
    <t>09 2 00 00000</t>
  </si>
  <si>
    <t>Подпрограмма  «Развитие сельского хозяйства в Юсьвинском муниципальном округе Пермского края»</t>
  </si>
  <si>
    <t>09 2 10 00000</t>
  </si>
  <si>
    <t>09 2 10 4С020</t>
  </si>
  <si>
    <t>09 2 20 00000</t>
  </si>
  <si>
    <t>09 2 20 4С030</t>
  </si>
  <si>
    <t>09 2 20 4С050</t>
  </si>
  <si>
    <t>09 2 20 4С060</t>
  </si>
  <si>
    <t>09 2 20 4С070</t>
  </si>
  <si>
    <t>Обустройство тротуаров в населенных пунктах Юсьвинского муниципального округа Пермского края</t>
  </si>
  <si>
    <t>10 3 10 4М075</t>
  </si>
  <si>
    <t>11 1 40 4Д031</t>
  </si>
  <si>
    <t>12 0 10 00000</t>
  </si>
  <si>
    <t>12 0 10 4М060</t>
  </si>
  <si>
    <t>12 0 F2 00000</t>
  </si>
  <si>
    <t>12 0 F2 55550</t>
  </si>
  <si>
    <t>12 0 30  00000</t>
  </si>
  <si>
    <t>12 0 30  SЖ090</t>
  </si>
  <si>
    <t>Создание условий для организации добровольной пожарной охраны на территории ЮМО ПК</t>
  </si>
  <si>
    <t>14 2 10 SЖ160</t>
  </si>
  <si>
    <t>14 2 10 00000</t>
  </si>
  <si>
    <t>600</t>
  </si>
  <si>
    <t>Предоставление субсидий бюджетным, автономным учреждениям и иным некоммерческим организациям</t>
  </si>
  <si>
    <t>Основное мероприятие "Предотвращение распространения и уничтожение борщевика Сосновского в Юсьвинском муниципальном округе Пермского края"</t>
  </si>
  <si>
    <t>Приложение 1</t>
  </si>
  <si>
    <t>к решению Думы Юсьвинского</t>
  </si>
  <si>
    <t>Осуществление первичного воинского учета органами местного самоуправления поселений, муниципальных и городских округов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</si>
  <si>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 и иных мероприятиях</t>
  </si>
  <si>
    <t>Осуществление издательской деятельности (выпуск газеты «Юсьвинские вести»)</t>
  </si>
  <si>
    <t>Организация и проведение мероприятия «Поезд безопасности», а также организация и проведение рейдовых и других профилактических мероприятий, в т.ч. с несовершеннолетними</t>
  </si>
  <si>
    <t>Размещение уличной социальной рекламы</t>
  </si>
  <si>
    <t>Мероприятия по обеспечению материальными резервами ПВР</t>
  </si>
  <si>
    <t xml:space="preserve">Разработка проектов межевания территории и проведение  комплексных  кадастровых работ </t>
  </si>
  <si>
    <t>Обеспечение содержания  муниципального казенного учреждения «ЕДДС»</t>
  </si>
  <si>
    <t>03 4 10 4КЖ60</t>
  </si>
  <si>
    <t>Оснащение муниципальных образовательных организаций оборудованием, средствами обучения и воспитания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</si>
  <si>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</si>
  <si>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 xml:space="preserve">Компенсационные выплаты депутатам Думы Юсьвинского муниципального округа Пермского края </t>
  </si>
  <si>
    <t>изменения</t>
  </si>
  <si>
    <t>02 6 10 SP350</t>
  </si>
  <si>
    <t>02 2 30 SН072</t>
  </si>
  <si>
    <t>06 1 А2 55195</t>
  </si>
  <si>
    <t>06 1 А2 55196</t>
  </si>
  <si>
    <t>Строительство Купросского сельского дома культуры на 50 мест в с. Купрос</t>
  </si>
  <si>
    <t>05 0 10 SP250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</si>
  <si>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расходы)</t>
  </si>
  <si>
    <t>Муниципальная программа  "Распоряжение земельными ресурсами и развитие градостроительной деятельности в Юсьвинском муниципальном округе Пермского края"</t>
  </si>
  <si>
    <t>2026 год</t>
  </si>
  <si>
    <t>Основное мероприятие "Обеспечение транспортной безопасности объектов транспортной инфраструктуры"</t>
  </si>
  <si>
    <t>Проведение оценки уязвимости объектов транспортной инфраструктуры</t>
  </si>
  <si>
    <t>Разработка плана обеспечения транспортной безопасности и подготовка сил обеспечения транспортной безопасности</t>
  </si>
  <si>
    <t>Основное мероприятие "Создание условий для формирования комфортной деловой среды для развития и ведения бизнеса"</t>
  </si>
  <si>
    <t>Проведение мероприятия, посвященного Дню российского предпринимательства</t>
  </si>
  <si>
    <t>Приобретение системы водоочистки на водозаборные скважины</t>
  </si>
  <si>
    <t>Капитальный ремонт, ремонт сетей водоснабжения, водозаборных сооружений, устройство, капитальный ремонт и ремонт водонапорных башен по приоритетному проекту «Качественное водоснабжение» региональной программы «Комфортный край»</t>
  </si>
  <si>
    <t xml:space="preserve">Приведение в нормативное состояние муниципального жилищного фонда»  </t>
  </si>
  <si>
    <t>02 2 20 SН420</t>
  </si>
  <si>
    <t>05 0 10 4И080</t>
  </si>
  <si>
    <t>09 1 10 00000</t>
  </si>
  <si>
    <t>09 1 10 4Э030</t>
  </si>
  <si>
    <t>09 1 10 4Э031</t>
  </si>
  <si>
    <t>10 2 20 SP350</t>
  </si>
  <si>
    <t>10 2 40 4Б020</t>
  </si>
  <si>
    <t xml:space="preserve">11 1 R1 00000 </t>
  </si>
  <si>
    <t>Основное мероприятие "Реализация федерального проекта "Региональная и местная дорожная сеть"</t>
  </si>
  <si>
    <t>11 1 R1 53940</t>
  </si>
  <si>
    <t>Приведение в нормативное состояние искусственных дорожных сооружений</t>
  </si>
  <si>
    <t>11 3 20 00000</t>
  </si>
  <si>
    <t>11 3 20 4Д070</t>
  </si>
  <si>
    <t>11 3 20 4Д071</t>
  </si>
  <si>
    <t>02 2 ЕВ 00000</t>
  </si>
  <si>
    <t>02 2 ЕВ 5179F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</si>
  <si>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</si>
  <si>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муниципальных округов на приведение в нормативное состояние автомобильных дорог и искусственных дорожных сооружений</t>
  </si>
  <si>
    <t>92 0 00 00500</t>
  </si>
  <si>
    <t>Подготовка и проведение выборов в Думу Юсьвинского муниципального округа</t>
  </si>
  <si>
    <t>Муниципальная программа "Муниципальное управление в Юсьвинском муниципальном округе Пермского края"</t>
  </si>
  <si>
    <t>Обеспечение, сопровождение информационных систем, приобретение компьютерной оргтехники в целях автоматизации административно-управленческих процессов при выполнении функций администрации Юсьвинского муниципального округа Пермского края</t>
  </si>
  <si>
    <t>Основное мероприятие "Размещение информации о деятельности органов местного самоуправления Юсьвинского муниципального округа Пермского края"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</si>
  <si>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в СМИ</t>
  </si>
  <si>
    <t>Подпрограмма "Обеспечение выполнения администрацией Юсьвинского муниципального округа Пермского края и её самостоятельными структурными подразделениями переданных отдельных государственных полномочий"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</si>
  <si>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</si>
  <si>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Муниципальная программа "Образование Юсьвинского муниципального округа Пермского края"</t>
  </si>
  <si>
    <t>Подпрограмма "Реализация государственной национальной политики в сфере образования"</t>
  </si>
  <si>
    <t xml:space="preserve">Организация и проведение общественно-значимых мероприятий с участием инвалидов </t>
  </si>
  <si>
    <t xml:space="preserve">Организация и проведение конкурса по  здоровому образу жизни </t>
  </si>
  <si>
    <t>Предоставление молодым семьям социальных выплат на приобретение (строительство) жилья в рамках реализации подпрограммы 1 «Социальная поддержка семей и детей. Профилактика социального сиротства и защита прав детей-сирот» государственной программы «Социальная поддержка жителей Пермского края</t>
  </si>
  <si>
    <t>Проведение мероприятий по содержанию имущества муниципальной казны (в т.ч. оценка, проведение экспертизы, оплата взносов, регистрация объектов недвижимости и пр.)</t>
  </si>
  <si>
    <t>Содержание жилых помещений маневренного фонда Юсьвинского муниципального округа Пермского края</t>
  </si>
  <si>
    <t>05 0 20 00000</t>
  </si>
  <si>
    <t>05 0 20 4И050</t>
  </si>
  <si>
    <t xml:space="preserve">Приобретение (выкуп) в муниципальную собственность объектов недвижимости </t>
  </si>
  <si>
    <t>Основное мероприятие "Приобретение (выкуп) в муниципальную собственность объектов недвижимости "</t>
  </si>
  <si>
    <t>Государственная поддержка отрасли культуры (оказание государственной поддержки лучшим работникам сельских учреждений культуры)</t>
  </si>
  <si>
    <t>Государственная поддержка отрасли культуры (оказание государственной поддержки лучшим сельским учреждениям культуры)</t>
  </si>
  <si>
    <t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спортом)</t>
  </si>
  <si>
    <t>Устройство, ремонт тротуаров, сетей уличного освещения, не входящих в состав автомобильных дорог общего пользования местного значения в границах населенного пункта, по приоритетному проекту "Наша улица" региональной программы "Комфортный край</t>
  </si>
  <si>
    <t>Ликвидация несанкционированных свалок</t>
  </si>
  <si>
    <t>Проведение комплекса мероприятий по уничтожению борщевика Сосновского химическими методами, механическими методами, агротехнологическими методами</t>
  </si>
  <si>
    <t>10 2 50 00000</t>
  </si>
  <si>
    <t>Основное мероприятие "Прочие мероприятия в области благоустройства"</t>
  </si>
  <si>
    <t>10 2 50 00150</t>
  </si>
  <si>
    <t>Основное мероприятие "Обеспечение безопасности дорожных условий на автомобильных дорогах"</t>
  </si>
  <si>
    <t>Осуществление перевозок пассажиров и багажа автомобильным транспортом по муниципальным маршрутам на территории Юсьвинского муниципального округа Пермского края</t>
  </si>
  <si>
    <t>Разработка технических паспортов на автомобильные дороги Юсьвинского муниципального округа Пермского края</t>
  </si>
  <si>
    <t>Ремонт автомобильных дорог (софинансируемые из бюджета ПК)</t>
  </si>
  <si>
    <t>Ремонт автомобильных дорог (несофинансируемые из бюджета ПК)</t>
  </si>
  <si>
    <t>Основное мероприятие "Подготовительные работы для реализации  мероприятий по благоустройству общественных и дворовых территорий"</t>
  </si>
  <si>
    <t>Благоустройство общественных и дворовых территорий Юсьвинского муниципального округа Пермского края(расходы, не софинансируемые из федерального бюджета)</t>
  </si>
  <si>
    <t>Противопожарная пропаганда и обучение населения мерам  пожарной безопасности и безопасности на водных объектах на  территории населенных пунктов Юсьвинского муниципального округа Пермского края</t>
  </si>
  <si>
    <t>Создание условий для организации добровольной пожарной охраны на территории Юсьвинского муниципального округа Пермского края</t>
  </si>
  <si>
    <t>Обустройство пожарных водоемов, пожарных гидрантов в населенных пунктах Юсьвинского муниципального округа Пермского края</t>
  </si>
  <si>
    <t>92 0 00 00150</t>
  </si>
  <si>
    <t>Ведомство</t>
  </si>
  <si>
    <t>Администрация Юсьвинского муниципального округа Пермского края</t>
  </si>
  <si>
    <t>0100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</si>
  <si>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</si>
  <si>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</si>
  <si>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0104</t>
  </si>
  <si>
    <t>0105</t>
  </si>
  <si>
    <t>0113</t>
  </si>
  <si>
    <t>0203</t>
  </si>
  <si>
    <t>Раздел, подраздел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</si>
  <si>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</si>
  <si>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</si>
  <si>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90 0 00 00000</t>
  </si>
  <si>
    <t>Непрограммные мероприятия</t>
  </si>
  <si>
    <t>Мероприятия, осуществляемые органами местного самоуправления Юсьвинского муниципального округа в рамках непрограммных направлений</t>
  </si>
  <si>
    <t>Судебная система</t>
  </si>
  <si>
    <t xml:space="preserve"> 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</si>
  <si>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 xml:space="preserve"> Основное мероприятие "Обеспечение выполнения переданных государственных полномочий"</t>
  </si>
  <si>
    <t>Другие общегосударственные расходы</t>
  </si>
  <si>
    <t>0200</t>
  </si>
  <si>
    <t>Национальная оборона</t>
  </si>
  <si>
    <t>Мобилизационная и вневойсковая подготовка</t>
  </si>
  <si>
    <t>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</si>
  <si>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Основное мероприятие "Обеспечение выполнения переданных государственных полномочий"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</si>
  <si>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</si>
  <si>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</si>
  <si>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</si>
  <si>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и стихийных бедствий природного и техногенного характера, гражданская оборона</t>
  </si>
  <si>
    <t>Муниципальная программа "Защита населения и территории Юсьвинского муниципального округа Пермского края  от чрезвычайных ситуаций, обеспечение пожарной безопасности и безопасности людей на водных объектах"</t>
  </si>
  <si>
    <t>0310</t>
  </si>
  <si>
    <t>Обеспечение пожарной безопасности</t>
  </si>
  <si>
    <t>Муниципальные программы Юсьвинского муниципального округа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</si>
  <si>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</si>
  <si>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</si>
  <si>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</si>
  <si>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</si>
  <si>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</si>
  <si>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</si>
  <si>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</si>
  <si>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</si>
  <si>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</si>
  <si>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</si>
  <si>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</si>
  <si>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</si>
  <si>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Муниципальная программа " Распоряжение земельными ресурсами и развитие градостроительной деятельности в Юсьвинском муниципальном округе Пермского края"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</si>
  <si>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</si>
  <si>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</si>
  <si>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</si>
  <si>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</si>
  <si>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</si>
  <si>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</si>
  <si>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</si>
  <si>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</si>
  <si>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0700</t>
  </si>
  <si>
    <t>Образование</t>
  </si>
  <si>
    <t>0702</t>
  </si>
  <si>
    <t>Общее образование</t>
  </si>
  <si>
    <t>0800</t>
  </si>
  <si>
    <t>Культура и кинематография</t>
  </si>
  <si>
    <t>Культура</t>
  </si>
  <si>
    <t>06 0 00 00000</t>
  </si>
  <si>
    <t>Муниципальная программа  "Развитие культуры, искусства и молодежной политики в  Юсьвинском муниципальном округе Пермского края"</t>
  </si>
  <si>
    <t>06 1 00 00000</t>
  </si>
  <si>
    <t>06 1 70 00000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</si>
  <si>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</si>
  <si>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</si>
  <si>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</si>
  <si>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</si>
  <si>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</si>
  <si>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Муниципальная программа «Улучшение жилищных условий граждан, проживающих в Юсьвинском муниципальном округе Пермского края»</t>
  </si>
  <si>
    <t>Охрана семьи и детства</t>
  </si>
  <si>
    <t>1006</t>
  </si>
  <si>
    <t>Другие вопросы в области социальной политики</t>
  </si>
  <si>
    <t>Управление образования администрации Юсьвинского муниципального округа Пермского края</t>
  </si>
  <si>
    <t>0701</t>
  </si>
  <si>
    <t>Дошкольное образование</t>
  </si>
  <si>
    <t>Оснащение муниципальных образовательных организаций оборудованием, средствами обученияи воспитания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</si>
  <si>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</si>
  <si>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</si>
  <si>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</si>
  <si>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</si>
  <si>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</si>
  <si>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</si>
  <si>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Физическая культура и спорт</t>
  </si>
  <si>
    <t>1101</t>
  </si>
  <si>
    <t>Физическая культура</t>
  </si>
  <si>
    <t>Отдел культуры, молодежной политики и спорта администрации Юсьвинского муниципального округа Пермского края</t>
  </si>
  <si>
    <t>0801</t>
  </si>
  <si>
    <t>0804</t>
  </si>
  <si>
    <t>Другие вопросы в области культуры, кинематографии</t>
  </si>
  <si>
    <t>Подпрограмма "Организация деятельности по реализации вопросов местного значения Юсьвинского муниципального округа и развитие муниципальной службы в Юсьвинском муниципальном округа"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</si>
  <si>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</si>
  <si>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услуг.</t>
  </si>
  <si>
    <t>Средства массовой информации</t>
  </si>
  <si>
    <t>Периодическая печать и издательства</t>
  </si>
  <si>
    <t>Дума Юсьвинского муниципального округа Пермского края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</si>
  <si>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</si>
  <si>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</si>
  <si>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Финансовое управление администрации Юсьвинского муниципального округа Пермского края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</si>
  <si>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</si>
  <si>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</si>
  <si>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</si>
  <si>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</si>
  <si>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Ведомственная структура расходов Юсьвинского муниципального округа Пермского края  на 2024 год и на плановый период 2025-2026 годы</t>
  </si>
  <si>
    <t xml:space="preserve"> за счет краевого бюджета</t>
  </si>
  <si>
    <t>Приобретение (выкуп) в муниципальную собственность объектов недвижимости</t>
  </si>
  <si>
    <t>0600</t>
  </si>
  <si>
    <t>0605</t>
  </si>
  <si>
    <t>Охрана окружающей среды</t>
  </si>
  <si>
    <t>Другие вопросы в области охраны окружающей среды</t>
  </si>
  <si>
    <t>10 3 10 4М042</t>
  </si>
  <si>
    <t>Текущее содержание (ремонт) объектов благоустройства, организация освещения улиц</t>
  </si>
  <si>
    <t>Основное мероприятие "Формирование позитивного имиджа главы муниципального округа – главы администрации  Юсьвинского муниципального округа Пермского края и администрации Юсьвинского муниципального округа Пермского края "</t>
  </si>
  <si>
    <t>Обеспечение питанием обучающихся из многодетных семей, нуждающихся в мерах социальной поддержки</t>
  </si>
  <si>
    <t>Обеспечение питанием обучающихся из семей, нуждающихся в мерах социальной поддержки</t>
  </si>
  <si>
    <t>Проектирование объекта "Строительство интерната Майкорская ОШИ Юсьвинского муниципального округа"</t>
  </si>
  <si>
    <t xml:space="preserve">Основное мероприятие "Патриотическое воспитание граждан Российской Федерации в рамках реализации федерального проекта"
</t>
  </si>
  <si>
    <t>Оказание услуг в сфере дополнительного образования в рамках полномочий Юсьвинского муниципального округа Пермского края (центр дополнительного образования)</t>
  </si>
  <si>
    <t>Оказание услуг в сфере дополнительного образования в рамках полномочий Юсьвинского муниципального округа Пермского края (детско-юношеская спортивная школа)</t>
  </si>
  <si>
    <t>Благоустройство территории общеобразовательных учреждений в рамках реализации приоритетного проекта «Школьный двор» программы «Комфортный край»</t>
  </si>
  <si>
    <t>Обеспечение кадровой политики в сфере культуры и искусства</t>
  </si>
  <si>
    <t>Участие в реализации проекта «Новый клуб» программа «Комфортный край»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</si>
  <si>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округа"</t>
  </si>
  <si>
    <t>Организация обучения для СМСП и самозанятых</t>
  </si>
  <si>
    <t>Восстановление мостов и труб (несофинансируемые)</t>
  </si>
  <si>
    <t>Основное мероприятие "Содержание автомобильных дорог"</t>
  </si>
  <si>
    <t>Выполнение работ по содержанию автомобильных дорог общего пользования и улично-дорожной сети Юсьвинского муниципального округа Пермского края</t>
  </si>
  <si>
    <t>Обеспечение первичными мерами пожарной безопасности</t>
  </si>
  <si>
    <t>Основное мероприятие "Патриотическое воспитание граждан Российской Федерации в рамках реализации федерального проекта"</t>
  </si>
  <si>
    <t>Содержание общедомового имущества многоквартирных домов</t>
  </si>
  <si>
    <t>Организация  и проведение  Конкурса по развитию волонтерской (добровольческой деятельности)</t>
  </si>
  <si>
    <t>Организация  и проведение Конкурса по развитию волонтерской (добровольческой деятельности)</t>
  </si>
  <si>
    <t>Всего</t>
  </si>
  <si>
    <t>Уменьшение прочих остатков денежных средств бюджетов муниципальных округов</t>
  </si>
  <si>
    <t>01 05 02 01 14 0000 610</t>
  </si>
  <si>
    <t>Уменьшение прочих остатков денежных средств бюджетов</t>
  </si>
  <si>
    <t>01 05 02 01 00 0000 610</t>
  </si>
  <si>
    <t>Уменьшение прочих остатков средств бюджетов</t>
  </si>
  <si>
    <t>01 05 02 00 00 0000 600</t>
  </si>
  <si>
    <t>Уменьшение остатков средств бюджетов</t>
  </si>
  <si>
    <t>01 05 00 00 00 0000 600</t>
  </si>
  <si>
    <t>Увеличение прочих остатков денежных средств бюджетов муниципальных округов</t>
  </si>
  <si>
    <t>01 05 02 01 14 0000 510</t>
  </si>
  <si>
    <t>Увеличение прочих остатков денежных средств бюджетов</t>
  </si>
  <si>
    <t>01 05 02 01 00 0000 510</t>
  </si>
  <si>
    <t>Увеличение прочих остатков средств бюджетов</t>
  </si>
  <si>
    <t>01 05 02 00 00 0000 500</t>
  </si>
  <si>
    <t>Увеличение остатков средств бюджетов</t>
  </si>
  <si>
    <t>01 05 00 00 00 0000 500</t>
  </si>
  <si>
    <t>Изменение остатков средств на счетах по учету средств бюджетов</t>
  </si>
  <si>
    <t>01 05 00 00 00 0000 000</t>
  </si>
  <si>
    <t>ИСТОЧНИКИ ВНУТРЕННЕГО ФИНАНСИРОВАНИЯ ДЕФИЦИТОВ БЮДЖЕТОВ</t>
  </si>
  <si>
    <t>01 00 00 00 00 0000 000</t>
  </si>
  <si>
    <t xml:space="preserve">Наименование кода классификации источников внутреннего финансирования дефицита </t>
  </si>
  <si>
    <t xml:space="preserve">Код классификации источников внутреннего финансирования дефицита </t>
  </si>
  <si>
    <t>(тыс.руб.)</t>
  </si>
  <si>
    <t>муниципального округа Пермского края</t>
  </si>
  <si>
    <t>Приложение 5</t>
  </si>
  <si>
    <t>Источники финансирования дефицита бюджета Юсьвинского муниципального округа Пермского края на 2024 год и на плановый период 2025 и 2026 годов</t>
  </si>
  <si>
    <t>Основное мероприятие "Реализация мероприятий в рамках федерального проекта «Формирование комфортной городской среды»</t>
  </si>
  <si>
    <t xml:space="preserve">Основное мероприятие "Реализация мероприятий в рамках регионального проекта «Формирование современной городской среды» </t>
  </si>
  <si>
    <t>Итого</t>
  </si>
  <si>
    <t>средства местного бюджета</t>
  </si>
  <si>
    <t>средства краевого бюджета</t>
  </si>
  <si>
    <t>Сумма (тыс. руб.)</t>
  </si>
  <si>
    <t>Наименование объекта</t>
  </si>
  <si>
    <t>№ п/п</t>
  </si>
  <si>
    <t xml:space="preserve">муниципального округа </t>
  </si>
  <si>
    <t>Приложение 3</t>
  </si>
  <si>
    <t>Перечень объектов капитального строительства на 2024 год и на плановый период 2025-2026 годов</t>
  </si>
  <si>
    <t>Приложение 4</t>
  </si>
  <si>
    <t xml:space="preserve">к  решению Думы Юсьвинского </t>
  </si>
  <si>
    <t>муниципального округа</t>
  </si>
  <si>
    <t>Наименование направлений расходов</t>
  </si>
  <si>
    <t>Сумма (тыс.руб.)</t>
  </si>
  <si>
    <t>1.</t>
  </si>
  <si>
    <t>Муниципальная программа "Развитие транспортной системы Юсьвинского муниципального округа Пермского края", в том числе:</t>
  </si>
  <si>
    <t>1.1.</t>
  </si>
  <si>
    <t>Подпрограмма «Развитие и совершенствование автомобильных дорог Юсьвинского муниципального округа»</t>
  </si>
  <si>
    <t>1.1.1.</t>
  </si>
  <si>
    <t>Основное мероприятие "Паспортизация муниципальных дорог"</t>
  </si>
  <si>
    <t>1.1.2.</t>
  </si>
  <si>
    <t>1.1.3.</t>
  </si>
  <si>
    <t>1.1.4.</t>
  </si>
  <si>
    <t>Основное мероприятие "Содержание муниципальных дорог"</t>
  </si>
  <si>
    <t>1.2.</t>
  </si>
  <si>
    <t>Подпрограмма «Повышение безопасности  дорожного движения на автомобильных дорогах Юсьвинского муниципального округа"</t>
  </si>
  <si>
    <t>1.2.1.</t>
  </si>
  <si>
    <t>Распределение средств дорожного фонда Юсьвинского муниципального округа  Пермского края на 2024 год и на плановый период 2025-2026 годы</t>
  </si>
  <si>
    <t>Мероприятие "Разработка технических паспортов на автомобильные дороги Юсьвинского муниципального округа Пермского края"</t>
  </si>
  <si>
    <t>Основное мероприятие «Ремонт муниципальных дорог и искусственных дорожных сооружений»</t>
  </si>
  <si>
    <t>Мероприятие "Ремонт автомобильных дорог (софинансируемые из бюджета ПК)"</t>
  </si>
  <si>
    <t>Мероприятие "Ремонт автомобильных дорог (несофинансируемые из бюджета ПК)"</t>
  </si>
  <si>
    <t>Мероприятие "Восстановление мостов и труб (несофинансируемые)"</t>
  </si>
  <si>
    <t>Мероприятие "Выполнение работ по содержанию автомобильных дорог общего пользования и улично-дорожной сети Юсьвинского муниципального округа Пермского края"</t>
  </si>
  <si>
    <t>Мероприятие "Приведение в нормативное состояние искусственных дорожных сооружений"</t>
  </si>
  <si>
    <t>средства федерального бюджета</t>
  </si>
  <si>
    <t>1.2.2.</t>
  </si>
  <si>
    <t>Мероприятие "Проведение оценки уязвимости объектов транспортной инфраструктуры"</t>
  </si>
  <si>
    <t>Мероприятие "Замена и установка барьерных ограждений, автобусных остановок, недостающих дорожных знаков, информационных щитов, светофоров"</t>
  </si>
  <si>
    <t>Мероприятие "Разработка плана обеспечения транспортной безопасности и подготовка сил обеспечения транспортной безопасности"</t>
  </si>
  <si>
    <t>Наименование доходов</t>
  </si>
  <si>
    <t>Доходы для определения объема дорожного фонда, всего</t>
  </si>
  <si>
    <t>в том числе: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</si>
  <si>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подлежащие зачислению в местный бюджет</t>
  </si>
  <si>
    <t>1.3.</t>
  </si>
  <si>
    <t>субсидии на 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</si>
  <si>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1.4.</t>
  </si>
  <si>
    <t>Дотации на выравнивание бюджетной обеспеченности</t>
  </si>
  <si>
    <t>1. Доходы</t>
  </si>
  <si>
    <t>2.Расходы</t>
  </si>
  <si>
    <t>Пермского края</t>
  </si>
  <si>
    <t>Приложение 6</t>
  </si>
  <si>
    <t>Приложение 7</t>
  </si>
  <si>
    <t>Перечень муниципальных программ Юсьвинского муниципального округа Пермского края</t>
  </si>
  <si>
    <t>Распределение бюджетных ассигнований по целевым статьям (муниципальным программам и непрограммным направлениям деятельности) и группам видов расходов классификации расходов на 2024-2026 годы</t>
  </si>
  <si>
    <t>Приложение 2</t>
  </si>
  <si>
    <t>Реестр источников доходов бюджета Юсьвинского муниципального округа Пермского края</t>
  </si>
  <si>
    <t>Справочно 4</t>
  </si>
  <si>
    <t>Справочно 3</t>
  </si>
  <si>
    <t>Ожидаемое исполнение бюджета</t>
  </si>
  <si>
    <t>Справочно 2</t>
  </si>
  <si>
    <t>Структура муниципального долга Юсьвинского муниципального округа Пермского края</t>
  </si>
  <si>
    <t>Справочно 1</t>
  </si>
  <si>
    <t>Перечень приложений к проекту решения Думы Юсьвинского муниципального округа Пермского края "О бюджете Юсьвинского муниципального округа Пермского края на 2024 год и на плановый период 2025-2026 годов</t>
  </si>
  <si>
    <t>Распределение бюджетных ассигнований по целевым статьям (муниципальным программам и непрограммным направлениям деятельности) и группам   видов  расходов классификации расходов  на 2024-2026 годы</t>
  </si>
  <si>
    <t xml:space="preserve">Перечень объектов капитального строительства на 2024 год и на плановый период 2025-2026 годов </t>
  </si>
  <si>
    <t>Распределение средств дорожного фонда Юсьвинского муниципального округа Пермского края  на 2024 год и на плановый период 2025-2026 годы</t>
  </si>
  <si>
    <t>Источники внутреннего финансирования дефицита бюджета Юсьвинского муниципального округа Пермского края на 2024 год и плановый период 2025 - 2026 годов</t>
  </si>
  <si>
    <t>Программа муниципальных внутренних заимствований Юсьвинского муниципального округа Пермского края на 2024 год и на плановый период 2025-2026 годов</t>
  </si>
  <si>
    <t>Программа муниципальных гарантий Юсьвинского муниципального округа Пермского края  на 2024 год и на плановый период 2025-2026 годов</t>
  </si>
  <si>
    <t>01 3 10 2С150</t>
  </si>
  <si>
    <t>11 3 10 SP350</t>
  </si>
  <si>
    <t>Установка остановочных павильонов на территории Юсьвинского муниципального округа Пермского края</t>
  </si>
  <si>
    <t>Обеспечение деятельности Аппарата  Думы Юсьвинского муниципального округа Пермского края</t>
  </si>
  <si>
    <t>Обеспечение деятельности  муниципального казенного учреждения «Единый учетный центр»</t>
  </si>
  <si>
    <t xml:space="preserve">Приведение в нормативное состояние муниципального жилищного фонда  </t>
  </si>
  <si>
    <t>Замена  и (или) установка  барьерных ограждений, автобусных остановок, недостающих дорожных знаков, информационных щитов, светофоров</t>
  </si>
  <si>
    <t>Обеспечение жильем молодых семей в рамках участия в государственной программе РФ «Обеспечение доступным и комфортным жильем и коммунальными услугами граждан Российской Федерации</t>
  </si>
  <si>
    <t xml:space="preserve"> Противопожарное водоснабжение Юсьвинского муниципального округа Пермского края</t>
  </si>
  <si>
    <t>Капитальный ремонт, ремонт объектов общеобразовательных организаций</t>
  </si>
  <si>
    <t>02 6 10 4Н110</t>
  </si>
  <si>
    <t>Установка остановочного павильона в д. Пиканово</t>
  </si>
  <si>
    <t>Установка остановочного павильона в д. Подволошино</t>
  </si>
  <si>
    <t>Установка остановочного павильона в с. Они</t>
  </si>
  <si>
    <t>Установка остановочного павильона в д. Федотово</t>
  </si>
  <si>
    <t>Установка остановочного павильона в д. Бажино</t>
  </si>
  <si>
    <t>Мероприятие. Установка остановочных павильонов на территории Юсьвинского муниципального округа Пермского края, в том числе:</t>
  </si>
  <si>
    <t>Ремонт моста через р. Купроска на автомобильной дороге "Габово-Купрос" - участок "Евсино-Купрос"</t>
  </si>
  <si>
    <t>Капитальный ремонт моста в п. Майкор</t>
  </si>
  <si>
    <t>Ремонт моста через р. Юсьва автомобильной дороги "Сивашер-Обирино-Сыскино"</t>
  </si>
  <si>
    <t>Ремонт моста через р. Проста автомобильной дороги "Габово-Купрос"</t>
  </si>
  <si>
    <t>Ремонт водопропускной трубы на участке автомобильной дороги по ул. Парковая км 0+330 д. М.Мочга</t>
  </si>
  <si>
    <t>Ремонт участкаулицы по ул. Соликамская (от пер. Пушкина до ул. Матросова) п. Майкор</t>
  </si>
  <si>
    <t>Ремонт автомобильной дороги по ул. Аптечная (от дома № 5 до ул. Гагарина), ул. Народная (от дома № 20а до дома № 22) с. Юсьва</t>
  </si>
  <si>
    <t>Ремонт автомобильной дороги по ул. Восточная (от ул. Механизаторов до дома № 5), ул. Крайняя (от дома № 5 до ул. Парковая) с. Юсьва</t>
  </si>
  <si>
    <t>Восстановление размытой водоотводной канавы на участке автомобильной дороги по ул. 8 Марта (от ул. Крестьянская до ул. Широкая) с.Юсьва</t>
  </si>
  <si>
    <t>Ремонт участка автомобильной дороги "Сивашер-Обирино-Сыскино" км 5+370-км 5+910</t>
  </si>
  <si>
    <t>Ремонт участка автомобильной дороги по ул. Центральная (от дома № 96 до дома № 69) д. Пиканово</t>
  </si>
  <si>
    <t>Ремонт участка автомобильной дороги по ул. Луговая (от автомобильной дороги "Купрос-Тимино-Тукачево" до дома № 12) д. Симянково</t>
  </si>
  <si>
    <t>Ремонт участка автомобильной дороги по ул. Попова (от дома №37 до дома №42А) с. Юсьва</t>
  </si>
  <si>
    <t>Ремонт участка автомобильной дороги по ул. Центральная (от ручья до дома №36) д. Пиканово</t>
  </si>
  <si>
    <t>Ремонт автомобильной дороги "Доег-Пет-Бор"</t>
  </si>
  <si>
    <t>Ремонт автомобильной дороги по ул. Нагорная (от дома № 2 до дома № 10), ул. Подгорная (от автомобильной дороги "Кудымкар-Пожва" до ул. Полевая) д. Трифаново</t>
  </si>
  <si>
    <t>Ремонт автомобильных дорог по ул. Школьная, ул. Энтузиастов с. Юсьва</t>
  </si>
  <si>
    <t>Ремонт автомобильной дороги по ул. Октябрьская (от ул. Коммунистическая до ул. Советская), ул. Ошмарина п. Майкор</t>
  </si>
  <si>
    <t>Ремонт автомобильной дороги по ул. Ломоносова п. Майкор</t>
  </si>
  <si>
    <t>Ремонт автомобильной дороги по ул. Васильковая с. Архангельское</t>
  </si>
  <si>
    <t>Ремонт автомобильной дороги по ул. Молодежная с. Купрос</t>
  </si>
  <si>
    <t>Ремонт автомобильной дороги по ул. Набережная с. Они</t>
  </si>
  <si>
    <t>Ремонт автомобильной дороги по ул. Загорная (от дома № 2 до дома № 12) д. Загарье</t>
  </si>
  <si>
    <t>Ремонт автомобильной дороги по ул. Полевая д. Кузьмино</t>
  </si>
  <si>
    <t>1.5.</t>
  </si>
  <si>
    <t>07 0 10 SФ320</t>
  </si>
  <si>
    <t>Реализация мероприятия "Умею плавать!"</t>
  </si>
  <si>
    <t xml:space="preserve">10 2 20 SP080 </t>
  </si>
  <si>
    <t>Реализация проектов инициативного бюджетирования</t>
  </si>
  <si>
    <t>10 3 10 4М076</t>
  </si>
  <si>
    <t>2024 год (утверждено)</t>
  </si>
  <si>
    <t>2025 год (утверждено)</t>
  </si>
  <si>
    <t>2026 год (утверждено)</t>
  </si>
  <si>
    <t>92 0 00 00230</t>
  </si>
  <si>
    <t>Исполнение решений судов, вступивших в законную силу, и оплата государственной пошлины</t>
  </si>
  <si>
    <t>92 0 00 00399</t>
  </si>
  <si>
    <t>Экспертное сопровождение в отношении объекта капитального строительства "Строительство школьного образовательного учреждения на 60 мест в с.Доег Юсьвинского муниципального округа"</t>
  </si>
  <si>
    <t>Мероприятия, осуществляемые органами местного самоуправления  Юсьвинского муниципального округа Пермского края в рамках непрограммных направлений расходов</t>
  </si>
  <si>
    <t>Экспетное сопровождение в отношении объекта капитального строительства "Строительство школьного образовательного учреждения на 60 мест в с.Доег Юсьвинского муниципального округа"</t>
  </si>
  <si>
    <t>92 0 00 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</si>
  <si>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</si>
  <si>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11 1 20 00000</t>
  </si>
  <si>
    <t xml:space="preserve"> Основное мероприятие "Проектно-изыскательские работы"</t>
  </si>
  <si>
    <t>11 1 20 4Д020</t>
  </si>
  <si>
    <t>Проектно-изыскательские работы по капитальному ремонту моста через р. Иньва на автомобильной дороге «Юсьва-Архангельское» км 004+462</t>
  </si>
  <si>
    <t>внебюджетные источники</t>
  </si>
  <si>
    <t>Ремонт автомобильной дороги по ул. Тарасовская д. Белюково</t>
  </si>
  <si>
    <t>Ремонт участка автомобильной дороги "Асаново-Белюков" (км 000+750 - км 001+700)</t>
  </si>
  <si>
    <t>Ремонт участка автомобильной дороги по ул. Вотинова (от ул. Пионерская до дома № 12) п. Майкор</t>
  </si>
  <si>
    <t>Ремонт участка автомобильной дороги "Габово-Купрос" (км 025+810 - км 027+810)</t>
  </si>
  <si>
    <t>Нераспределенные средства субсидии</t>
  </si>
  <si>
    <t xml:space="preserve"> Основное мероприятие "Капитальный ремонт муниципальных дорог и искусственных дорожных сооружений"</t>
  </si>
  <si>
    <t>11 1 30 00000</t>
  </si>
  <si>
    <t>11 1 30 4Д081</t>
  </si>
  <si>
    <t>Осуществление авторского надзора и строительного контроля по объекту "Капитальный ремонт моста в п. Майкор"</t>
  </si>
  <si>
    <t>10 3 30 4М082</t>
  </si>
  <si>
    <t>Проектирование блочно-модульных газовых котельных</t>
  </si>
  <si>
    <t>Субсидии бюджетам муниципальных образований на реализацию программы "Комфортный край"</t>
  </si>
  <si>
    <t>Мероприятие "Проектно-изыскательские работы по капитальному ремонту моста через р. Иньва на автомобильной дороге «Юсьва-Архангельское» км 004+462"</t>
  </si>
  <si>
    <t>Мероприятие "Осуществление авторского надзора и строительного контроля по объекту "Капитальный ремонт моста в п. Майкор""</t>
  </si>
  <si>
    <t>1.1.5.</t>
  </si>
  <si>
    <t>1.1.6.</t>
  </si>
  <si>
    <t>Остаток средств дорожного фонда по состоянию на 01.01.2024 г. - 4 843,35506 тыс. рублей</t>
  </si>
  <si>
    <t>Основное мероприятие "Оптимизация состава, содержание и ремонт муниципального имущества Юсьвинского муниципального округа Пермского края"</t>
  </si>
  <si>
    <t>11 1 20 4Д022</t>
  </si>
  <si>
    <t>Проведение государственной экспертизы проектной документации в части проверки достоверности определения сметной стоимости по объекту "Капитальный ремонт моста через р. Иньва на автомобильной дороге «Юсьва-Архангельское»</t>
  </si>
  <si>
    <t>Укрепление покрытия проезжей части участка автомобильной дороги по ул.Мира п.Майкор</t>
  </si>
  <si>
    <t>Выполнение работ по технологическому присоединению к электрическим сетям объекта жилищно-коммунального хозяйства "Очистные сооружения в с.Юсьва Пермского края"</t>
  </si>
  <si>
    <t>92 0 00 00430</t>
  </si>
  <si>
    <t>Обеспечение проведения выборов и референдумов</t>
  </si>
  <si>
    <t>0107</t>
  </si>
  <si>
    <t>Благоустройство территорий кладбищ</t>
  </si>
  <si>
    <t>10 2 20 4М096</t>
  </si>
  <si>
    <t>Восстановление профиля проезжей части участка  ул.Береговая (от ул.Центральная до дома № 3) с.Они</t>
  </si>
  <si>
    <t>с учетом остатка на 01.01.2024</t>
  </si>
  <si>
    <t>Актуализация схем теплоснабжения, водоснабжения и водоотведения Юсьвинского муниципального округа Пермского края</t>
  </si>
  <si>
    <t>Благоустройство общественных пространств (парков)</t>
  </si>
  <si>
    <t>02 5 30 SС240</t>
  </si>
  <si>
    <t>Обеспечение работников муниципальных учреждений путевками на санаторно-курортное лечение и оздоровление</t>
  </si>
  <si>
    <t>КЦСР</t>
  </si>
  <si>
    <t>Направление расходования</t>
  </si>
  <si>
    <t>Ремонт моста в л.Урманово</t>
  </si>
  <si>
    <t>10 2 20 SК320</t>
  </si>
  <si>
    <t>06 1 70 SP420</t>
  </si>
  <si>
    <t>Ремонт сценической площадки МБУК "Юсьвинский КДЦ" по приоритетному проекту «Культурная реновация» программы «Комфортный край»</t>
  </si>
  <si>
    <t>06 1 70 SК310</t>
  </si>
  <si>
    <t>10 2 20 4М097</t>
  </si>
  <si>
    <t>Разработка проектно-сметной документации по благоустройству общественных пространств (парков)</t>
  </si>
  <si>
    <t>Обеспечение соответствующего качества воды водного объекта и санитарного состояния территории</t>
  </si>
  <si>
    <t>10 2 30 4М033</t>
  </si>
  <si>
    <t xml:space="preserve">06 1 60 4К091 </t>
  </si>
  <si>
    <t>Проведение изыскательских работ (инженерно-геодезические, инженерно-геологические и инженерно-гидрологические изыскания), инженерно-технологическое обследование и историко-архитектурные натурные исследованияобъекта культурного наследия</t>
  </si>
  <si>
    <t>Приобретение и приведение в нормативное состояние автотранспорта для обеспечения бесплатного проезда обучающихся до места обучения и обратно</t>
  </si>
  <si>
    <t>02 6 10 4Н100</t>
  </si>
  <si>
    <t>доходы</t>
  </si>
  <si>
    <t>Проведение изыскательских работ (инженерно-геодезические, инженерно-геологические и инженерно-гидрологические изыскания), инженерно-технологическое обследование и историко-архитектурные натурные исследования объекта культурного наследия</t>
  </si>
  <si>
    <t>нераспределенный остаток</t>
  </si>
  <si>
    <t>Проектирование блочно-модульных газовых котельных (техусловия 4*84,80160)</t>
  </si>
  <si>
    <t>Содержание очистных сооружений</t>
  </si>
  <si>
    <t>дефицит утвержденный</t>
  </si>
  <si>
    <t>остатки на счетах на 01.01.2024 МБ</t>
  </si>
  <si>
    <t>возврат МБТ за счет остатка</t>
  </si>
  <si>
    <t>предельный объем дефицита</t>
  </si>
  <si>
    <t>предельный объем увеличения дефицита</t>
  </si>
  <si>
    <t>увеличение дефицита</t>
  </si>
  <si>
    <t>Обеспечение функционирования очистных сооружений в с. Юсьва</t>
  </si>
  <si>
    <t>92 0 00 00600</t>
  </si>
  <si>
    <t>10 3 10 SP410</t>
  </si>
  <si>
    <t>Мероприятия по проведению ремонтных работ в зданиях и помещениях учреждений, направленные на приведение их в соответствие нормативным требованиям, включая мероприятия, связанные с обеспечением доступной среды для маломобильных групп населения</t>
  </si>
  <si>
    <t xml:space="preserve"> Обеспечение деятельности  муниципального казенного учреждения «Единый сервисный центр», в том числе платные 103,1+67,2</t>
  </si>
  <si>
    <t>от 16.10.2024 № 21</t>
  </si>
  <si>
    <t xml:space="preserve">2024 год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</si>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</sst>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#,##0.0"/>
    <numFmt numFmtId="166" formatCode="_(* #,##0.00_);_(* \(#,##0.00\);_(* &quot;-&quot;??_);_(@_)"/>
    <numFmt numFmtId="167" formatCode="_-* #,##0.00\ _D_M_-;\-* #,##0.00\ _D_M_-;_-* &quot;-&quot;??\ _D_M_-;_-@_-"/>
    <numFmt numFmtId="168" formatCode="#,##0.00000"/>
    <numFmt numFmtId="169" formatCode="#,##0.000"/>
    <numFmt numFmtId="170" formatCode="0.00000"/>
  </numFmts>
  <fonts count="8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3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</fonts>
  <fills count="7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58"/>
        <bgColor indexed="58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64">
    <xf numFmtId="0" fontId="0" fillId="0" borderId="0"/>
    <xf numFmtId="0" fontId="2" fillId="0" borderId="0"/>
    <xf numFmtId="0" fontId="1" fillId="0" borderId="0"/>
    <xf numFmtId="0" fontId="4" fillId="0" borderId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9" borderId="0" applyNumberFormat="0" applyBorder="0" applyAlignment="0" applyProtection="0"/>
    <xf numFmtId="0" fontId="7" fillId="18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9" fillId="19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12" fillId="45" borderId="0" applyNumberFormat="0" applyBorder="0" applyAlignment="0" applyProtection="0"/>
    <xf numFmtId="0" fontId="12" fillId="34" borderId="0" applyNumberFormat="0" applyBorder="0" applyAlignment="0" applyProtection="0"/>
    <xf numFmtId="0" fontId="11" fillId="46" borderId="0" applyNumberFormat="0" applyBorder="0" applyAlignment="0" applyProtection="0"/>
    <xf numFmtId="0" fontId="11" fillId="47" borderId="0" applyNumberFormat="0" applyBorder="0" applyAlignment="0" applyProtection="0"/>
    <xf numFmtId="0" fontId="13" fillId="34" borderId="0" applyNumberFormat="0" applyBorder="0" applyAlignment="0" applyProtection="0"/>
    <xf numFmtId="0" fontId="14" fillId="48" borderId="4" applyNumberFormat="0" applyAlignment="0" applyProtection="0"/>
    <xf numFmtId="0" fontId="15" fillId="35" borderId="5" applyNumberFormat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52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46" borderId="4" applyNumberFormat="0" applyAlignment="0" applyProtection="0"/>
    <xf numFmtId="0" fontId="23" fillId="0" borderId="9" applyNumberFormat="0" applyFill="0" applyAlignment="0" applyProtection="0"/>
    <xf numFmtId="0" fontId="24" fillId="46" borderId="0" applyNumberFormat="0" applyBorder="0" applyAlignment="0" applyProtection="0"/>
    <xf numFmtId="0" fontId="25" fillId="0" borderId="0"/>
    <xf numFmtId="0" fontId="4" fillId="45" borderId="10" applyNumberFormat="0" applyFont="0" applyAlignment="0" applyProtection="0"/>
    <xf numFmtId="0" fontId="26" fillId="48" borderId="11" applyNumberFormat="0" applyAlignment="0" applyProtection="0"/>
    <xf numFmtId="0" fontId="4" fillId="0" borderId="0"/>
    <xf numFmtId="4" fontId="27" fillId="53" borderId="12" applyNumberFormat="0" applyProtection="0">
      <alignment vertical="center"/>
    </xf>
    <xf numFmtId="0" fontId="4" fillId="0" borderId="0"/>
    <xf numFmtId="0" fontId="4" fillId="0" borderId="0"/>
    <xf numFmtId="0" fontId="4" fillId="0" borderId="0"/>
    <xf numFmtId="4" fontId="28" fillId="53" borderId="12" applyNumberFormat="0" applyProtection="0">
      <alignment vertical="center"/>
    </xf>
    <xf numFmtId="0" fontId="4" fillId="0" borderId="0"/>
    <xf numFmtId="0" fontId="4" fillId="0" borderId="0"/>
    <xf numFmtId="4" fontId="27" fillId="53" borderId="12" applyNumberFormat="0" applyProtection="0">
      <alignment horizontal="left" vertical="center" indent="1"/>
    </xf>
    <xf numFmtId="0" fontId="4" fillId="0" borderId="0"/>
    <xf numFmtId="4" fontId="29" fillId="54" borderId="13" applyNumberFormat="0" applyProtection="0">
      <alignment horizontal="left" vertical="center" indent="1"/>
    </xf>
    <xf numFmtId="0" fontId="4" fillId="0" borderId="0"/>
    <xf numFmtId="0" fontId="27" fillId="53" borderId="12" applyNumberFormat="0" applyProtection="0">
      <alignment horizontal="left" vertical="top" indent="1"/>
    </xf>
    <xf numFmtId="0" fontId="4" fillId="0" borderId="0"/>
    <xf numFmtId="0" fontId="4" fillId="0" borderId="0"/>
    <xf numFmtId="4" fontId="27" fillId="8" borderId="0" applyNumberFormat="0" applyProtection="0">
      <alignment horizontal="left" vertical="center" indent="1"/>
    </xf>
    <xf numFmtId="0" fontId="4" fillId="0" borderId="0"/>
    <xf numFmtId="0" fontId="4" fillId="0" borderId="0"/>
    <xf numFmtId="4" fontId="7" fillId="13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9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55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23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27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56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20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57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22" borderId="12" applyNumberFormat="0" applyProtection="0">
      <alignment horizontal="right" vertical="center"/>
    </xf>
    <xf numFmtId="0" fontId="4" fillId="0" borderId="0"/>
    <xf numFmtId="0" fontId="4" fillId="0" borderId="0"/>
    <xf numFmtId="4" fontId="27" fillId="58" borderId="14" applyNumberFormat="0" applyProtection="0">
      <alignment horizontal="left" vertical="center" indent="1"/>
    </xf>
    <xf numFmtId="0" fontId="4" fillId="0" borderId="0"/>
    <xf numFmtId="0" fontId="4" fillId="0" borderId="0"/>
    <xf numFmtId="4" fontId="7" fillId="59" borderId="0" applyNumberFormat="0" applyProtection="0">
      <alignment horizontal="left" vertical="center" indent="1"/>
    </xf>
    <xf numFmtId="0" fontId="4" fillId="0" borderId="0"/>
    <xf numFmtId="0" fontId="4" fillId="0" borderId="0"/>
    <xf numFmtId="4" fontId="30" fillId="19" borderId="0" applyNumberFormat="0" applyProtection="0">
      <alignment horizontal="left" vertical="center" indent="1"/>
    </xf>
    <xf numFmtId="0" fontId="4" fillId="0" borderId="0"/>
    <xf numFmtId="0" fontId="4" fillId="0" borderId="0"/>
    <xf numFmtId="4" fontId="7" fillId="8" borderId="12" applyNumberFormat="0" applyProtection="0">
      <alignment horizontal="right" vertical="center"/>
    </xf>
    <xf numFmtId="0" fontId="4" fillId="0" borderId="0"/>
    <xf numFmtId="0" fontId="4" fillId="0" borderId="0"/>
    <xf numFmtId="4" fontId="31" fillId="59" borderId="0" applyNumberFormat="0" applyProtection="0">
      <alignment horizontal="left" vertical="center" indent="1"/>
    </xf>
    <xf numFmtId="0" fontId="4" fillId="0" borderId="0"/>
    <xf numFmtId="0" fontId="4" fillId="0" borderId="0"/>
    <xf numFmtId="4" fontId="31" fillId="8" borderId="0" applyNumberFormat="0" applyProtection="0">
      <alignment horizontal="left" vertical="center" indent="1"/>
    </xf>
    <xf numFmtId="0" fontId="4" fillId="0" borderId="0"/>
    <xf numFmtId="0" fontId="29" fillId="21" borderId="13" applyNumberFormat="0" applyProtection="0">
      <alignment horizontal="left" vertical="center" indent="1"/>
    </xf>
    <xf numFmtId="0" fontId="4" fillId="19" borderId="12" applyNumberFormat="0" applyProtection="0">
      <alignment horizontal="left" vertical="center" indent="1"/>
    </xf>
    <xf numFmtId="0" fontId="4" fillId="19" borderId="12" applyNumberFormat="0" applyProtection="0">
      <alignment horizontal="left" vertical="center" indent="1"/>
    </xf>
    <xf numFmtId="0" fontId="4" fillId="0" borderId="0"/>
    <xf numFmtId="0" fontId="4" fillId="19" borderId="12" applyNumberFormat="0" applyProtection="0">
      <alignment horizontal="left" vertical="top" indent="1"/>
    </xf>
    <xf numFmtId="0" fontId="4" fillId="0" borderId="0"/>
    <xf numFmtId="0" fontId="29" fillId="60" borderId="13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4" fillId="0" borderId="0"/>
    <xf numFmtId="0" fontId="4" fillId="8" borderId="12" applyNumberFormat="0" applyProtection="0">
      <alignment horizontal="left" vertical="top" indent="1"/>
    </xf>
    <xf numFmtId="0" fontId="4" fillId="0" borderId="0"/>
    <xf numFmtId="0" fontId="29" fillId="12" borderId="13" applyNumberFormat="0" applyProtection="0">
      <alignment horizontal="left" vertical="center" indent="1"/>
    </xf>
    <xf numFmtId="0" fontId="29" fillId="12" borderId="13" applyNumberFormat="0" applyProtection="0">
      <alignment horizontal="left" vertical="center" indent="1"/>
    </xf>
    <xf numFmtId="0" fontId="4" fillId="0" borderId="0"/>
    <xf numFmtId="0" fontId="4" fillId="12" borderId="12" applyNumberFormat="0" applyProtection="0">
      <alignment horizontal="left" vertical="top" indent="1"/>
    </xf>
    <xf numFmtId="0" fontId="4" fillId="0" borderId="0"/>
    <xf numFmtId="0" fontId="4" fillId="0" borderId="0"/>
    <xf numFmtId="0" fontId="4" fillId="59" borderId="12" applyNumberFormat="0" applyProtection="0">
      <alignment horizontal="left" vertical="center" indent="1"/>
    </xf>
    <xf numFmtId="0" fontId="4" fillId="0" borderId="0"/>
    <xf numFmtId="0" fontId="4" fillId="0" borderId="0"/>
    <xf numFmtId="0" fontId="4" fillId="59" borderId="12" applyNumberFormat="0" applyProtection="0">
      <alignment horizontal="left" vertical="top" indent="1"/>
    </xf>
    <xf numFmtId="0" fontId="4" fillId="0" borderId="0"/>
    <xf numFmtId="0" fontId="4" fillId="0" borderId="0"/>
    <xf numFmtId="0" fontId="4" fillId="11" borderId="2" applyNumberFormat="0">
      <protection locked="0"/>
    </xf>
    <xf numFmtId="0" fontId="4" fillId="0" borderId="0"/>
    <xf numFmtId="0" fontId="32" fillId="19" borderId="15" applyBorder="0"/>
    <xf numFmtId="0" fontId="4" fillId="0" borderId="0"/>
    <xf numFmtId="4" fontId="7" fillId="10" borderId="12" applyNumberFormat="0" applyProtection="0">
      <alignment vertical="center"/>
    </xf>
    <xf numFmtId="0" fontId="4" fillId="0" borderId="0"/>
    <xf numFmtId="0" fontId="4" fillId="0" borderId="0"/>
    <xf numFmtId="4" fontId="33" fillId="10" borderId="12" applyNumberFormat="0" applyProtection="0">
      <alignment vertical="center"/>
    </xf>
    <xf numFmtId="0" fontId="4" fillId="0" borderId="0"/>
    <xf numFmtId="0" fontId="4" fillId="0" borderId="0"/>
    <xf numFmtId="4" fontId="7" fillId="10" borderId="12" applyNumberFormat="0" applyProtection="0">
      <alignment horizontal="left" vertical="center" indent="1"/>
    </xf>
    <xf numFmtId="0" fontId="4" fillId="0" borderId="0"/>
    <xf numFmtId="0" fontId="4" fillId="0" borderId="0"/>
    <xf numFmtId="0" fontId="7" fillId="10" borderId="12" applyNumberFormat="0" applyProtection="0">
      <alignment horizontal="left" vertical="top" indent="1"/>
    </xf>
    <xf numFmtId="0" fontId="4" fillId="0" borderId="0"/>
    <xf numFmtId="4" fontId="29" fillId="0" borderId="13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0" fontId="4" fillId="0" borderId="0"/>
    <xf numFmtId="4" fontId="33" fillId="59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8" borderId="12" applyNumberFormat="0" applyProtection="0">
      <alignment horizontal="left" vertical="center" indent="1"/>
    </xf>
    <xf numFmtId="0" fontId="4" fillId="0" borderId="0"/>
    <xf numFmtId="0" fontId="4" fillId="0" borderId="0"/>
    <xf numFmtId="0" fontId="4" fillId="0" borderId="0"/>
    <xf numFmtId="0" fontId="7" fillId="8" borderId="12" applyNumberFormat="0" applyProtection="0">
      <alignment horizontal="left" vertical="top" indent="1"/>
    </xf>
    <xf numFmtId="0" fontId="4" fillId="0" borderId="0"/>
    <xf numFmtId="0" fontId="4" fillId="0" borderId="0"/>
    <xf numFmtId="4" fontId="34" fillId="61" borderId="0" applyNumberFormat="0" applyProtection="0">
      <alignment horizontal="left" vertical="center" indent="1"/>
    </xf>
    <xf numFmtId="0" fontId="4" fillId="0" borderId="0"/>
    <xf numFmtId="0" fontId="29" fillId="62" borderId="2"/>
    <xf numFmtId="0" fontId="4" fillId="0" borderId="0"/>
    <xf numFmtId="4" fontId="35" fillId="59" borderId="12" applyNumberFormat="0" applyProtection="0">
      <alignment horizontal="right" vertical="center"/>
    </xf>
    <xf numFmtId="0" fontId="4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6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10" fillId="63" borderId="0" applyNumberFormat="0" applyBorder="0" applyAlignment="0" applyProtection="0"/>
    <xf numFmtId="0" fontId="10" fillId="55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56" borderId="0" applyNumberFormat="0" applyBorder="0" applyAlignment="0" applyProtection="0"/>
    <xf numFmtId="0" fontId="38" fillId="18" borderId="4" applyNumberFormat="0" applyAlignment="0" applyProtection="0"/>
    <xf numFmtId="0" fontId="39" fillId="21" borderId="11" applyNumberFormat="0" applyAlignment="0" applyProtection="0"/>
    <xf numFmtId="0" fontId="40" fillId="21" borderId="4" applyNumberFormat="0" applyAlignment="0" applyProtection="0"/>
    <xf numFmtId="0" fontId="41" fillId="0" borderId="17" applyNumberFormat="0" applyFill="0" applyAlignment="0" applyProtection="0"/>
    <xf numFmtId="0" fontId="42" fillId="0" borderId="7" applyNumberFormat="0" applyFill="0" applyAlignment="0" applyProtection="0"/>
    <xf numFmtId="0" fontId="43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45" fillId="64" borderId="5" applyNumberFormat="0" applyAlignment="0" applyProtection="0"/>
    <xf numFmtId="0" fontId="46" fillId="0" borderId="0" applyNumberFormat="0" applyFill="0" applyBorder="0" applyAlignment="0" applyProtection="0"/>
    <xf numFmtId="0" fontId="47" fillId="5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0" fillId="65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4" fillId="0" borderId="0"/>
    <xf numFmtId="0" fontId="3" fillId="0" borderId="0"/>
    <xf numFmtId="0" fontId="50" fillId="65" borderId="0"/>
    <xf numFmtId="0" fontId="48" fillId="0" borderId="0"/>
    <xf numFmtId="0" fontId="51" fillId="13" borderId="0" applyNumberFormat="0" applyBorder="0" applyAlignment="0" applyProtection="0"/>
    <xf numFmtId="0" fontId="52" fillId="0" borderId="0" applyNumberFormat="0" applyFill="0" applyBorder="0" applyAlignment="0" applyProtection="0"/>
    <xf numFmtId="0" fontId="4" fillId="10" borderId="1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3" fillId="0" borderId="20" applyNumberFormat="0" applyFill="0" applyAlignment="0" applyProtection="0"/>
    <xf numFmtId="0" fontId="54" fillId="0" borderId="0"/>
    <xf numFmtId="0" fontId="55" fillId="0" borderId="0" applyNumberForma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6" fillId="15" borderId="0" applyNumberFormat="0" applyBorder="0" applyAlignment="0" applyProtection="0"/>
    <xf numFmtId="0" fontId="81" fillId="0" borderId="0"/>
  </cellStyleXfs>
  <cellXfs count="330">
    <xf numFmtId="0" fontId="0" fillId="0" borderId="0" xfId="0"/>
    <xf numFmtId="0" fontId="3" fillId="2" borderId="2" xfId="1" applyFont="1" applyFill="1" applyBorder="1" applyAlignment="1">
      <alignment vertical="top" wrapText="1"/>
    </xf>
    <xf numFmtId="0" fontId="3" fillId="0" borderId="2" xfId="2" applyNumberFormat="1" applyFont="1" applyFill="1" applyBorder="1" applyAlignment="1">
      <alignment horizontal="left" vertical="top" wrapText="1"/>
    </xf>
    <xf numFmtId="0" fontId="3" fillId="2" borderId="2" xfId="1" applyFont="1" applyFill="1" applyBorder="1" applyAlignment="1">
      <alignment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vertical="center" wrapText="1"/>
    </xf>
    <xf numFmtId="49" fontId="3" fillId="2" borderId="2" xfId="1" applyNumberFormat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left" vertical="top" wrapText="1"/>
    </xf>
    <xf numFmtId="0" fontId="3" fillId="0" borderId="2" xfId="1" applyFont="1" applyBorder="1" applyAlignment="1">
      <alignment wrapText="1"/>
    </xf>
    <xf numFmtId="0" fontId="3" fillId="0" borderId="2" xfId="1" applyFont="1" applyFill="1" applyBorder="1" applyAlignment="1">
      <alignment horizontal="left" wrapText="1"/>
    </xf>
    <xf numFmtId="49" fontId="5" fillId="2" borderId="2" xfId="1" applyNumberFormat="1" applyFont="1" applyFill="1" applyBorder="1" applyAlignment="1">
      <alignment horizontal="center" wrapText="1"/>
    </xf>
    <xf numFmtId="0" fontId="5" fillId="2" borderId="2" xfId="1" applyFont="1" applyFill="1" applyBorder="1" applyAlignment="1">
      <alignment wrapText="1"/>
    </xf>
    <xf numFmtId="49" fontId="6" fillId="2" borderId="2" xfId="1" applyNumberFormat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justify"/>
    </xf>
    <xf numFmtId="49" fontId="6" fillId="5" borderId="2" xfId="1" applyNumberFormat="1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vertical="top" wrapText="1"/>
    </xf>
    <xf numFmtId="49" fontId="3" fillId="2" borderId="2" xfId="1" applyNumberFormat="1" applyFont="1" applyFill="1" applyBorder="1" applyAlignment="1">
      <alignment horizontal="center" vertical="top" wrapText="1"/>
    </xf>
    <xf numFmtId="49" fontId="6" fillId="2" borderId="2" xfId="1" applyNumberFormat="1" applyFont="1" applyFill="1" applyBorder="1" applyAlignment="1">
      <alignment horizontal="center" vertical="top" wrapText="1"/>
    </xf>
    <xf numFmtId="49" fontId="3" fillId="0" borderId="2" xfId="1" applyNumberFormat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left" wrapText="1"/>
    </xf>
    <xf numFmtId="0" fontId="6" fillId="5" borderId="2" xfId="1" applyFont="1" applyFill="1" applyBorder="1" applyAlignment="1">
      <alignment horizontal="left" wrapText="1"/>
    </xf>
    <xf numFmtId="0" fontId="3" fillId="2" borderId="2" xfId="1" applyFont="1" applyFill="1" applyBorder="1" applyAlignment="1">
      <alignment horizontal="justify" vertical="top" wrapText="1"/>
    </xf>
    <xf numFmtId="49" fontId="3" fillId="0" borderId="2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0" fontId="58" fillId="0" borderId="0" xfId="0" applyFont="1"/>
    <xf numFmtId="0" fontId="3" fillId="0" borderId="0" xfId="1" applyFont="1" applyFill="1" applyBorder="1" applyAlignment="1">
      <alignment horizontal="right" vertical="center" wrapText="1"/>
    </xf>
    <xf numFmtId="0" fontId="59" fillId="2" borderId="2" xfId="1" applyFont="1" applyFill="1" applyBorder="1" applyAlignment="1">
      <alignment horizontal="center" wrapText="1"/>
    </xf>
    <xf numFmtId="0" fontId="59" fillId="2" borderId="2" xfId="1" applyFont="1" applyFill="1" applyBorder="1" applyAlignment="1">
      <alignment wrapText="1"/>
    </xf>
    <xf numFmtId="49" fontId="6" fillId="3" borderId="2" xfId="1" applyNumberFormat="1" applyFont="1" applyFill="1" applyBorder="1" applyAlignment="1">
      <alignment horizontal="center" wrapText="1"/>
    </xf>
    <xf numFmtId="49" fontId="6" fillId="3" borderId="2" xfId="1" applyNumberFormat="1" applyFont="1" applyFill="1" applyBorder="1" applyAlignment="1">
      <alignment wrapText="1"/>
    </xf>
    <xf numFmtId="49" fontId="6" fillId="4" borderId="2" xfId="1" applyNumberFormat="1" applyFont="1" applyFill="1" applyBorder="1" applyAlignment="1">
      <alignment horizontal="center" wrapText="1"/>
    </xf>
    <xf numFmtId="0" fontId="6" fillId="4" borderId="2" xfId="1" applyFont="1" applyFill="1" applyBorder="1" applyAlignment="1">
      <alignment wrapText="1"/>
    </xf>
    <xf numFmtId="49" fontId="6" fillId="5" borderId="2" xfId="1" applyNumberFormat="1" applyFont="1" applyFill="1" applyBorder="1" applyAlignment="1">
      <alignment horizontal="center" wrapText="1"/>
    </xf>
    <xf numFmtId="0" fontId="6" fillId="5" borderId="2" xfId="1" applyFont="1" applyFill="1" applyBorder="1" applyAlignment="1">
      <alignment wrapText="1"/>
    </xf>
    <xf numFmtId="0" fontId="6" fillId="4" borderId="2" xfId="0" applyFont="1" applyFill="1" applyBorder="1" applyAlignment="1">
      <alignment wrapText="1"/>
    </xf>
    <xf numFmtId="49" fontId="3" fillId="5" borderId="2" xfId="1" applyNumberFormat="1" applyFont="1" applyFill="1" applyBorder="1" applyAlignment="1">
      <alignment horizontal="center" wrapText="1"/>
    </xf>
    <xf numFmtId="0" fontId="6" fillId="3" borderId="2" xfId="1" applyFont="1" applyFill="1" applyBorder="1" applyAlignment="1">
      <alignment wrapText="1"/>
    </xf>
    <xf numFmtId="0" fontId="3" fillId="2" borderId="2" xfId="1" applyFont="1" applyFill="1" applyBorder="1" applyAlignment="1">
      <alignment horizontal="center"/>
    </xf>
    <xf numFmtId="0" fontId="58" fillId="2" borderId="0" xfId="0" applyFont="1" applyFill="1"/>
    <xf numFmtId="49" fontId="3" fillId="2" borderId="3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wrapText="1"/>
    </xf>
    <xf numFmtId="0" fontId="60" fillId="0" borderId="0" xfId="0" applyFont="1"/>
    <xf numFmtId="49" fontId="3" fillId="4" borderId="2" xfId="1" applyNumberFormat="1" applyFont="1" applyFill="1" applyBorder="1" applyAlignment="1">
      <alignment horizontal="center" wrapText="1"/>
    </xf>
    <xf numFmtId="0" fontId="6" fillId="4" borderId="2" xfId="1" applyFont="1" applyFill="1" applyBorder="1" applyAlignment="1">
      <alignment horizontal="justify"/>
    </xf>
    <xf numFmtId="0" fontId="3" fillId="0" borderId="2" xfId="1" applyFont="1" applyBorder="1" applyAlignment="1">
      <alignment horizontal="justify"/>
    </xf>
    <xf numFmtId="0" fontId="3" fillId="2" borderId="2" xfId="3" applyFont="1" applyFill="1" applyBorder="1" applyAlignment="1">
      <alignment wrapText="1"/>
    </xf>
    <xf numFmtId="0" fontId="58" fillId="3" borderId="0" xfId="0" applyFont="1" applyFill="1"/>
    <xf numFmtId="0" fontId="6" fillId="5" borderId="2" xfId="0" applyFont="1" applyFill="1" applyBorder="1" applyAlignment="1">
      <alignment wrapText="1"/>
    </xf>
    <xf numFmtId="49" fontId="6" fillId="0" borderId="2" xfId="1" applyNumberFormat="1" applyFont="1" applyFill="1" applyBorder="1" applyAlignment="1">
      <alignment horizontal="center" vertical="top" wrapText="1"/>
    </xf>
    <xf numFmtId="0" fontId="61" fillId="0" borderId="0" xfId="0" applyFont="1"/>
    <xf numFmtId="0" fontId="60" fillId="5" borderId="0" xfId="0" applyFont="1" applyFill="1"/>
    <xf numFmtId="0" fontId="6" fillId="4" borderId="2" xfId="1" applyFont="1" applyFill="1" applyBorder="1" applyAlignment="1">
      <alignment horizontal="left" wrapText="1"/>
    </xf>
    <xf numFmtId="0" fontId="3" fillId="0" borderId="2" xfId="1" applyFont="1" applyBorder="1" applyAlignment="1">
      <alignment horizontal="left" wrapText="1"/>
    </xf>
    <xf numFmtId="0" fontId="3" fillId="0" borderId="2" xfId="1" applyFont="1" applyFill="1" applyBorder="1" applyAlignment="1">
      <alignment wrapText="1"/>
    </xf>
    <xf numFmtId="49" fontId="6" fillId="0" borderId="2" xfId="1" applyNumberFormat="1" applyFont="1" applyFill="1" applyBorder="1" applyAlignment="1">
      <alignment horizontal="center" wrapText="1"/>
    </xf>
    <xf numFmtId="0" fontId="6" fillId="5" borderId="2" xfId="1" applyFont="1" applyFill="1" applyBorder="1" applyAlignment="1">
      <alignment horizontal="justify" wrapText="1"/>
    </xf>
    <xf numFmtId="0" fontId="3" fillId="0" borderId="2" xfId="1" applyFont="1" applyBorder="1" applyAlignment="1">
      <alignment horizontal="justify" wrapText="1"/>
    </xf>
    <xf numFmtId="49" fontId="3" fillId="3" borderId="2" xfId="1" applyNumberFormat="1" applyFont="1" applyFill="1" applyBorder="1" applyAlignment="1">
      <alignment horizontal="center" wrapText="1"/>
    </xf>
    <xf numFmtId="49" fontId="6" fillId="6" borderId="2" xfId="1" applyNumberFormat="1" applyFont="1" applyFill="1" applyBorder="1" applyAlignment="1">
      <alignment horizontal="center" wrapText="1"/>
    </xf>
    <xf numFmtId="0" fontId="6" fillId="6" borderId="2" xfId="1" applyFont="1" applyFill="1" applyBorder="1" applyAlignment="1">
      <alignment wrapText="1"/>
    </xf>
    <xf numFmtId="49" fontId="6" fillId="7" borderId="2" xfId="1" applyNumberFormat="1" applyFont="1" applyFill="1" applyBorder="1" applyAlignment="1">
      <alignment horizontal="center" wrapText="1"/>
    </xf>
    <xf numFmtId="49" fontId="3" fillId="7" borderId="2" xfId="1" applyNumberFormat="1" applyFont="1" applyFill="1" applyBorder="1" applyAlignment="1">
      <alignment horizontal="center" wrapText="1"/>
    </xf>
    <xf numFmtId="0" fontId="6" fillId="7" borderId="2" xfId="1" applyFont="1" applyFill="1" applyBorder="1" applyAlignment="1">
      <alignment wrapText="1"/>
    </xf>
    <xf numFmtId="0" fontId="3" fillId="6" borderId="2" xfId="1" applyFont="1" applyFill="1" applyBorder="1" applyAlignment="1">
      <alignment horizontal="center" wrapText="1"/>
    </xf>
    <xf numFmtId="0" fontId="3" fillId="2" borderId="2" xfId="2" applyNumberFormat="1" applyFont="1" applyFill="1" applyBorder="1" applyAlignment="1">
      <alignment horizontal="left" vertical="top" wrapText="1"/>
    </xf>
    <xf numFmtId="49" fontId="6" fillId="5" borderId="2" xfId="1" applyNumberFormat="1" applyFont="1" applyFill="1" applyBorder="1" applyAlignment="1">
      <alignment horizontal="left" wrapText="1"/>
    </xf>
    <xf numFmtId="0" fontId="3" fillId="2" borderId="2" xfId="1" applyFont="1" applyFill="1" applyBorder="1" applyAlignment="1">
      <alignment horizontal="justify" wrapText="1"/>
    </xf>
    <xf numFmtId="0" fontId="3" fillId="2" borderId="2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right" vertical="center" wrapText="1"/>
    </xf>
    <xf numFmtId="168" fontId="3" fillId="2" borderId="2" xfId="1" applyNumberFormat="1" applyFont="1" applyFill="1" applyBorder="1" applyAlignment="1">
      <alignment horizontal="center" wrapText="1"/>
    </xf>
    <xf numFmtId="168" fontId="6" fillId="5" borderId="2" xfId="1" applyNumberFormat="1" applyFont="1" applyFill="1" applyBorder="1" applyAlignment="1">
      <alignment horizontal="center" wrapText="1"/>
    </xf>
    <xf numFmtId="168" fontId="6" fillId="3" borderId="2" xfId="1" applyNumberFormat="1" applyFont="1" applyFill="1" applyBorder="1" applyAlignment="1">
      <alignment horizontal="center" wrapText="1"/>
    </xf>
    <xf numFmtId="168" fontId="3" fillId="0" borderId="2" xfId="1" applyNumberFormat="1" applyFont="1" applyFill="1" applyBorder="1" applyAlignment="1">
      <alignment horizontal="center" vertical="top" wrapText="1"/>
    </xf>
    <xf numFmtId="168" fontId="6" fillId="2" borderId="2" xfId="1" applyNumberFormat="1" applyFont="1" applyFill="1" applyBorder="1" applyAlignment="1">
      <alignment horizontal="center" wrapText="1"/>
    </xf>
    <xf numFmtId="168" fontId="6" fillId="4" borderId="2" xfId="1" applyNumberFormat="1" applyFont="1" applyFill="1" applyBorder="1" applyAlignment="1">
      <alignment horizontal="center" wrapText="1"/>
    </xf>
    <xf numFmtId="168" fontId="6" fillId="5" borderId="2" xfId="1" applyNumberFormat="1" applyFont="1" applyFill="1" applyBorder="1" applyAlignment="1">
      <alignment horizontal="center" vertical="top" wrapText="1"/>
    </xf>
    <xf numFmtId="168" fontId="5" fillId="2" borderId="2" xfId="1" applyNumberFormat="1" applyFont="1" applyFill="1" applyBorder="1" applyAlignment="1">
      <alignment horizontal="center" wrapText="1"/>
    </xf>
    <xf numFmtId="168" fontId="6" fillId="5" borderId="2" xfId="1" applyNumberFormat="1" applyFont="1" applyFill="1" applyBorder="1" applyAlignment="1">
      <alignment horizontal="center"/>
    </xf>
    <xf numFmtId="168" fontId="3" fillId="2" borderId="2" xfId="1" applyNumberFormat="1" applyFont="1" applyFill="1" applyBorder="1" applyAlignment="1">
      <alignment horizontal="center"/>
    </xf>
    <xf numFmtId="168" fontId="3" fillId="0" borderId="2" xfId="1" applyNumberFormat="1" applyFont="1" applyFill="1" applyBorder="1" applyAlignment="1">
      <alignment horizontal="center" wrapText="1"/>
    </xf>
    <xf numFmtId="168" fontId="5" fillId="2" borderId="2" xfId="1" applyNumberFormat="1" applyFont="1" applyFill="1" applyBorder="1" applyAlignment="1">
      <alignment horizontal="center" vertical="top" wrapText="1"/>
    </xf>
    <xf numFmtId="168" fontId="6" fillId="5" borderId="2" xfId="0" applyNumberFormat="1" applyFont="1" applyFill="1" applyBorder="1" applyAlignment="1">
      <alignment horizontal="center"/>
    </xf>
    <xf numFmtId="168" fontId="6" fillId="6" borderId="2" xfId="1" applyNumberFormat="1" applyFont="1" applyFill="1" applyBorder="1" applyAlignment="1">
      <alignment horizontal="center" wrapText="1"/>
    </xf>
    <xf numFmtId="168" fontId="6" fillId="7" borderId="2" xfId="1" applyNumberFormat="1" applyFont="1" applyFill="1" applyBorder="1" applyAlignment="1">
      <alignment horizontal="center" wrapText="1"/>
    </xf>
    <xf numFmtId="168" fontId="3" fillId="2" borderId="2" xfId="1" applyNumberFormat="1" applyFont="1" applyFill="1" applyBorder="1" applyAlignment="1">
      <alignment horizontal="center" vertical="top" wrapText="1"/>
    </xf>
    <xf numFmtId="168" fontId="6" fillId="6" borderId="2" xfId="1" applyNumberFormat="1" applyFont="1" applyFill="1" applyBorder="1" applyAlignment="1">
      <alignment horizontal="center"/>
    </xf>
    <xf numFmtId="0" fontId="59" fillId="0" borderId="2" xfId="1" applyFont="1" applyFill="1" applyBorder="1" applyAlignment="1">
      <alignment horizontal="center" vertical="center" wrapText="1"/>
    </xf>
    <xf numFmtId="0" fontId="6" fillId="5" borderId="2" xfId="1" applyNumberFormat="1" applyFont="1" applyFill="1" applyBorder="1" applyAlignment="1">
      <alignment horizontal="center" vertical="top" wrapText="1"/>
    </xf>
    <xf numFmtId="0" fontId="6" fillId="5" borderId="2" xfId="1" applyFont="1" applyFill="1" applyBorder="1" applyAlignment="1">
      <alignment vertical="top" wrapText="1"/>
    </xf>
    <xf numFmtId="49" fontId="66" fillId="2" borderId="2" xfId="1" applyNumberFormat="1" applyFont="1" applyFill="1" applyBorder="1" applyAlignment="1">
      <alignment horizontal="center" wrapText="1"/>
    </xf>
    <xf numFmtId="0" fontId="65" fillId="0" borderId="0" xfId="0" applyFont="1"/>
    <xf numFmtId="0" fontId="58" fillId="0" borderId="2" xfId="0" applyFont="1" applyBorder="1"/>
    <xf numFmtId="0" fontId="58" fillId="2" borderId="2" xfId="0" applyFont="1" applyFill="1" applyBorder="1"/>
    <xf numFmtId="0" fontId="60" fillId="5" borderId="2" xfId="0" applyFont="1" applyFill="1" applyBorder="1"/>
    <xf numFmtId="0" fontId="6" fillId="0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vertical="top" wrapText="1"/>
    </xf>
    <xf numFmtId="0" fontId="6" fillId="2" borderId="2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6" borderId="2" xfId="1" applyFont="1" applyFill="1" applyBorder="1" applyAlignment="1">
      <alignment horizontal="center" vertical="top" wrapText="1"/>
    </xf>
    <xf numFmtId="0" fontId="6" fillId="6" borderId="2" xfId="1" applyFont="1" applyFill="1" applyBorder="1" applyAlignment="1">
      <alignment vertical="top" wrapText="1"/>
    </xf>
    <xf numFmtId="0" fontId="6" fillId="2" borderId="2" xfId="1" applyFont="1" applyFill="1" applyBorder="1" applyAlignment="1">
      <alignment horizontal="center" vertical="top" wrapText="1"/>
    </xf>
    <xf numFmtId="0" fontId="6" fillId="2" borderId="2" xfId="1" applyNumberFormat="1" applyFont="1" applyFill="1" applyBorder="1" applyAlignment="1">
      <alignment horizontal="center" vertical="top" wrapText="1"/>
    </xf>
    <xf numFmtId="168" fontId="6" fillId="0" borderId="2" xfId="1" applyNumberFormat="1" applyFont="1" applyFill="1" applyBorder="1" applyAlignment="1">
      <alignment horizontal="center" wrapText="1"/>
    </xf>
    <xf numFmtId="0" fontId="6" fillId="69" borderId="2" xfId="1" applyFont="1" applyFill="1" applyBorder="1" applyAlignment="1">
      <alignment horizontal="center" vertical="top" wrapText="1"/>
    </xf>
    <xf numFmtId="49" fontId="6" fillId="69" borderId="2" xfId="1" applyNumberFormat="1" applyFont="1" applyFill="1" applyBorder="1" applyAlignment="1">
      <alignment horizontal="center" vertical="top" wrapText="1"/>
    </xf>
    <xf numFmtId="0" fontId="6" fillId="69" borderId="2" xfId="1" applyNumberFormat="1" applyFont="1" applyFill="1" applyBorder="1" applyAlignment="1">
      <alignment horizontal="center" vertical="top" wrapText="1"/>
    </xf>
    <xf numFmtId="0" fontId="6" fillId="69" borderId="2" xfId="1" applyFont="1" applyFill="1" applyBorder="1" applyAlignment="1">
      <alignment vertical="top" wrapText="1"/>
    </xf>
    <xf numFmtId="168" fontId="6" fillId="69" borderId="2" xfId="1" applyNumberFormat="1" applyFont="1" applyFill="1" applyBorder="1" applyAlignment="1">
      <alignment horizontal="center" vertical="top" wrapText="1"/>
    </xf>
    <xf numFmtId="0" fontId="60" fillId="0" borderId="2" xfId="0" applyFont="1" applyBorder="1"/>
    <xf numFmtId="0" fontId="6" fillId="2" borderId="2" xfId="1" applyFont="1" applyFill="1" applyBorder="1" applyAlignment="1">
      <alignment wrapText="1"/>
    </xf>
    <xf numFmtId="0" fontId="60" fillId="66" borderId="2" xfId="0" applyFont="1" applyFill="1" applyBorder="1"/>
    <xf numFmtId="0" fontId="6" fillId="66" borderId="2" xfId="1" applyNumberFormat="1" applyFont="1" applyFill="1" applyBorder="1" applyAlignment="1">
      <alignment horizontal="center" vertical="top" wrapText="1"/>
    </xf>
    <xf numFmtId="49" fontId="6" fillId="66" borderId="2" xfId="1" applyNumberFormat="1" applyFont="1" applyFill="1" applyBorder="1" applyAlignment="1">
      <alignment horizontal="center" vertical="top" wrapText="1"/>
    </xf>
    <xf numFmtId="0" fontId="6" fillId="66" borderId="2" xfId="1" applyFont="1" applyFill="1" applyBorder="1" applyAlignment="1">
      <alignment horizontal="left" vertical="top" wrapText="1"/>
    </xf>
    <xf numFmtId="168" fontId="6" fillId="66" borderId="2" xfId="1" applyNumberFormat="1" applyFont="1" applyFill="1" applyBorder="1" applyAlignment="1">
      <alignment horizontal="center"/>
    </xf>
    <xf numFmtId="0" fontId="60" fillId="70" borderId="2" xfId="0" applyFont="1" applyFill="1" applyBorder="1"/>
    <xf numFmtId="0" fontId="6" fillId="70" borderId="2" xfId="1" applyNumberFormat="1" applyFont="1" applyFill="1" applyBorder="1" applyAlignment="1">
      <alignment horizontal="center" vertical="top" wrapText="1"/>
    </xf>
    <xf numFmtId="49" fontId="6" fillId="70" borderId="2" xfId="1" applyNumberFormat="1" applyFont="1" applyFill="1" applyBorder="1" applyAlignment="1">
      <alignment horizontal="center" vertical="top" wrapText="1"/>
    </xf>
    <xf numFmtId="0" fontId="6" fillId="70" borderId="2" xfId="1" applyFont="1" applyFill="1" applyBorder="1" applyAlignment="1">
      <alignment horizontal="left" vertical="top" wrapText="1"/>
    </xf>
    <xf numFmtId="168" fontId="6" fillId="70" borderId="2" xfId="1" applyNumberFormat="1" applyFont="1" applyFill="1" applyBorder="1" applyAlignment="1">
      <alignment horizontal="center"/>
    </xf>
    <xf numFmtId="0" fontId="3" fillId="2" borderId="2" xfId="1" applyNumberFormat="1" applyFont="1" applyFill="1" applyBorder="1" applyAlignment="1">
      <alignment horizontal="center" vertical="top" wrapText="1"/>
    </xf>
    <xf numFmtId="0" fontId="6" fillId="2" borderId="2" xfId="1" applyFont="1" applyFill="1" applyBorder="1" applyAlignment="1">
      <alignment horizontal="left" vertical="top" wrapText="1"/>
    </xf>
    <xf numFmtId="168" fontId="6" fillId="2" borderId="2" xfId="1" applyNumberFormat="1" applyFont="1" applyFill="1" applyBorder="1" applyAlignment="1">
      <alignment horizontal="center"/>
    </xf>
    <xf numFmtId="0" fontId="62" fillId="0" borderId="0" xfId="0" applyFont="1"/>
    <xf numFmtId="0" fontId="6" fillId="68" borderId="2" xfId="1" applyFont="1" applyFill="1" applyBorder="1" applyAlignment="1">
      <alignment horizontal="center" vertical="top" wrapText="1"/>
    </xf>
    <xf numFmtId="49" fontId="6" fillId="68" borderId="2" xfId="1" applyNumberFormat="1" applyFont="1" applyFill="1" applyBorder="1" applyAlignment="1">
      <alignment horizontal="center" vertical="top" wrapText="1"/>
    </xf>
    <xf numFmtId="0" fontId="6" fillId="68" borderId="2" xfId="1" applyNumberFormat="1" applyFont="1" applyFill="1" applyBorder="1" applyAlignment="1">
      <alignment horizontal="center" vertical="top" wrapText="1"/>
    </xf>
    <xf numFmtId="0" fontId="6" fillId="68" borderId="2" xfId="1" applyFont="1" applyFill="1" applyBorder="1" applyAlignment="1">
      <alignment vertical="top" wrapText="1"/>
    </xf>
    <xf numFmtId="168" fontId="6" fillId="68" borderId="2" xfId="1" applyNumberFormat="1" applyFont="1" applyFill="1" applyBorder="1" applyAlignment="1">
      <alignment horizontal="center" vertical="top" wrapText="1"/>
    </xf>
    <xf numFmtId="0" fontId="6" fillId="66" borderId="2" xfId="1" applyFont="1" applyFill="1" applyBorder="1" applyAlignment="1">
      <alignment horizontal="center" vertical="top" wrapText="1"/>
    </xf>
    <xf numFmtId="168" fontId="6" fillId="66" borderId="2" xfId="1" applyNumberFormat="1" applyFont="1" applyFill="1" applyBorder="1" applyAlignment="1">
      <alignment horizontal="center" vertical="top" wrapText="1"/>
    </xf>
    <xf numFmtId="49" fontId="6" fillId="66" borderId="2" xfId="1" applyNumberFormat="1" applyFont="1" applyFill="1" applyBorder="1" applyAlignment="1">
      <alignment horizontal="center" wrapText="1"/>
    </xf>
    <xf numFmtId="0" fontId="6" fillId="66" borderId="2" xfId="1" applyFont="1" applyFill="1" applyBorder="1" applyAlignment="1">
      <alignment wrapText="1"/>
    </xf>
    <xf numFmtId="168" fontId="6" fillId="66" borderId="2" xfId="1" applyNumberFormat="1" applyFont="1" applyFill="1" applyBorder="1" applyAlignment="1">
      <alignment horizontal="center" wrapText="1"/>
    </xf>
    <xf numFmtId="0" fontId="6" fillId="66" borderId="2" xfId="1" applyFont="1" applyFill="1" applyBorder="1" applyAlignment="1">
      <alignment vertical="top" wrapText="1"/>
    </xf>
    <xf numFmtId="0" fontId="60" fillId="7" borderId="2" xfId="0" applyFont="1" applyFill="1" applyBorder="1"/>
    <xf numFmtId="0" fontId="6" fillId="7" borderId="2" xfId="1" applyNumberFormat="1" applyFont="1" applyFill="1" applyBorder="1" applyAlignment="1">
      <alignment horizontal="center" vertical="top" wrapText="1"/>
    </xf>
    <xf numFmtId="49" fontId="6" fillId="7" borderId="2" xfId="1" applyNumberFormat="1" applyFont="1" applyFill="1" applyBorder="1" applyAlignment="1">
      <alignment horizontal="center" vertical="top" wrapText="1"/>
    </xf>
    <xf numFmtId="0" fontId="6" fillId="7" borderId="2" xfId="1" applyFont="1" applyFill="1" applyBorder="1" applyAlignment="1">
      <alignment vertical="top" wrapText="1"/>
    </xf>
    <xf numFmtId="168" fontId="6" fillId="7" borderId="2" xfId="1" applyNumberFormat="1" applyFont="1" applyFill="1" applyBorder="1" applyAlignment="1">
      <alignment horizontal="center"/>
    </xf>
    <xf numFmtId="0" fontId="58" fillId="66" borderId="2" xfId="0" applyFont="1" applyFill="1" applyBorder="1"/>
    <xf numFmtId="49" fontId="3" fillId="66" borderId="2" xfId="1" applyNumberFormat="1" applyFont="1" applyFill="1" applyBorder="1" applyAlignment="1">
      <alignment horizontal="center" wrapText="1"/>
    </xf>
    <xf numFmtId="0" fontId="58" fillId="7" borderId="2" xfId="0" applyFont="1" applyFill="1" applyBorder="1"/>
    <xf numFmtId="0" fontId="58" fillId="0" borderId="2" xfId="0" applyFont="1" applyFill="1" applyBorder="1"/>
    <xf numFmtId="0" fontId="6" fillId="0" borderId="2" xfId="1" applyFont="1" applyFill="1" applyBorder="1" applyAlignment="1">
      <alignment vertical="top" wrapText="1"/>
    </xf>
    <xf numFmtId="49" fontId="6" fillId="6" borderId="2" xfId="1" applyNumberFormat="1" applyFont="1" applyFill="1" applyBorder="1" applyAlignment="1">
      <alignment horizontal="center" vertical="top" wrapText="1"/>
    </xf>
    <xf numFmtId="0" fontId="6" fillId="6" borderId="2" xfId="1" applyNumberFormat="1" applyFont="1" applyFill="1" applyBorder="1" applyAlignment="1">
      <alignment horizontal="center" vertical="top" wrapText="1"/>
    </xf>
    <xf numFmtId="168" fontId="6" fillId="6" borderId="2" xfId="1" applyNumberFormat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center" vertical="top" wrapText="1"/>
    </xf>
    <xf numFmtId="0" fontId="58" fillId="5" borderId="2" xfId="0" applyFont="1" applyFill="1" applyBorder="1"/>
    <xf numFmtId="168" fontId="6" fillId="0" borderId="2" xfId="1" applyNumberFormat="1" applyFont="1" applyFill="1" applyBorder="1" applyAlignment="1">
      <alignment horizontal="center" vertical="top" wrapText="1"/>
    </xf>
    <xf numFmtId="0" fontId="3" fillId="69" borderId="2" xfId="1" applyFont="1" applyFill="1" applyBorder="1" applyAlignment="1">
      <alignment horizontal="center" vertical="top" wrapText="1"/>
    </xf>
    <xf numFmtId="0" fontId="3" fillId="66" borderId="2" xfId="1" applyFont="1" applyFill="1" applyBorder="1" applyAlignment="1">
      <alignment horizontal="center" vertical="top" wrapText="1"/>
    </xf>
    <xf numFmtId="49" fontId="3" fillId="66" borderId="2" xfId="1" applyNumberFormat="1" applyFont="1" applyFill="1" applyBorder="1" applyAlignment="1">
      <alignment horizontal="center" vertical="top" wrapText="1"/>
    </xf>
    <xf numFmtId="0" fontId="6" fillId="7" borderId="2" xfId="1" applyFont="1" applyFill="1" applyBorder="1" applyAlignment="1">
      <alignment horizontal="left" vertical="top" wrapText="1"/>
    </xf>
    <xf numFmtId="0" fontId="6" fillId="68" borderId="2" xfId="1" applyFont="1" applyFill="1" applyBorder="1" applyAlignment="1">
      <alignment horizontal="left" vertical="top" wrapText="1"/>
    </xf>
    <xf numFmtId="0" fontId="6" fillId="71" borderId="2" xfId="1" applyFont="1" applyFill="1" applyBorder="1" applyAlignment="1">
      <alignment horizontal="left" vertical="top" wrapText="1"/>
    </xf>
    <xf numFmtId="0" fontId="3" fillId="0" borderId="2" xfId="1" applyNumberFormat="1" applyFont="1" applyFill="1" applyBorder="1" applyAlignment="1">
      <alignment horizontal="center" vertical="top" wrapText="1"/>
    </xf>
    <xf numFmtId="0" fontId="58" fillId="69" borderId="2" xfId="0" applyFont="1" applyFill="1" applyBorder="1"/>
    <xf numFmtId="0" fontId="58" fillId="68" borderId="2" xfId="0" applyFont="1" applyFill="1" applyBorder="1"/>
    <xf numFmtId="168" fontId="6" fillId="69" borderId="2" xfId="1" applyNumberFormat="1" applyFont="1" applyFill="1" applyBorder="1" applyAlignment="1">
      <alignment horizontal="center" wrapText="1"/>
    </xf>
    <xf numFmtId="168" fontId="6" fillId="68" borderId="2" xfId="1" applyNumberFormat="1" applyFont="1" applyFill="1" applyBorder="1" applyAlignment="1">
      <alignment horizontal="center" wrapText="1"/>
    </xf>
    <xf numFmtId="0" fontId="58" fillId="6" borderId="2" xfId="0" applyFont="1" applyFill="1" applyBorder="1"/>
    <xf numFmtId="49" fontId="72" fillId="2" borderId="2" xfId="1" applyNumberFormat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justify"/>
    </xf>
    <xf numFmtId="0" fontId="61" fillId="2" borderId="0" xfId="0" applyFont="1" applyFill="1"/>
    <xf numFmtId="168" fontId="0" fillId="0" borderId="0" xfId="0" applyNumberFormat="1"/>
    <xf numFmtId="168" fontId="73" fillId="0" borderId="2" xfId="0" applyNumberFormat="1" applyFont="1" applyBorder="1" applyAlignment="1">
      <alignment horizontal="center"/>
    </xf>
    <xf numFmtId="0" fontId="73" fillId="0" borderId="2" xfId="0" applyFont="1" applyBorder="1" applyAlignment="1">
      <alignment horizontal="center" wrapText="1"/>
    </xf>
    <xf numFmtId="0" fontId="73" fillId="0" borderId="2" xfId="0" applyFont="1" applyBorder="1" applyAlignment="1">
      <alignment horizontal="center"/>
    </xf>
    <xf numFmtId="168" fontId="74" fillId="0" borderId="2" xfId="0" applyNumberFormat="1" applyFont="1" applyBorder="1" applyAlignment="1">
      <alignment horizontal="center"/>
    </xf>
    <xf numFmtId="0" fontId="74" fillId="0" borderId="2" xfId="0" applyFont="1" applyBorder="1" applyAlignment="1">
      <alignment horizontal="center" vertical="center" wrapText="1"/>
    </xf>
    <xf numFmtId="0" fontId="74" fillId="0" borderId="2" xfId="0" applyFont="1" applyBorder="1" applyAlignment="1">
      <alignment horizontal="center"/>
    </xf>
    <xf numFmtId="168" fontId="75" fillId="0" borderId="2" xfId="0" applyNumberFormat="1" applyFont="1" applyBorder="1" applyAlignment="1">
      <alignment horizontal="center"/>
    </xf>
    <xf numFmtId="0" fontId="75" fillId="0" borderId="2" xfId="0" applyFont="1" applyBorder="1" applyAlignment="1">
      <alignment horizontal="center" vertical="center" wrapText="1"/>
    </xf>
    <xf numFmtId="0" fontId="75" fillId="0" borderId="2" xfId="0" applyFont="1" applyBorder="1" applyAlignment="1">
      <alignment horizontal="center"/>
    </xf>
    <xf numFmtId="0" fontId="73" fillId="0" borderId="2" xfId="0" applyFont="1" applyBorder="1" applyAlignment="1">
      <alignment horizontal="center" vertical="center" wrapText="1"/>
    </xf>
    <xf numFmtId="0" fontId="74" fillId="0" borderId="0" xfId="0" applyFont="1"/>
    <xf numFmtId="0" fontId="71" fillId="0" borderId="0" xfId="0" applyFont="1" applyAlignment="1">
      <alignment horizontal="right"/>
    </xf>
    <xf numFmtId="0" fontId="74" fillId="0" borderId="0" xfId="0" applyFont="1" applyAlignment="1">
      <alignment horizontal="center"/>
    </xf>
    <xf numFmtId="0" fontId="74" fillId="0" borderId="0" xfId="0" applyFont="1" applyAlignment="1"/>
    <xf numFmtId="0" fontId="3" fillId="2" borderId="0" xfId="1" applyFont="1" applyFill="1" applyAlignment="1">
      <alignment vertical="center" wrapText="1"/>
    </xf>
    <xf numFmtId="0" fontId="69" fillId="0" borderId="2" xfId="0" applyFont="1" applyBorder="1"/>
    <xf numFmtId="0" fontId="70" fillId="0" borderId="2" xfId="0" applyFont="1" applyBorder="1" applyAlignment="1">
      <alignment vertical="top" wrapText="1"/>
    </xf>
    <xf numFmtId="0" fontId="70" fillId="0" borderId="2" xfId="0" applyFont="1" applyBorder="1" applyAlignment="1">
      <alignment vertical="top"/>
    </xf>
    <xf numFmtId="0" fontId="63" fillId="0" borderId="2" xfId="0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wrapText="1"/>
    </xf>
    <xf numFmtId="0" fontId="70" fillId="0" borderId="0" xfId="0" applyFont="1" applyAlignment="1">
      <alignment horizontal="right"/>
    </xf>
    <xf numFmtId="0" fontId="70" fillId="0" borderId="0" xfId="0" applyFont="1"/>
    <xf numFmtId="0" fontId="71" fillId="0" borderId="0" xfId="0" applyFont="1" applyAlignment="1"/>
    <xf numFmtId="0" fontId="78" fillId="0" borderId="1" xfId="0" applyFont="1" applyBorder="1" applyAlignment="1">
      <alignment horizontal="center" vertical="center" wrapText="1"/>
    </xf>
    <xf numFmtId="0" fontId="63" fillId="67" borderId="2" xfId="0" applyFont="1" applyFill="1" applyBorder="1" applyAlignment="1">
      <alignment horizontal="center" vertical="top" wrapText="1"/>
    </xf>
    <xf numFmtId="0" fontId="63" fillId="67" borderId="2" xfId="0" applyFont="1" applyFill="1" applyBorder="1" applyAlignment="1">
      <alignment vertical="top" wrapText="1"/>
    </xf>
    <xf numFmtId="0" fontId="63" fillId="5" borderId="2" xfId="0" applyFont="1" applyFill="1" applyBorder="1" applyAlignment="1">
      <alignment horizontal="center" vertical="top" wrapText="1"/>
    </xf>
    <xf numFmtId="0" fontId="63" fillId="5" borderId="2" xfId="0" applyFont="1" applyFill="1" applyBorder="1" applyAlignment="1">
      <alignment vertical="top" wrapText="1"/>
    </xf>
    <xf numFmtId="0" fontId="0" fillId="5" borderId="0" xfId="0" applyFill="1"/>
    <xf numFmtId="0" fontId="57" fillId="6" borderId="2" xfId="0" applyFont="1" applyFill="1" applyBorder="1" applyAlignment="1">
      <alignment horizontal="center" vertical="top" wrapText="1"/>
    </xf>
    <xf numFmtId="0" fontId="57" fillId="6" borderId="2" xfId="0" applyFont="1" applyFill="1" applyBorder="1" applyAlignment="1">
      <alignment vertical="top" wrapText="1"/>
    </xf>
    <xf numFmtId="0" fontId="0" fillId="6" borderId="0" xfId="0" applyFill="1"/>
    <xf numFmtId="0" fontId="57" fillId="2" borderId="2" xfId="0" applyFont="1" applyFill="1" applyBorder="1" applyAlignment="1">
      <alignment horizontal="center" vertical="top" wrapText="1"/>
    </xf>
    <xf numFmtId="0" fontId="57" fillId="2" borderId="2" xfId="0" applyFont="1" applyFill="1" applyBorder="1" applyAlignment="1">
      <alignment vertical="top" wrapText="1"/>
    </xf>
    <xf numFmtId="0" fontId="0" fillId="2" borderId="0" xfId="0" applyFill="1"/>
    <xf numFmtId="0" fontId="57" fillId="6" borderId="2" xfId="0" applyFont="1" applyFill="1" applyBorder="1" applyAlignment="1">
      <alignment vertical="justify" wrapText="1"/>
    </xf>
    <xf numFmtId="0" fontId="57" fillId="2" borderId="2" xfId="0" applyFont="1" applyFill="1" applyBorder="1" applyAlignment="1">
      <alignment vertical="justify" wrapText="1"/>
    </xf>
    <xf numFmtId="0" fontId="57" fillId="0" borderId="2" xfId="0" applyFont="1" applyBorder="1" applyAlignment="1">
      <alignment horizontal="center" vertical="top" wrapText="1"/>
    </xf>
    <xf numFmtId="0" fontId="57" fillId="0" borderId="2" xfId="0" applyFont="1" applyBorder="1" applyAlignment="1">
      <alignment vertical="justify" wrapText="1"/>
    </xf>
    <xf numFmtId="0" fontId="0" fillId="0" borderId="0" xfId="0" applyBorder="1"/>
    <xf numFmtId="0" fontId="57" fillId="0" borderId="0" xfId="0" applyFont="1" applyBorder="1" applyAlignment="1">
      <alignment vertical="justify" wrapText="1"/>
    </xf>
    <xf numFmtId="165" fontId="57" fillId="0" borderId="0" xfId="0" applyNumberFormat="1" applyFont="1" applyBorder="1" applyAlignment="1">
      <alignment horizontal="center" vertical="center" wrapText="1"/>
    </xf>
    <xf numFmtId="0" fontId="77" fillId="0" borderId="0" xfId="0" applyFont="1" applyAlignment="1">
      <alignment wrapText="1"/>
    </xf>
    <xf numFmtId="168" fontId="63" fillId="67" borderId="2" xfId="0" applyNumberFormat="1" applyFont="1" applyFill="1" applyBorder="1" applyAlignment="1">
      <alignment horizontal="center" vertical="center" wrapText="1"/>
    </xf>
    <xf numFmtId="168" fontId="63" fillId="5" borderId="2" xfId="0" applyNumberFormat="1" applyFont="1" applyFill="1" applyBorder="1" applyAlignment="1">
      <alignment horizontal="center" vertical="center" wrapText="1"/>
    </xf>
    <xf numFmtId="168" fontId="57" fillId="6" borderId="2" xfId="0" applyNumberFormat="1" applyFont="1" applyFill="1" applyBorder="1" applyAlignment="1">
      <alignment horizontal="center" vertical="center" wrapText="1"/>
    </xf>
    <xf numFmtId="168" fontId="57" fillId="2" borderId="2" xfId="0" applyNumberFormat="1" applyFont="1" applyFill="1" applyBorder="1" applyAlignment="1">
      <alignment horizontal="center" vertical="center" wrapText="1"/>
    </xf>
    <xf numFmtId="168" fontId="79" fillId="6" borderId="2" xfId="0" applyNumberFormat="1" applyFont="1" applyFill="1" applyBorder="1" applyAlignment="1">
      <alignment horizontal="center" vertical="center"/>
    </xf>
    <xf numFmtId="168" fontId="79" fillId="2" borderId="2" xfId="0" applyNumberFormat="1" applyFont="1" applyFill="1" applyBorder="1" applyAlignment="1">
      <alignment horizontal="center" vertical="center"/>
    </xf>
    <xf numFmtId="168" fontId="80" fillId="5" borderId="2" xfId="0" applyNumberFormat="1" applyFont="1" applyFill="1" applyBorder="1" applyAlignment="1">
      <alignment horizontal="center" vertical="center"/>
    </xf>
    <xf numFmtId="168" fontId="63" fillId="6" borderId="2" xfId="0" applyNumberFormat="1" applyFont="1" applyFill="1" applyBorder="1" applyAlignment="1">
      <alignment horizontal="center" vertical="center" wrapText="1"/>
    </xf>
    <xf numFmtId="168" fontId="80" fillId="6" borderId="2" xfId="0" applyNumberFormat="1" applyFont="1" applyFill="1" applyBorder="1" applyAlignment="1">
      <alignment horizontal="center" vertical="center"/>
    </xf>
    <xf numFmtId="168" fontId="57" fillId="0" borderId="2" xfId="0" applyNumberFormat="1" applyFont="1" applyBorder="1" applyAlignment="1">
      <alignment horizontal="center" vertical="center" wrapText="1"/>
    </xf>
    <xf numFmtId="168" fontId="79" fillId="0" borderId="2" xfId="0" applyNumberFormat="1" applyFont="1" applyBorder="1" applyAlignment="1">
      <alignment horizontal="center" vertical="center"/>
    </xf>
    <xf numFmtId="168" fontId="74" fillId="0" borderId="2" xfId="0" applyNumberFormat="1" applyFont="1" applyBorder="1" applyAlignment="1">
      <alignment horizontal="center" vertical="center"/>
    </xf>
    <xf numFmtId="0" fontId="57" fillId="0" borderId="2" xfId="663" applyFont="1" applyBorder="1" applyAlignment="1">
      <alignment horizontal="center" vertical="center"/>
    </xf>
    <xf numFmtId="0" fontId="63" fillId="72" borderId="2" xfId="663" applyFont="1" applyFill="1" applyBorder="1" applyAlignment="1">
      <alignment vertical="center" wrapText="1"/>
    </xf>
    <xf numFmtId="168" fontId="63" fillId="0" borderId="2" xfId="0" applyNumberFormat="1" applyFont="1" applyBorder="1" applyAlignment="1">
      <alignment horizontal="right" vertical="center" wrapText="1"/>
    </xf>
    <xf numFmtId="168" fontId="78" fillId="0" borderId="2" xfId="0" applyNumberFormat="1" applyFont="1" applyBorder="1" applyAlignment="1">
      <alignment horizontal="right" vertical="center" wrapText="1"/>
    </xf>
    <xf numFmtId="168" fontId="82" fillId="0" borderId="2" xfId="0" applyNumberFormat="1" applyFont="1" applyBorder="1" applyAlignment="1">
      <alignment horizontal="right" vertical="center" wrapText="1"/>
    </xf>
    <xf numFmtId="0" fontId="57" fillId="72" borderId="2" xfId="663" applyFont="1" applyFill="1" applyBorder="1" applyAlignment="1">
      <alignment horizontal="left" vertical="center" wrapText="1" indent="1"/>
    </xf>
    <xf numFmtId="168" fontId="63" fillId="72" borderId="2" xfId="663" applyNumberFormat="1" applyFont="1" applyFill="1" applyBorder="1" applyAlignment="1">
      <alignment horizontal="right" vertical="center" wrapText="1"/>
    </xf>
    <xf numFmtId="168" fontId="57" fillId="72" borderId="2" xfId="663" applyNumberFormat="1" applyFont="1" applyFill="1" applyBorder="1" applyAlignment="1">
      <alignment horizontal="right" vertical="center" wrapText="1"/>
    </xf>
    <xf numFmtId="168" fontId="57" fillId="2" borderId="2" xfId="0" applyNumberFormat="1" applyFont="1" applyFill="1" applyBorder="1" applyAlignment="1">
      <alignment horizontal="right" vertical="center" wrapText="1"/>
    </xf>
    <xf numFmtId="169" fontId="63" fillId="72" borderId="0" xfId="663" applyNumberFormat="1" applyFont="1" applyFill="1" applyBorder="1" applyAlignment="1">
      <alignment horizontal="right" vertical="center" wrapText="1"/>
    </xf>
    <xf numFmtId="169" fontId="57" fillId="72" borderId="0" xfId="663" applyNumberFormat="1" applyFont="1" applyFill="1" applyBorder="1" applyAlignment="1">
      <alignment horizontal="right" vertical="center" wrapText="1"/>
    </xf>
    <xf numFmtId="168" fontId="63" fillId="0" borderId="0" xfId="0" applyNumberFormat="1" applyFont="1" applyBorder="1" applyAlignment="1">
      <alignment horizontal="right" vertical="center" wrapText="1"/>
    </xf>
    <xf numFmtId="168" fontId="57" fillId="2" borderId="0" xfId="0" applyNumberFormat="1" applyFont="1" applyFill="1" applyBorder="1" applyAlignment="1">
      <alignment horizontal="right" vertical="center" wrapText="1"/>
    </xf>
    <xf numFmtId="0" fontId="57" fillId="0" borderId="0" xfId="663" applyFont="1" applyBorder="1" applyAlignment="1">
      <alignment horizontal="center" vertical="center"/>
    </xf>
    <xf numFmtId="0" fontId="57" fillId="72" borderId="0" xfId="663" applyFont="1" applyFill="1" applyBorder="1" applyAlignment="1">
      <alignment horizontal="left" vertical="center" wrapText="1" indent="1"/>
    </xf>
    <xf numFmtId="0" fontId="57" fillId="0" borderId="0" xfId="1" applyFont="1" applyAlignment="1">
      <alignment wrapText="1"/>
    </xf>
    <xf numFmtId="0" fontId="74" fillId="0" borderId="2" xfId="0" applyFont="1" applyBorder="1" applyAlignment="1">
      <alignment vertical="center" wrapText="1"/>
    </xf>
    <xf numFmtId="0" fontId="74" fillId="2" borderId="2" xfId="0" applyFont="1" applyFill="1" applyBorder="1" applyAlignment="1">
      <alignment vertical="center"/>
    </xf>
    <xf numFmtId="0" fontId="74" fillId="2" borderId="2" xfId="0" applyFont="1" applyFill="1" applyBorder="1" applyAlignment="1">
      <alignment vertical="center" wrapText="1"/>
    </xf>
    <xf numFmtId="0" fontId="74" fillId="0" borderId="2" xfId="0" applyFont="1" applyBorder="1" applyAlignment="1">
      <alignment vertical="center"/>
    </xf>
    <xf numFmtId="0" fontId="67" fillId="2" borderId="2" xfId="0" applyFont="1" applyFill="1" applyBorder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 wrapText="1"/>
    </xf>
    <xf numFmtId="0" fontId="78" fillId="0" borderId="0" xfId="0" applyFont="1" applyBorder="1" applyAlignment="1">
      <alignment horizontal="center" vertical="center" wrapText="1"/>
    </xf>
    <xf numFmtId="0" fontId="63" fillId="0" borderId="24" xfId="0" applyFont="1" applyBorder="1" applyAlignment="1">
      <alignment horizontal="center" vertical="center" wrapText="1"/>
    </xf>
    <xf numFmtId="168" fontId="75" fillId="0" borderId="2" xfId="0" applyNumberFormat="1" applyFont="1" applyBorder="1" applyAlignment="1">
      <alignment horizontal="center" vertical="center"/>
    </xf>
    <xf numFmtId="168" fontId="83" fillId="0" borderId="2" xfId="0" applyNumberFormat="1" applyFont="1" applyBorder="1" applyAlignment="1">
      <alignment horizontal="center" vertical="center"/>
    </xf>
    <xf numFmtId="168" fontId="84" fillId="0" borderId="2" xfId="0" applyNumberFormat="1" applyFont="1" applyBorder="1" applyAlignment="1">
      <alignment horizontal="center" vertical="center" wrapText="1"/>
    </xf>
    <xf numFmtId="0" fontId="84" fillId="0" borderId="2" xfId="0" applyFont="1" applyBorder="1" applyAlignment="1">
      <alignment vertical="justify" wrapText="1"/>
    </xf>
    <xf numFmtId="168" fontId="84" fillId="2" borderId="2" xfId="0" applyNumberFormat="1" applyFont="1" applyFill="1" applyBorder="1" applyAlignment="1">
      <alignment horizontal="center" vertical="center" wrapText="1"/>
    </xf>
    <xf numFmtId="168" fontId="83" fillId="2" borderId="2" xfId="0" applyNumberFormat="1" applyFont="1" applyFill="1" applyBorder="1" applyAlignment="1">
      <alignment horizontal="center" vertical="center"/>
    </xf>
    <xf numFmtId="0" fontId="85" fillId="0" borderId="2" xfId="0" applyFont="1" applyBorder="1" applyAlignment="1">
      <alignment wrapText="1"/>
    </xf>
    <xf numFmtId="168" fontId="0" fillId="2" borderId="0" xfId="0" applyNumberFormat="1" applyFill="1"/>
    <xf numFmtId="0" fontId="84" fillId="2" borderId="2" xfId="0" applyFont="1" applyFill="1" applyBorder="1" applyAlignment="1">
      <alignment vertical="justify" wrapText="1"/>
    </xf>
    <xf numFmtId="0" fontId="84" fillId="2" borderId="2" xfId="0" applyFont="1" applyFill="1" applyBorder="1" applyAlignment="1">
      <alignment horizontal="center" vertical="top" wrapText="1"/>
    </xf>
    <xf numFmtId="0" fontId="68" fillId="2" borderId="0" xfId="0" applyFont="1" applyFill="1"/>
    <xf numFmtId="168" fontId="77" fillId="0" borderId="2" xfId="0" applyNumberFormat="1" applyFont="1" applyBorder="1" applyAlignment="1">
      <alignment vertical="center"/>
    </xf>
    <xf numFmtId="168" fontId="71" fillId="0" borderId="2" xfId="0" applyNumberFormat="1" applyFont="1" applyBorder="1" applyAlignment="1">
      <alignment vertical="center"/>
    </xf>
    <xf numFmtId="168" fontId="76" fillId="0" borderId="2" xfId="0" applyNumberFormat="1" applyFont="1" applyBorder="1" applyAlignment="1">
      <alignment vertical="center"/>
    </xf>
    <xf numFmtId="0" fontId="57" fillId="67" borderId="2" xfId="663" applyFont="1" applyFill="1" applyBorder="1" applyAlignment="1">
      <alignment horizontal="center" vertical="center"/>
    </xf>
    <xf numFmtId="0" fontId="63" fillId="67" borderId="2" xfId="663" applyFont="1" applyFill="1" applyBorder="1" applyAlignment="1">
      <alignment vertical="center" wrapText="1"/>
    </xf>
    <xf numFmtId="168" fontId="63" fillId="67" borderId="2" xfId="0" applyNumberFormat="1" applyFont="1" applyFill="1" applyBorder="1" applyAlignment="1">
      <alignment horizontal="right" vertical="center" wrapText="1"/>
    </xf>
    <xf numFmtId="0" fontId="58" fillId="73" borderId="2" xfId="0" applyFont="1" applyFill="1" applyBorder="1"/>
    <xf numFmtId="49" fontId="6" fillId="73" borderId="2" xfId="1" applyNumberFormat="1" applyFont="1" applyFill="1" applyBorder="1" applyAlignment="1">
      <alignment horizontal="center" wrapText="1"/>
    </xf>
    <xf numFmtId="0" fontId="6" fillId="73" borderId="2" xfId="1" applyFont="1" applyFill="1" applyBorder="1" applyAlignment="1">
      <alignment wrapText="1"/>
    </xf>
    <xf numFmtId="168" fontId="6" fillId="73" borderId="2" xfId="1" applyNumberFormat="1" applyFont="1" applyFill="1" applyBorder="1" applyAlignment="1">
      <alignment horizontal="center" wrapText="1"/>
    </xf>
    <xf numFmtId="168" fontId="63" fillId="72" borderId="0" xfId="663" applyNumberFormat="1" applyFont="1" applyFill="1" applyBorder="1" applyAlignment="1">
      <alignment horizontal="right" vertical="center" wrapText="1"/>
    </xf>
    <xf numFmtId="168" fontId="57" fillId="72" borderId="0" xfId="663" applyNumberFormat="1" applyFont="1" applyFill="1" applyBorder="1" applyAlignment="1">
      <alignment horizontal="right" vertical="center" wrapText="1"/>
    </xf>
    <xf numFmtId="0" fontId="63" fillId="2" borderId="2" xfId="0" applyFont="1" applyFill="1" applyBorder="1" applyAlignment="1">
      <alignment vertical="justify" wrapText="1"/>
    </xf>
    <xf numFmtId="168" fontId="84" fillId="0" borderId="2" xfId="0" applyNumberFormat="1" applyFont="1" applyFill="1" applyBorder="1" applyAlignment="1">
      <alignment horizontal="center" vertical="center" wrapText="1"/>
    </xf>
    <xf numFmtId="0" fontId="78" fillId="0" borderId="0" xfId="0" applyFont="1" applyBorder="1" applyAlignment="1">
      <alignment horizontal="center" vertical="center" wrapText="1"/>
    </xf>
    <xf numFmtId="0" fontId="84" fillId="0" borderId="2" xfId="0" applyFont="1" applyFill="1" applyBorder="1" applyAlignment="1">
      <alignment vertical="justify" wrapText="1"/>
    </xf>
    <xf numFmtId="0" fontId="63" fillId="0" borderId="2" xfId="0" applyFont="1" applyFill="1" applyBorder="1" applyAlignment="1">
      <alignment vertical="justify" wrapText="1"/>
    </xf>
    <xf numFmtId="0" fontId="78" fillId="0" borderId="0" xfId="0" applyFont="1" applyBorder="1" applyAlignment="1">
      <alignment horizontal="left" vertical="center"/>
    </xf>
    <xf numFmtId="0" fontId="87" fillId="0" borderId="0" xfId="0" applyFont="1"/>
    <xf numFmtId="168" fontId="87" fillId="0" borderId="0" xfId="0" applyNumberFormat="1" applyFont="1"/>
    <xf numFmtId="168" fontId="58" fillId="0" borderId="0" xfId="0" applyNumberFormat="1" applyFont="1"/>
    <xf numFmtId="49" fontId="3" fillId="6" borderId="2" xfId="1" applyNumberFormat="1" applyFont="1" applyFill="1" applyBorder="1" applyAlignment="1">
      <alignment horizontal="center" wrapText="1"/>
    </xf>
    <xf numFmtId="0" fontId="57" fillId="0" borderId="0" xfId="0" applyFont="1" applyFill="1" applyBorder="1" applyAlignment="1">
      <alignment vertical="justify" wrapText="1"/>
    </xf>
    <xf numFmtId="170" fontId="58" fillId="0" borderId="0" xfId="0" applyNumberFormat="1" applyFont="1"/>
    <xf numFmtId="0" fontId="86" fillId="0" borderId="2" xfId="0" applyFont="1" applyBorder="1"/>
    <xf numFmtId="0" fontId="64" fillId="0" borderId="2" xfId="0" applyFont="1" applyBorder="1"/>
    <xf numFmtId="49" fontId="84" fillId="2" borderId="2" xfId="0" applyNumberFormat="1" applyFont="1" applyFill="1" applyBorder="1" applyAlignment="1">
      <alignment vertical="justify"/>
    </xf>
    <xf numFmtId="170" fontId="0" fillId="0" borderId="0" xfId="0" applyNumberFormat="1"/>
    <xf numFmtId="168" fontId="64" fillId="0" borderId="2" xfId="0" applyNumberFormat="1" applyFont="1" applyBorder="1" applyAlignment="1">
      <alignment horizontal="center"/>
    </xf>
    <xf numFmtId="168" fontId="64" fillId="0" borderId="2" xfId="0" applyNumberFormat="1" applyFont="1" applyFill="1" applyBorder="1" applyAlignment="1">
      <alignment horizontal="center"/>
    </xf>
    <xf numFmtId="168" fontId="86" fillId="0" borderId="2" xfId="0" applyNumberFormat="1" applyFont="1" applyFill="1" applyBorder="1"/>
    <xf numFmtId="0" fontId="57" fillId="0" borderId="0" xfId="0" applyFont="1" applyAlignment="1"/>
    <xf numFmtId="0" fontId="71" fillId="2" borderId="0" xfId="1" applyFont="1" applyFill="1" applyAlignment="1">
      <alignment vertical="center"/>
    </xf>
    <xf numFmtId="0" fontId="57" fillId="2" borderId="0" xfId="1" applyFont="1" applyFill="1" applyAlignment="1">
      <alignment vertical="center" wrapText="1"/>
    </xf>
    <xf numFmtId="0" fontId="58" fillId="0" borderId="0" xfId="0" applyFont="1" applyAlignment="1"/>
    <xf numFmtId="0" fontId="6" fillId="0" borderId="0" xfId="1" applyFont="1" applyBorder="1" applyAlignment="1">
      <alignment horizontal="center" vertical="center" wrapText="1"/>
    </xf>
    <xf numFmtId="0" fontId="66" fillId="2" borderId="2" xfId="1" applyFont="1" applyFill="1" applyBorder="1" applyAlignment="1">
      <alignment wrapText="1"/>
    </xf>
    <xf numFmtId="0" fontId="66" fillId="2" borderId="2" xfId="1" applyFont="1" applyFill="1" applyBorder="1" applyAlignment="1">
      <alignment horizontal="center" vertical="top" wrapText="1"/>
    </xf>
    <xf numFmtId="0" fontId="66" fillId="0" borderId="2" xfId="0" applyFont="1" applyBorder="1"/>
    <xf numFmtId="0" fontId="66" fillId="2" borderId="2" xfId="1" applyFont="1" applyFill="1" applyBorder="1" applyAlignment="1">
      <alignment horizontal="justify"/>
    </xf>
    <xf numFmtId="168" fontId="66" fillId="0" borderId="2" xfId="1" applyNumberFormat="1" applyFont="1" applyFill="1" applyBorder="1" applyAlignment="1">
      <alignment horizontal="center" vertical="top" wrapText="1"/>
    </xf>
    <xf numFmtId="168" fontId="88" fillId="0" borderId="2" xfId="0" applyNumberFormat="1" applyFont="1" applyFill="1" applyBorder="1"/>
    <xf numFmtId="168" fontId="66" fillId="0" borderId="2" xfId="0" applyNumberFormat="1" applyFont="1" applyFill="1" applyBorder="1" applyAlignment="1">
      <alignment horizontal="center"/>
    </xf>
    <xf numFmtId="0" fontId="57" fillId="0" borderId="0" xfId="0" applyFont="1" applyAlignment="1">
      <alignment horizontal="center"/>
    </xf>
    <xf numFmtId="0" fontId="73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/>
    </xf>
    <xf numFmtId="0" fontId="6" fillId="0" borderId="0" xfId="1" applyFont="1" applyBorder="1" applyAlignment="1">
      <alignment horizontal="center" vertical="center" wrapText="1"/>
    </xf>
    <xf numFmtId="0" fontId="71" fillId="0" borderId="0" xfId="0" applyFont="1" applyAlignment="1">
      <alignment horizontal="center"/>
    </xf>
    <xf numFmtId="0" fontId="71" fillId="2" borderId="0" xfId="1" applyFont="1" applyFill="1" applyAlignment="1">
      <alignment horizontal="center" vertical="center"/>
    </xf>
    <xf numFmtId="0" fontId="57" fillId="0" borderId="0" xfId="1" applyFont="1" applyAlignment="1">
      <alignment horizontal="center"/>
    </xf>
    <xf numFmtId="0" fontId="57" fillId="2" borderId="0" xfId="1" applyFont="1" applyFill="1" applyAlignment="1">
      <alignment horizontal="center" vertical="center"/>
    </xf>
    <xf numFmtId="0" fontId="69" fillId="0" borderId="0" xfId="0" applyFont="1" applyBorder="1" applyAlignment="1">
      <alignment horizontal="center" wrapText="1"/>
    </xf>
    <xf numFmtId="0" fontId="76" fillId="0" borderId="2" xfId="0" applyFont="1" applyBorder="1" applyAlignment="1">
      <alignment horizontal="center" vertical="center"/>
    </xf>
    <xf numFmtId="0" fontId="70" fillId="0" borderId="0" xfId="0" applyFont="1" applyAlignment="1">
      <alignment horizontal="center"/>
    </xf>
    <xf numFmtId="0" fontId="63" fillId="0" borderId="2" xfId="0" applyFont="1" applyBorder="1" applyAlignment="1">
      <alignment horizontal="center" vertical="center" wrapText="1"/>
    </xf>
    <xf numFmtId="0" fontId="78" fillId="0" borderId="0" xfId="0" applyFont="1" applyBorder="1" applyAlignment="1">
      <alignment horizontal="center" vertical="center" wrapText="1"/>
    </xf>
    <xf numFmtId="0" fontId="63" fillId="0" borderId="0" xfId="663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 wrapText="1"/>
    </xf>
    <xf numFmtId="0" fontId="63" fillId="0" borderId="23" xfId="0" applyFont="1" applyBorder="1" applyAlignment="1">
      <alignment horizontal="center" vertical="center" wrapText="1"/>
    </xf>
    <xf numFmtId="0" fontId="63" fillId="0" borderId="24" xfId="0" applyFont="1" applyBorder="1" applyAlignment="1">
      <alignment horizontal="center" vertical="center" wrapText="1"/>
    </xf>
    <xf numFmtId="0" fontId="63" fillId="0" borderId="21" xfId="0" applyFont="1" applyBorder="1" applyAlignment="1">
      <alignment horizontal="center" vertical="center" wrapText="1"/>
    </xf>
    <xf numFmtId="0" fontId="63" fillId="0" borderId="22" xfId="0" applyFont="1" applyBorder="1" applyAlignment="1">
      <alignment horizontal="center" vertical="center" wrapText="1"/>
    </xf>
    <xf numFmtId="0" fontId="63" fillId="0" borderId="26" xfId="0" applyFont="1" applyBorder="1" applyAlignment="1">
      <alignment horizontal="center" vertical="center" wrapText="1"/>
    </xf>
    <xf numFmtId="0" fontId="63" fillId="0" borderId="25" xfId="0" applyFont="1" applyBorder="1" applyAlignment="1">
      <alignment horizontal="center" vertical="center" wrapText="1"/>
    </xf>
    <xf numFmtId="0" fontId="63" fillId="0" borderId="27" xfId="0" applyFont="1" applyBorder="1" applyAlignment="1">
      <alignment horizontal="center" vertical="center" wrapText="1"/>
    </xf>
    <xf numFmtId="0" fontId="74" fillId="0" borderId="1" xfId="0" applyFont="1" applyBorder="1" applyAlignment="1">
      <alignment horizontal="right"/>
    </xf>
    <xf numFmtId="0" fontId="57" fillId="2" borderId="0" xfId="1" applyFont="1" applyFill="1" applyAlignment="1">
      <alignment horizontal="center" vertical="center" wrapText="1"/>
    </xf>
    <xf numFmtId="0" fontId="76" fillId="0" borderId="0" xfId="0" applyFont="1" applyAlignment="1">
      <alignment horizontal="center" vertical="center" wrapText="1"/>
    </xf>
  </cellXfs>
  <cellStyles count="664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2" xfId="10"/>
    <cellStyle name="20% - Акцент1 2 2" xfId="11"/>
    <cellStyle name="20% - Акцент2 2" xfId="12"/>
    <cellStyle name="20% - Акцент2 2 2" xfId="13"/>
    <cellStyle name="20% - Акцент3 2" xfId="14"/>
    <cellStyle name="20% - Акцент3 2 2" xfId="15"/>
    <cellStyle name="20% - Акцент4 2" xfId="16"/>
    <cellStyle name="20% - Акцент4 2 2" xfId="17"/>
    <cellStyle name="20% - Акцент5 2" xfId="18"/>
    <cellStyle name="20% - Акцент5 2 2" xfId="19"/>
    <cellStyle name="20% - Акцент6 2" xfId="20"/>
    <cellStyle name="20% - Акцент6 2 2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40% - Акцент1 2" xfId="28"/>
    <cellStyle name="40% - Акцент1 2 2" xfId="29"/>
    <cellStyle name="40% - Акцент2 2" xfId="30"/>
    <cellStyle name="40% - Акцент2 2 2" xfId="31"/>
    <cellStyle name="40% - Акцент3 2" xfId="32"/>
    <cellStyle name="40% - Акцент3 2 2" xfId="33"/>
    <cellStyle name="40% - Акцент4 2" xfId="34"/>
    <cellStyle name="40% - Акцент4 2 2" xfId="35"/>
    <cellStyle name="40% - Акцент5 2" xfId="36"/>
    <cellStyle name="40% - Акцент5 2 2" xfId="37"/>
    <cellStyle name="40% - Акцент6 2" xfId="38"/>
    <cellStyle name="40% - Акцент6 2 2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60% - Акцент1 2" xfId="46"/>
    <cellStyle name="60% - Акцент2 2" xfId="47"/>
    <cellStyle name="60% - Акцент3 2" xfId="48"/>
    <cellStyle name="60% - Акцент4 2" xfId="49"/>
    <cellStyle name="60% - Акцент5 2" xfId="50"/>
    <cellStyle name="60% - Акцент6 2" xfId="51"/>
    <cellStyle name="Accent1" xfId="52"/>
    <cellStyle name="Accent1 - 20%" xfId="53"/>
    <cellStyle name="Accent1 - 40%" xfId="54"/>
    <cellStyle name="Accent1 - 60%" xfId="55"/>
    <cellStyle name="Accent2" xfId="56"/>
    <cellStyle name="Accent2 - 20%" xfId="57"/>
    <cellStyle name="Accent2 - 40%" xfId="58"/>
    <cellStyle name="Accent2 - 60%" xfId="59"/>
    <cellStyle name="Accent3" xfId="60"/>
    <cellStyle name="Accent3 - 20%" xfId="61"/>
    <cellStyle name="Accent3 - 40%" xfId="62"/>
    <cellStyle name="Accent3 - 60%" xfId="63"/>
    <cellStyle name="Accent3_10" xfId="64"/>
    <cellStyle name="Accent4" xfId="65"/>
    <cellStyle name="Accent4 - 20%" xfId="66"/>
    <cellStyle name="Accent4 - 40%" xfId="67"/>
    <cellStyle name="Accent4 - 60%" xfId="68"/>
    <cellStyle name="Accent4_10" xfId="69"/>
    <cellStyle name="Accent5" xfId="70"/>
    <cellStyle name="Accent5 - 20%" xfId="71"/>
    <cellStyle name="Accent5 - 40%" xfId="72"/>
    <cellStyle name="Accent5 - 60%" xfId="73"/>
    <cellStyle name="Accent5_10" xfId="74"/>
    <cellStyle name="Accent6" xfId="75"/>
    <cellStyle name="Accent6 - 20%" xfId="76"/>
    <cellStyle name="Accent6 - 40%" xfId="77"/>
    <cellStyle name="Accent6 - 60%" xfId="78"/>
    <cellStyle name="Accent6_10" xfId="79"/>
    <cellStyle name="Bad" xfId="80"/>
    <cellStyle name="Calculation" xfId="81"/>
    <cellStyle name="Check Cell" xfId="82"/>
    <cellStyle name="Emphasis 1" xfId="83"/>
    <cellStyle name="Emphasis 2" xfId="84"/>
    <cellStyle name="Emphasis 3" xfId="85"/>
    <cellStyle name="Explanatory Text" xfId="86"/>
    <cellStyle name="Good" xfId="87"/>
    <cellStyle name="Heading 1" xfId="88"/>
    <cellStyle name="Heading 2" xfId="89"/>
    <cellStyle name="Heading 3" xfId="90"/>
    <cellStyle name="Heading 4" xfId="91"/>
    <cellStyle name="Input" xfId="92"/>
    <cellStyle name="Linked Cell" xfId="93"/>
    <cellStyle name="Neutral" xfId="94"/>
    <cellStyle name="Normal" xfId="95"/>
    <cellStyle name="Note" xfId="96"/>
    <cellStyle name="Output" xfId="97"/>
    <cellStyle name="SAPBEXaggData" xfId="98"/>
    <cellStyle name="SAPBEXaggData 2" xfId="99"/>
    <cellStyle name="SAPBEXaggData 3" xfId="100"/>
    <cellStyle name="SAPBEXaggData_Приложения к закону (поправки)" xfId="101"/>
    <cellStyle name="SAPBEXaggDataEmph" xfId="102"/>
    <cellStyle name="SAPBEXaggDataEmph 2" xfId="103"/>
    <cellStyle name="SAPBEXaggDataEmph 3" xfId="104"/>
    <cellStyle name="SAPBEXaggItem" xfId="105"/>
    <cellStyle name="SAPBEXaggItem 2" xfId="106"/>
    <cellStyle name="SAPBEXaggItem 3" xfId="107"/>
    <cellStyle name="SAPBEXaggItem_8" xfId="108"/>
    <cellStyle name="SAPBEXaggItemX" xfId="109"/>
    <cellStyle name="SAPBEXaggItemX 2" xfId="110"/>
    <cellStyle name="SAPBEXaggItemX 3" xfId="111"/>
    <cellStyle name="SAPBEXchaText" xfId="112"/>
    <cellStyle name="SAPBEXchaText 2" xfId="113"/>
    <cellStyle name="SAPBEXchaText 3" xfId="114"/>
    <cellStyle name="SAPBEXexcBad7" xfId="115"/>
    <cellStyle name="SAPBEXexcBad7 2" xfId="116"/>
    <cellStyle name="SAPBEXexcBad7 3" xfId="117"/>
    <cellStyle name="SAPBEXexcBad8" xfId="118"/>
    <cellStyle name="SAPBEXexcBad8 2" xfId="119"/>
    <cellStyle name="SAPBEXexcBad8 3" xfId="120"/>
    <cellStyle name="SAPBEXexcBad9" xfId="121"/>
    <cellStyle name="SAPBEXexcBad9 2" xfId="122"/>
    <cellStyle name="SAPBEXexcBad9 3" xfId="123"/>
    <cellStyle name="SAPBEXexcCritical4" xfId="124"/>
    <cellStyle name="SAPBEXexcCritical4 2" xfId="125"/>
    <cellStyle name="SAPBEXexcCritical4 3" xfId="126"/>
    <cellStyle name="SAPBEXexcCritical5" xfId="127"/>
    <cellStyle name="SAPBEXexcCritical5 2" xfId="128"/>
    <cellStyle name="SAPBEXexcCritical5 3" xfId="129"/>
    <cellStyle name="SAPBEXexcCritical6" xfId="130"/>
    <cellStyle name="SAPBEXexcCritical6 2" xfId="131"/>
    <cellStyle name="SAPBEXexcCritical6 3" xfId="132"/>
    <cellStyle name="SAPBEXexcGood1" xfId="133"/>
    <cellStyle name="SAPBEXexcGood1 2" xfId="134"/>
    <cellStyle name="SAPBEXexcGood1 3" xfId="135"/>
    <cellStyle name="SAPBEXexcGood2" xfId="136"/>
    <cellStyle name="SAPBEXexcGood2 2" xfId="137"/>
    <cellStyle name="SAPBEXexcGood2 3" xfId="138"/>
    <cellStyle name="SAPBEXexcGood3" xfId="139"/>
    <cellStyle name="SAPBEXexcGood3 2" xfId="140"/>
    <cellStyle name="SAPBEXexcGood3 3" xfId="141"/>
    <cellStyle name="SAPBEXfilterDrill" xfId="142"/>
    <cellStyle name="SAPBEXfilterDrill 2" xfId="143"/>
    <cellStyle name="SAPBEXfilterDrill 3" xfId="144"/>
    <cellStyle name="SAPBEXfilterItem" xfId="145"/>
    <cellStyle name="SAPBEXfilterItem 2" xfId="146"/>
    <cellStyle name="SAPBEXfilterItem 3" xfId="147"/>
    <cellStyle name="SAPBEXfilterText" xfId="148"/>
    <cellStyle name="SAPBEXfilterText 2" xfId="149"/>
    <cellStyle name="SAPBEXfilterText 3" xfId="150"/>
    <cellStyle name="SAPBEXformats" xfId="151"/>
    <cellStyle name="SAPBEXformats 2" xfId="152"/>
    <cellStyle name="SAPBEXformats 3" xfId="153"/>
    <cellStyle name="SAPBEXheaderItem" xfId="154"/>
    <cellStyle name="SAPBEXheaderItem 2" xfId="155"/>
    <cellStyle name="SAPBEXheaderItem 3" xfId="156"/>
    <cellStyle name="SAPBEXheaderText" xfId="157"/>
    <cellStyle name="SAPBEXheaderText 2" xfId="158"/>
    <cellStyle name="SAPBEXheaderText 3" xfId="159"/>
    <cellStyle name="SAPBEXHLevel0" xfId="160"/>
    <cellStyle name="SAPBEXHLevel0 2" xfId="161"/>
    <cellStyle name="SAPBEXHLevel0 2 2 3" xfId="162"/>
    <cellStyle name="SAPBEXHLevel0X" xfId="163"/>
    <cellStyle name="SAPBEXHLevel0X 2" xfId="164"/>
    <cellStyle name="SAPBEXHLevel0X 3" xfId="165"/>
    <cellStyle name="SAPBEXHLevel1" xfId="166"/>
    <cellStyle name="SAPBEXHLevel1 2" xfId="167"/>
    <cellStyle name="SAPBEXHLevel1X" xfId="168"/>
    <cellStyle name="SAPBEXHLevel1X 2" xfId="169"/>
    <cellStyle name="SAPBEXHLevel1X 3" xfId="170"/>
    <cellStyle name="SAPBEXHLevel2" xfId="171"/>
    <cellStyle name="SAPBEXHLevel2 2" xfId="172"/>
    <cellStyle name="SAPBEXHLevel2X" xfId="173"/>
    <cellStyle name="SAPBEXHLevel2X 2" xfId="174"/>
    <cellStyle name="SAPBEXHLevel2X 3" xfId="175"/>
    <cellStyle name="SAPBEXHLevel3" xfId="176"/>
    <cellStyle name="SAPBEXHLevel3 2" xfId="177"/>
    <cellStyle name="SAPBEXHLevel3 3" xfId="178"/>
    <cellStyle name="SAPBEXHLevel3X" xfId="179"/>
    <cellStyle name="SAPBEXHLevel3X 2" xfId="180"/>
    <cellStyle name="SAPBEXHLevel3X 3" xfId="181"/>
    <cellStyle name="SAPBEXinputData" xfId="182"/>
    <cellStyle name="SAPBEXinputData 2" xfId="183"/>
    <cellStyle name="SAPBEXinputData 3" xfId="184"/>
    <cellStyle name="SAPBEXItemHeader" xfId="185"/>
    <cellStyle name="SAPBEXresData" xfId="186"/>
    <cellStyle name="SAPBEXresData 2" xfId="187"/>
    <cellStyle name="SAPBEXresData 3" xfId="188"/>
    <cellStyle name="SAPBEXresDataEmph" xfId="189"/>
    <cellStyle name="SAPBEXresDataEmph 2" xfId="190"/>
    <cellStyle name="SAPBEXresDataEmph 3" xfId="191"/>
    <cellStyle name="SAPBEXresItem" xfId="192"/>
    <cellStyle name="SAPBEXresItem 2" xfId="193"/>
    <cellStyle name="SAPBEXresItem 3" xfId="194"/>
    <cellStyle name="SAPBEXresItemX" xfId="195"/>
    <cellStyle name="SAPBEXresItemX 2" xfId="196"/>
    <cellStyle name="SAPBEXresItemX 3" xfId="197"/>
    <cellStyle name="SAPBEXstdData" xfId="198"/>
    <cellStyle name="SAPBEXstdData 2" xfId="199"/>
    <cellStyle name="SAPBEXstdData_726-ПК (прил.)" xfId="200"/>
    <cellStyle name="SAPBEXstdDataEmph" xfId="201"/>
    <cellStyle name="SAPBEXstdDataEmph 2" xfId="202"/>
    <cellStyle name="SAPBEXstdDataEmph 3" xfId="203"/>
    <cellStyle name="SAPBEXstdItem" xfId="204"/>
    <cellStyle name="SAPBEXstdItem 2" xfId="205"/>
    <cellStyle name="SAPBEXstdItem 3" xfId="206"/>
    <cellStyle name="SAPBEXstdItem_726-ПК (прил.)" xfId="207"/>
    <cellStyle name="SAPBEXstdItemX" xfId="208"/>
    <cellStyle name="SAPBEXstdItemX 2" xfId="209"/>
    <cellStyle name="SAPBEXstdItemX 3" xfId="210"/>
    <cellStyle name="SAPBEXtitle" xfId="211"/>
    <cellStyle name="SAPBEXtitle 2" xfId="212"/>
    <cellStyle name="SAPBEXtitle 3" xfId="213"/>
    <cellStyle name="SAPBEXunassignedItem" xfId="214"/>
    <cellStyle name="SAPBEXundefined" xfId="215"/>
    <cellStyle name="SAPBEXundefined 2" xfId="216"/>
    <cellStyle name="SAPBEXundefined 3" xfId="217"/>
    <cellStyle name="Sheet Title" xfId="218"/>
    <cellStyle name="Title" xfId="219"/>
    <cellStyle name="Total" xfId="220"/>
    <cellStyle name="Warning Text" xfId="221"/>
    <cellStyle name="Акцент1 2" xfId="222"/>
    <cellStyle name="Акцент2 2" xfId="223"/>
    <cellStyle name="Акцент3 2" xfId="224"/>
    <cellStyle name="Акцент4 2" xfId="225"/>
    <cellStyle name="Акцент5 2" xfId="226"/>
    <cellStyle name="Акцент6 2" xfId="227"/>
    <cellStyle name="Ввод  2" xfId="228"/>
    <cellStyle name="Вывод 2" xfId="229"/>
    <cellStyle name="Вычисление 2" xfId="230"/>
    <cellStyle name="Заголовок 1 2" xfId="231"/>
    <cellStyle name="Заголовок 2 2" xfId="232"/>
    <cellStyle name="Заголовок 3 2" xfId="233"/>
    <cellStyle name="Заголовок 4 2" xfId="234"/>
    <cellStyle name="Итог 2" xfId="235"/>
    <cellStyle name="Контрольная ячейка 2" xfId="236"/>
    <cellStyle name="Название 2" xfId="237"/>
    <cellStyle name="Нейтральный 2" xfId="238"/>
    <cellStyle name="Обычный" xfId="0" builtinId="0"/>
    <cellStyle name="Обычный 10" xfId="239"/>
    <cellStyle name="Обычный 10 2" xfId="240"/>
    <cellStyle name="Обычный 10 2 2" xfId="241"/>
    <cellStyle name="Обычный 10 2 2 2" xfId="242"/>
    <cellStyle name="Обычный 10 2 2 2 2" xfId="243"/>
    <cellStyle name="Обычный 10 2 2 3" xfId="244"/>
    <cellStyle name="Обычный 10 2 3" xfId="245"/>
    <cellStyle name="Обычный 10 2 3 2" xfId="246"/>
    <cellStyle name="Обычный 10 2 4" xfId="247"/>
    <cellStyle name="Обычный 10 3" xfId="248"/>
    <cellStyle name="Обычный 10 3 2" xfId="249"/>
    <cellStyle name="Обычный 10 3 2 2" xfId="250"/>
    <cellStyle name="Обычный 10 3 3" xfId="251"/>
    <cellStyle name="Обычный 10 4" xfId="252"/>
    <cellStyle name="Обычный 10 4 2" xfId="253"/>
    <cellStyle name="Обычный 10 5" xfId="254"/>
    <cellStyle name="Обычный 11" xfId="255"/>
    <cellStyle name="Обычный 11 2" xfId="256"/>
    <cellStyle name="Обычный 11 2 2" xfId="257"/>
    <cellStyle name="Обычный 11 2 2 2" xfId="258"/>
    <cellStyle name="Обычный 11 2 2 2 2" xfId="259"/>
    <cellStyle name="Обычный 11 2 2 2 2 2" xfId="260"/>
    <cellStyle name="Обычный 11 2 2 2 3" xfId="261"/>
    <cellStyle name="Обычный 11 2 2 3" xfId="262"/>
    <cellStyle name="Обычный 11 2 2 3 2" xfId="263"/>
    <cellStyle name="Обычный 11 2 2 4" xfId="264"/>
    <cellStyle name="Обычный 11 2 3" xfId="265"/>
    <cellStyle name="Обычный 11 2 3 2" xfId="266"/>
    <cellStyle name="Обычный 11 2 3 2 2" xfId="267"/>
    <cellStyle name="Обычный 11 2 3 3" xfId="268"/>
    <cellStyle name="Обычный 11 2 4" xfId="269"/>
    <cellStyle name="Обычный 11 2 4 2" xfId="270"/>
    <cellStyle name="Обычный 11 2 5" xfId="271"/>
    <cellStyle name="Обычный 11 3" xfId="272"/>
    <cellStyle name="Обычный 11 4" xfId="273"/>
    <cellStyle name="Обычный 11 4 2" xfId="274"/>
    <cellStyle name="Обычный 11 4 2 2" xfId="275"/>
    <cellStyle name="Обычный 11 4 2 2 2" xfId="276"/>
    <cellStyle name="Обычный 11 4 2 3" xfId="277"/>
    <cellStyle name="Обычный 11 4 3" xfId="278"/>
    <cellStyle name="Обычный 11 4 3 2" xfId="279"/>
    <cellStyle name="Обычный 11 4 4" xfId="280"/>
    <cellStyle name="Обычный 11 5" xfId="281"/>
    <cellStyle name="Обычный 11 5 2" xfId="282"/>
    <cellStyle name="Обычный 11 5 2 2" xfId="283"/>
    <cellStyle name="Обычный 11 5 3" xfId="284"/>
    <cellStyle name="Обычный 11 6" xfId="285"/>
    <cellStyle name="Обычный 11 6 2" xfId="286"/>
    <cellStyle name="Обычный 11 7" xfId="287"/>
    <cellStyle name="Обычный 12" xfId="288"/>
    <cellStyle name="Обычный 13" xfId="3"/>
    <cellStyle name="Обычный 14" xfId="289"/>
    <cellStyle name="Обычный 15" xfId="290"/>
    <cellStyle name="Обычный 15 2" xfId="291"/>
    <cellStyle name="Обычный 15 2 2" xfId="292"/>
    <cellStyle name="Обычный 15 2 2 2" xfId="293"/>
    <cellStyle name="Обычный 15 2 2 2 2" xfId="294"/>
    <cellStyle name="Обычный 15 2 2 3" xfId="295"/>
    <cellStyle name="Обычный 15 2 3" xfId="296"/>
    <cellStyle name="Обычный 15 2 3 2" xfId="297"/>
    <cellStyle name="Обычный 15 2 4" xfId="298"/>
    <cellStyle name="Обычный 15 3" xfId="299"/>
    <cellStyle name="Обычный 15 3 2" xfId="300"/>
    <cellStyle name="Обычный 15 3 2 2" xfId="301"/>
    <cellStyle name="Обычный 15 3 3" xfId="302"/>
    <cellStyle name="Обычный 15 4" xfId="303"/>
    <cellStyle name="Обычный 15 4 2" xfId="304"/>
    <cellStyle name="Обычный 15 5" xfId="305"/>
    <cellStyle name="Обычный 16" xfId="306"/>
    <cellStyle name="Обычный 16 2" xfId="307"/>
    <cellStyle name="Обычный 16 2 2" xfId="308"/>
    <cellStyle name="Обычный 16 2 2 2" xfId="309"/>
    <cellStyle name="Обычный 16 2 2 2 2" xfId="310"/>
    <cellStyle name="Обычный 16 2 2 3" xfId="311"/>
    <cellStyle name="Обычный 16 2 3" xfId="312"/>
    <cellStyle name="Обычный 16 2 3 2" xfId="313"/>
    <cellStyle name="Обычный 16 2 4" xfId="314"/>
    <cellStyle name="Обычный 16 3" xfId="315"/>
    <cellStyle name="Обычный 16 3 2" xfId="316"/>
    <cellStyle name="Обычный 16 3 2 2" xfId="317"/>
    <cellStyle name="Обычный 16 3 3" xfId="318"/>
    <cellStyle name="Обычный 16 4" xfId="319"/>
    <cellStyle name="Обычный 16 4 2" xfId="320"/>
    <cellStyle name="Обычный 16 5" xfId="321"/>
    <cellStyle name="Обычный 16 6 2" xfId="322"/>
    <cellStyle name="Обычный 16 6 2 2" xfId="323"/>
    <cellStyle name="Обычный 16 6 2 2 2" xfId="324"/>
    <cellStyle name="Обычный 16 6 2 2 2 2" xfId="325"/>
    <cellStyle name="Обычный 16 6 2 2 2 2 2" xfId="326"/>
    <cellStyle name="Обычный 16 6 2 2 2 3" xfId="327"/>
    <cellStyle name="Обычный 16 6 2 2 3" xfId="328"/>
    <cellStyle name="Обычный 16 6 2 2 3 2" xfId="329"/>
    <cellStyle name="Обычный 16 6 2 2 4" xfId="330"/>
    <cellStyle name="Обычный 16 6 2 3" xfId="331"/>
    <cellStyle name="Обычный 16 6 2 3 2" xfId="332"/>
    <cellStyle name="Обычный 16 6 2 3 2 2" xfId="333"/>
    <cellStyle name="Обычный 16 6 2 3 3" xfId="334"/>
    <cellStyle name="Обычный 16 6 2 3 4" xfId="335"/>
    <cellStyle name="Обычный 16 6 2 4" xfId="336"/>
    <cellStyle name="Обычный 16 6 2 4 2" xfId="337"/>
    <cellStyle name="Обычный 16 6 2 5" xfId="338"/>
    <cellStyle name="Обычный 17" xfId="339"/>
    <cellStyle name="Обычный 17 2" xfId="340"/>
    <cellStyle name="Обычный 17 2 2" xfId="341"/>
    <cellStyle name="Обычный 17 2 2 2" xfId="342"/>
    <cellStyle name="Обычный 17 2 2 2 2" xfId="343"/>
    <cellStyle name="Обычный 17 2 2 3" xfId="344"/>
    <cellStyle name="Обычный 17 2 3" xfId="345"/>
    <cellStyle name="Обычный 17 2 3 2" xfId="346"/>
    <cellStyle name="Обычный 17 2 4" xfId="347"/>
    <cellStyle name="Обычный 17 3" xfId="348"/>
    <cellStyle name="Обычный 17 3 2" xfId="349"/>
    <cellStyle name="Обычный 17 3 2 2" xfId="350"/>
    <cellStyle name="Обычный 17 3 3" xfId="351"/>
    <cellStyle name="Обычный 17 4" xfId="352"/>
    <cellStyle name="Обычный 17 4 2" xfId="353"/>
    <cellStyle name="Обычный 17 5" xfId="354"/>
    <cellStyle name="Обычный 17 6" xfId="355"/>
    <cellStyle name="Обычный 18" xfId="356"/>
    <cellStyle name="Обычный 18 2" xfId="357"/>
    <cellStyle name="Обычный 18 2 2" xfId="358"/>
    <cellStyle name="Обычный 18 2 2 2" xfId="359"/>
    <cellStyle name="Обычный 18 2 2 2 2" xfId="360"/>
    <cellStyle name="Обычный 18 2 2 3" xfId="361"/>
    <cellStyle name="Обычный 18 2 3" xfId="362"/>
    <cellStyle name="Обычный 18 2 3 2" xfId="363"/>
    <cellStyle name="Обычный 18 2 4" xfId="364"/>
    <cellStyle name="Обычный 18 3" xfId="365"/>
    <cellStyle name="Обычный 18 3 2" xfId="366"/>
    <cellStyle name="Обычный 18 3 2 2" xfId="367"/>
    <cellStyle name="Обычный 18 3 3" xfId="368"/>
    <cellStyle name="Обычный 18 4" xfId="369"/>
    <cellStyle name="Обычный 18 4 2" xfId="370"/>
    <cellStyle name="Обычный 18 5" xfId="371"/>
    <cellStyle name="Обычный 19" xfId="372"/>
    <cellStyle name="Обычный 19 2" xfId="373"/>
    <cellStyle name="Обычный 19 2 2" xfId="374"/>
    <cellStyle name="Обычный 19 2 2 2" xfId="375"/>
    <cellStyle name="Обычный 19 2 2 2 2" xfId="376"/>
    <cellStyle name="Обычный 19 2 2 3" xfId="377"/>
    <cellStyle name="Обычный 19 2 3" xfId="378"/>
    <cellStyle name="Обычный 19 2 3 2" xfId="379"/>
    <cellStyle name="Обычный 19 2 4" xfId="380"/>
    <cellStyle name="Обычный 19 3" xfId="381"/>
    <cellStyle name="Обычный 19 3 2" xfId="382"/>
    <cellStyle name="Обычный 19 3 2 2" xfId="383"/>
    <cellStyle name="Обычный 19 3 3" xfId="384"/>
    <cellStyle name="Обычный 19 4" xfId="385"/>
    <cellStyle name="Обычный 19 4 2" xfId="386"/>
    <cellStyle name="Обычный 19 5" xfId="387"/>
    <cellStyle name="Обычный 2" xfId="388"/>
    <cellStyle name="Обычный 2 2" xfId="1"/>
    <cellStyle name="Обычный 2 2 2" xfId="389"/>
    <cellStyle name="Обычный 2 2 2 2" xfId="390"/>
    <cellStyle name="Обычный 2 2 2 2 2" xfId="391"/>
    <cellStyle name="Обычный 2 2 2 2 2 2" xfId="392"/>
    <cellStyle name="Обычный 2 2 2 2 3" xfId="393"/>
    <cellStyle name="Обычный 2 2 2 3" xfId="394"/>
    <cellStyle name="Обычный 2 2 2 3 2" xfId="395"/>
    <cellStyle name="Обычный 2 2 2 4" xfId="396"/>
    <cellStyle name="Обычный 2 2 3" xfId="397"/>
    <cellStyle name="Обычный 2 2 3 2" xfId="398"/>
    <cellStyle name="Обычный 2 2 3 2 2" xfId="399"/>
    <cellStyle name="Обычный 2 2 3 3" xfId="400"/>
    <cellStyle name="Обычный 2 2 4" xfId="401"/>
    <cellStyle name="Обычный 2 2 4 2" xfId="402"/>
    <cellStyle name="Обычный 2 2 5" xfId="403"/>
    <cellStyle name="Обычный 2 2 6" xfId="404"/>
    <cellStyle name="Обычный 2 3" xfId="405"/>
    <cellStyle name="Обычный 2 3 2" xfId="406"/>
    <cellStyle name="Обычный 2 3 3" xfId="407"/>
    <cellStyle name="Обычный 2 3 3 2" xfId="408"/>
    <cellStyle name="Обычный 2 3 3 2 2" xfId="409"/>
    <cellStyle name="Обычный 2 3 3 2 2 2" xfId="410"/>
    <cellStyle name="Обычный 2 3 3 2 3" xfId="411"/>
    <cellStyle name="Обычный 2 3 3 3" xfId="412"/>
    <cellStyle name="Обычный 2 3 3 3 2" xfId="413"/>
    <cellStyle name="Обычный 2 3 3 4" xfId="414"/>
    <cellStyle name="Обычный 2 3 4" xfId="415"/>
    <cellStyle name="Обычный 2 3 4 2" xfId="416"/>
    <cellStyle name="Обычный 2 3 4 2 2" xfId="417"/>
    <cellStyle name="Обычный 2 3 4 3" xfId="418"/>
    <cellStyle name="Обычный 2 3 5" xfId="419"/>
    <cellStyle name="Обычный 2 3 5 2" xfId="420"/>
    <cellStyle name="Обычный 2 3 6" xfId="421"/>
    <cellStyle name="Обычный 2 4" xfId="422"/>
    <cellStyle name="Обычный 2 4 2" xfId="423"/>
    <cellStyle name="Обычный 2 4 2 2" xfId="424"/>
    <cellStyle name="Обычный 2 4 2 2 2" xfId="425"/>
    <cellStyle name="Обычный 2 4 2 2 2 2" xfId="426"/>
    <cellStyle name="Обычный 2 4 2 2 3" xfId="427"/>
    <cellStyle name="Обычный 2 4 2 3" xfId="428"/>
    <cellStyle name="Обычный 2 4 2 3 2" xfId="429"/>
    <cellStyle name="Обычный 2 4 2 4" xfId="430"/>
    <cellStyle name="Обычный 2 4 3" xfId="431"/>
    <cellStyle name="Обычный 2 4 3 2" xfId="432"/>
    <cellStyle name="Обычный 2 4 3 2 2" xfId="433"/>
    <cellStyle name="Обычный 2 4 3 3" xfId="434"/>
    <cellStyle name="Обычный 2 4 4" xfId="435"/>
    <cellStyle name="Обычный 2 4 4 2" xfId="436"/>
    <cellStyle name="Обычный 2 4 5" xfId="437"/>
    <cellStyle name="Обычный 2 5" xfId="438"/>
    <cellStyle name="Обычный 2 5 2" xfId="439"/>
    <cellStyle name="Обычный 2 5 2 2" xfId="440"/>
    <cellStyle name="Обычный 2 5 2 2 2" xfId="441"/>
    <cellStyle name="Обычный 2 5 2 2 2 2" xfId="442"/>
    <cellStyle name="Обычный 2 5 2 2 3" xfId="443"/>
    <cellStyle name="Обычный 2 5 2 3" xfId="444"/>
    <cellStyle name="Обычный 2 5 2 3 2" xfId="445"/>
    <cellStyle name="Обычный 2 5 2 4" xfId="446"/>
    <cellStyle name="Обычный 2 5 3" xfId="447"/>
    <cellStyle name="Обычный 2 5 3 2" xfId="448"/>
    <cellStyle name="Обычный 2 5 3 2 2" xfId="449"/>
    <cellStyle name="Обычный 2 5 3 3" xfId="450"/>
    <cellStyle name="Обычный 2 5 4" xfId="451"/>
    <cellStyle name="Обычный 2 5 4 2" xfId="452"/>
    <cellStyle name="Обычный 2 5 5" xfId="453"/>
    <cellStyle name="Обычный 2 6" xfId="454"/>
    <cellStyle name="Обычный 2 6 2" xfId="455"/>
    <cellStyle name="Обычный 2 6 2 2" xfId="456"/>
    <cellStyle name="Обычный 2 6 2 2 2" xfId="457"/>
    <cellStyle name="Обычный 2 6 2 2 2 2" xfId="458"/>
    <cellStyle name="Обычный 2 6 2 2 3" xfId="459"/>
    <cellStyle name="Обычный 2 6 2 3" xfId="460"/>
    <cellStyle name="Обычный 2 6 2 3 2" xfId="461"/>
    <cellStyle name="Обычный 2 6 2 4" xfId="462"/>
    <cellStyle name="Обычный 2 6 3" xfId="463"/>
    <cellStyle name="Обычный 2 6 3 2" xfId="464"/>
    <cellStyle name="Обычный 2 6 3 2 2" xfId="465"/>
    <cellStyle name="Обычный 2 6 3 3" xfId="466"/>
    <cellStyle name="Обычный 2 6 4" xfId="467"/>
    <cellStyle name="Обычный 2 6 4 2" xfId="468"/>
    <cellStyle name="Обычный 2 6 5" xfId="469"/>
    <cellStyle name="Обычный 2 7" xfId="470"/>
    <cellStyle name="Обычный 20" xfId="2"/>
    <cellStyle name="Обычный 20 2" xfId="471"/>
    <cellStyle name="Обычный 20 2 2" xfId="472"/>
    <cellStyle name="Обычный 20 2 2 2" xfId="473"/>
    <cellStyle name="Обычный 20 2 2 2 2" xfId="474"/>
    <cellStyle name="Обычный 20 2 2 3" xfId="475"/>
    <cellStyle name="Обычный 20 2 3" xfId="476"/>
    <cellStyle name="Обычный 20 2 3 2" xfId="477"/>
    <cellStyle name="Обычный 20 2 4" xfId="478"/>
    <cellStyle name="Обычный 20 3" xfId="479"/>
    <cellStyle name="Обычный 20 3 2" xfId="480"/>
    <cellStyle name="Обычный 20 3 2 2" xfId="481"/>
    <cellStyle name="Обычный 20 3 3" xfId="482"/>
    <cellStyle name="Обычный 20 4" xfId="483"/>
    <cellStyle name="Обычный 20 4 2" xfId="484"/>
    <cellStyle name="Обычный 20 5" xfId="485"/>
    <cellStyle name="Обычный 21" xfId="486"/>
    <cellStyle name="Обычный 21 2" xfId="487"/>
    <cellStyle name="Обычный 21 2 2" xfId="488"/>
    <cellStyle name="Обычный 21 2 2 2" xfId="489"/>
    <cellStyle name="Обычный 21 2 2 2 2" xfId="490"/>
    <cellStyle name="Обычный 21 2 2 3" xfId="491"/>
    <cellStyle name="Обычный 21 2 3" xfId="492"/>
    <cellStyle name="Обычный 21 2 3 2" xfId="493"/>
    <cellStyle name="Обычный 21 2 4" xfId="494"/>
    <cellStyle name="Обычный 21 3" xfId="495"/>
    <cellStyle name="Обычный 21 3 2" xfId="496"/>
    <cellStyle name="Обычный 21 3 2 2" xfId="497"/>
    <cellStyle name="Обычный 21 3 3" xfId="498"/>
    <cellStyle name="Обычный 21 4" xfId="499"/>
    <cellStyle name="Обычный 21 4 2" xfId="500"/>
    <cellStyle name="Обычный 21 5" xfId="501"/>
    <cellStyle name="Обычный 22" xfId="502"/>
    <cellStyle name="Обычный 22 2" xfId="503"/>
    <cellStyle name="Обычный 22 2 2" xfId="504"/>
    <cellStyle name="Обычный 22 2 2 2" xfId="505"/>
    <cellStyle name="Обычный 22 2 2 2 2" xfId="506"/>
    <cellStyle name="Обычный 22 2 2 3" xfId="507"/>
    <cellStyle name="Обычный 22 2 3" xfId="508"/>
    <cellStyle name="Обычный 22 2 3 2" xfId="509"/>
    <cellStyle name="Обычный 22 2 4" xfId="510"/>
    <cellStyle name="Обычный 22 3" xfId="511"/>
    <cellStyle name="Обычный 22 3 2" xfId="512"/>
    <cellStyle name="Обычный 22 3 2 2" xfId="513"/>
    <cellStyle name="Обычный 22 3 3" xfId="514"/>
    <cellStyle name="Обычный 22 4" xfId="515"/>
    <cellStyle name="Обычный 22 4 2" xfId="516"/>
    <cellStyle name="Обычный 22 5" xfId="517"/>
    <cellStyle name="Обычный 23" xfId="518"/>
    <cellStyle name="Обычный 23 2" xfId="519"/>
    <cellStyle name="Обычный 23 2 2" xfId="520"/>
    <cellStyle name="Обычный 23 2 2 2" xfId="521"/>
    <cellStyle name="Обычный 23 2 2 2 2" xfId="522"/>
    <cellStyle name="Обычный 23 2 2 3" xfId="523"/>
    <cellStyle name="Обычный 23 2 3" xfId="524"/>
    <cellStyle name="Обычный 23 2 3 2" xfId="525"/>
    <cellStyle name="Обычный 23 2 4" xfId="526"/>
    <cellStyle name="Обычный 23 3" xfId="527"/>
    <cellStyle name="Обычный 23 3 2" xfId="528"/>
    <cellStyle name="Обычный 23 3 2 2" xfId="529"/>
    <cellStyle name="Обычный 23 3 3" xfId="530"/>
    <cellStyle name="Обычный 23 4" xfId="531"/>
    <cellStyle name="Обычный 23 4 2" xfId="532"/>
    <cellStyle name="Обычный 23 5" xfId="533"/>
    <cellStyle name="Обычный 24" xfId="534"/>
    <cellStyle name="Обычный 25" xfId="535"/>
    <cellStyle name="Обычный 25 2" xfId="536"/>
    <cellStyle name="Обычный 25 2 2" xfId="537"/>
    <cellStyle name="Обычный 25 2 2 2" xfId="538"/>
    <cellStyle name="Обычный 25 2 2 2 2" xfId="539"/>
    <cellStyle name="Обычный 25 2 2 3" xfId="540"/>
    <cellStyle name="Обычный 25 2 3" xfId="541"/>
    <cellStyle name="Обычный 25 2 3 2" xfId="542"/>
    <cellStyle name="Обычный 25 2 4" xfId="543"/>
    <cellStyle name="Обычный 25 3" xfId="544"/>
    <cellStyle name="Обычный 25 3 2" xfId="545"/>
    <cellStyle name="Обычный 25 3 2 2" xfId="546"/>
    <cellStyle name="Обычный 25 3 3" xfId="547"/>
    <cellStyle name="Обычный 25 4" xfId="548"/>
    <cellStyle name="Обычный 25 4 2" xfId="549"/>
    <cellStyle name="Обычный 25 5" xfId="550"/>
    <cellStyle name="Обычный 26" xfId="551"/>
    <cellStyle name="Обычный 26 2" xfId="552"/>
    <cellStyle name="Обычный 27" xfId="553"/>
    <cellStyle name="Обычный 27 2" xfId="554"/>
    <cellStyle name="Обычный 28" xfId="555"/>
    <cellStyle name="Обычный 28 2" xfId="556"/>
    <cellStyle name="Обычный 29" xfId="557"/>
    <cellStyle name="Обычный 29 2" xfId="558"/>
    <cellStyle name="Обычный 3" xfId="559"/>
    <cellStyle name="Обычный 3 2" xfId="560"/>
    <cellStyle name="Обычный 3 3" xfId="663"/>
    <cellStyle name="Обычный 30" xfId="561"/>
    <cellStyle name="Обычный 30 2" xfId="562"/>
    <cellStyle name="Обычный 31" xfId="563"/>
    <cellStyle name="Обычный 32" xfId="564"/>
    <cellStyle name="Обычный 4" xfId="565"/>
    <cellStyle name="Обычный 4 2" xfId="566"/>
    <cellStyle name="Обычный 4 3" xfId="567"/>
    <cellStyle name="Обычный 4 3 2" xfId="568"/>
    <cellStyle name="Обычный 4 3 2 2" xfId="569"/>
    <cellStyle name="Обычный 4 3 2 2 2" xfId="570"/>
    <cellStyle name="Обычный 4 3 2 2 2 2" xfId="571"/>
    <cellStyle name="Обычный 4 3 2 2 2 2 2" xfId="572"/>
    <cellStyle name="Обычный 4 3 2 2 2 2 2 2" xfId="573"/>
    <cellStyle name="Обычный 4 3 2 2 2 2 3" xfId="574"/>
    <cellStyle name="Обычный 4 3 2 2 2 3" xfId="575"/>
    <cellStyle name="Обычный 4 3 2 2 2 3 2" xfId="576"/>
    <cellStyle name="Обычный 4 3 2 2 2 4" xfId="577"/>
    <cellStyle name="Обычный 4 3 2 2 3" xfId="578"/>
    <cellStyle name="Обычный 4 3 2 2 3 2" xfId="579"/>
    <cellStyle name="Обычный 4 3 2 2 3 2 2" xfId="580"/>
    <cellStyle name="Обычный 4 3 2 2 3 3" xfId="581"/>
    <cellStyle name="Обычный 4 3 2 2 4" xfId="582"/>
    <cellStyle name="Обычный 4 3 2 2 4 2" xfId="583"/>
    <cellStyle name="Обычный 4 3 2 2 5" xfId="584"/>
    <cellStyle name="Обычный 4 3 2 2 5 2" xfId="585"/>
    <cellStyle name="Обычный 4 3 2 2 6" xfId="586"/>
    <cellStyle name="Обычный 4 3 2 3" xfId="587"/>
    <cellStyle name="Обычный 4 3 2 3 2" xfId="588"/>
    <cellStyle name="Обычный 4 3 2 3 2 2" xfId="589"/>
    <cellStyle name="Обычный 4 3 2 3 2 2 2" xfId="590"/>
    <cellStyle name="Обычный 4 3 2 3 2 3" xfId="591"/>
    <cellStyle name="Обычный 4 3 2 3 3" xfId="592"/>
    <cellStyle name="Обычный 4 3 2 3 3 2" xfId="593"/>
    <cellStyle name="Обычный 4 3 2 3 4" xfId="594"/>
    <cellStyle name="Обычный 4 3 2 4" xfId="595"/>
    <cellStyle name="Обычный 4 3 2 4 2" xfId="596"/>
    <cellStyle name="Обычный 4 3 2 4 2 2" xfId="597"/>
    <cellStyle name="Обычный 4 3 2 4 3" xfId="598"/>
    <cellStyle name="Обычный 4 3 2 5" xfId="599"/>
    <cellStyle name="Обычный 4 3 2 5 2" xfId="600"/>
    <cellStyle name="Обычный 4 3 2 6" xfId="601"/>
    <cellStyle name="Обычный 4 3 3" xfId="602"/>
    <cellStyle name="Обычный 4 3 3 2" xfId="603"/>
    <cellStyle name="Обычный 4 3 3 2 2" xfId="604"/>
    <cellStyle name="Обычный 4 3 3 2 2 2" xfId="605"/>
    <cellStyle name="Обычный 4 3 3 2 3" xfId="606"/>
    <cellStyle name="Обычный 4 3 3 3" xfId="607"/>
    <cellStyle name="Обычный 4 3 3 3 2" xfId="608"/>
    <cellStyle name="Обычный 4 3 3 4" xfId="609"/>
    <cellStyle name="Обычный 4 3 4" xfId="610"/>
    <cellStyle name="Обычный 4 3 4 2" xfId="611"/>
    <cellStyle name="Обычный 4 3 4 2 2" xfId="612"/>
    <cellStyle name="Обычный 4 3 4 3" xfId="613"/>
    <cellStyle name="Обычный 4 3 5" xfId="614"/>
    <cellStyle name="Обычный 4 3 5 2" xfId="615"/>
    <cellStyle name="Обычный 4 3 6" xfId="616"/>
    <cellStyle name="Обычный 5" xfId="617"/>
    <cellStyle name="Обычный 5 2" xfId="618"/>
    <cellStyle name="Обычный 6" xfId="619"/>
    <cellStyle name="Обычный 7" xfId="620"/>
    <cellStyle name="Обычный 7 2" xfId="621"/>
    <cellStyle name="Обычный 7 2 2" xfId="622"/>
    <cellStyle name="Обычный 7 2 2 2" xfId="623"/>
    <cellStyle name="Обычный 7 2 2 2 2" xfId="624"/>
    <cellStyle name="Обычный 7 2 2 2 2 2" xfId="625"/>
    <cellStyle name="Обычный 7 2 2 2 3" xfId="626"/>
    <cellStyle name="Обычный 7 2 2 3" xfId="627"/>
    <cellStyle name="Обычный 7 2 2 3 2" xfId="628"/>
    <cellStyle name="Обычный 7 2 2 4" xfId="629"/>
    <cellStyle name="Обычный 7 2 3" xfId="630"/>
    <cellStyle name="Обычный 7 2 3 2" xfId="631"/>
    <cellStyle name="Обычный 7 2 3 2 2" xfId="632"/>
    <cellStyle name="Обычный 7 2 3 3" xfId="633"/>
    <cellStyle name="Обычный 7 2 4" xfId="634"/>
    <cellStyle name="Обычный 7 2 4 2" xfId="635"/>
    <cellStyle name="Обычный 7 2 5" xfId="636"/>
    <cellStyle name="Обычный 7 3" xfId="637"/>
    <cellStyle name="Обычный 8" xfId="638"/>
    <cellStyle name="Обычный 8 2" xfId="639"/>
    <cellStyle name="Обычный 9" xfId="640"/>
    <cellStyle name="Обычный 9 2" xfId="641"/>
    <cellStyle name="Плохой 2" xfId="642"/>
    <cellStyle name="Пояснение 2" xfId="643"/>
    <cellStyle name="Примечание 2" xfId="644"/>
    <cellStyle name="Процентный 2" xfId="645"/>
    <cellStyle name="Процентный 2 2" xfId="646"/>
    <cellStyle name="Процентный 3" xfId="647"/>
    <cellStyle name="Процентный 3 2" xfId="648"/>
    <cellStyle name="Процентный 3 3" xfId="649"/>
    <cellStyle name="Процентный 4" xfId="650"/>
    <cellStyle name="Процентный 5" xfId="651"/>
    <cellStyle name="Процентный 6" xfId="652"/>
    <cellStyle name="Связанная ячейка 2" xfId="653"/>
    <cellStyle name="Стиль 1" xfId="654"/>
    <cellStyle name="Текст предупреждения 2" xfId="655"/>
    <cellStyle name="Финансовый 2" xfId="656"/>
    <cellStyle name="Финансовый 3" xfId="657"/>
    <cellStyle name="Финансовый 4" xfId="658"/>
    <cellStyle name="Финансовый 5" xfId="659"/>
    <cellStyle name="Финансовый 5 2" xfId="660"/>
    <cellStyle name="Финансовый 6" xfId="661"/>
    <cellStyle name="Хороший 2" xfId="6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80;&#1085;&#1072;&#1085;&#1089;&#1086;&#1074;&#1086;&#1077;%20&#1091;&#1087;&#1088;&#1072;&#1074;&#1083;&#1077;&#1085;&#1080;&#1077;/&#1041;&#1102;&#1076;&#1078;&#1077;&#1090;%20&#1085;&#1072;%202024-2026%20&#1075;&#1086;&#1076;&#1099;/&#1087;&#1088;&#1077;&#1076;&#1083;&#1086;&#1078;&#1077;&#1085;&#1080;&#1103;%20&#1074;%20&#1088;&#1072;&#1073;&#1086;&#1095;&#1091;&#1102;%20&#1075;&#1088;&#1091;&#1087;&#1087;&#1091;%20&#1082;&#1086;%20&#1074;&#1090;&#1086;&#1088;&#1086;&#1084;&#1091;%20&#1095;&#1090;&#1077;&#1085;&#1080;&#1102;/&#1055;&#1088;&#1080;&#1083;&#1086;&#1078;&#1077;&#1085;&#1080;&#1077;%204%20&#1082;&#1086;%202%20&#1095;&#1090;&#1077;&#1085;&#1080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 приложений"/>
      <sheetName val="Приложение к ПЗ"/>
      <sheetName val="Приложение 1"/>
      <sheetName val="Приложение 2"/>
      <sheetName val="Приложение 3"/>
      <sheetName val="Приложение 5"/>
      <sheetName val="Приложение 6"/>
      <sheetName val="Приложение 7"/>
      <sheetName val="Справочно 1"/>
      <sheetName val="Справочно 3"/>
    </sheetNames>
    <sheetDataSet>
      <sheetData sheetId="0"/>
      <sheetData sheetId="1"/>
      <sheetData sheetId="2"/>
      <sheetData sheetId="3">
        <row r="218">
          <cell r="F218">
            <v>39572.673840000003</v>
          </cell>
          <cell r="G218">
            <v>47403.956680000003</v>
          </cell>
        </row>
        <row r="219">
          <cell r="F219">
            <v>2082.7723099999998</v>
          </cell>
          <cell r="G219">
            <v>2494.9450700000002</v>
          </cell>
        </row>
        <row r="220">
          <cell r="F220">
            <v>209.32384999999999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D10" sqref="D10"/>
    </sheetView>
  </sheetViews>
  <sheetFormatPr defaultColWidth="9.140625" defaultRowHeight="15" x14ac:dyDescent="0.25"/>
  <cols>
    <col min="1" max="1" width="17.28515625" style="180" customWidth="1"/>
    <col min="2" max="2" width="64.5703125" style="180" customWidth="1"/>
    <col min="3" max="16384" width="9.140625" style="180"/>
  </cols>
  <sheetData>
    <row r="1" spans="1:2" ht="61.15" customHeight="1" x14ac:dyDescent="0.25">
      <c r="A1" s="306" t="s">
        <v>786</v>
      </c>
      <c r="B1" s="306"/>
    </row>
    <row r="3" spans="1:2" ht="60" x14ac:dyDescent="0.25">
      <c r="A3" s="242" t="s">
        <v>473</v>
      </c>
      <c r="B3" s="243" t="s">
        <v>787</v>
      </c>
    </row>
    <row r="4" spans="1:2" ht="45" x14ac:dyDescent="0.25">
      <c r="A4" s="242" t="s">
        <v>778</v>
      </c>
      <c r="B4" s="243" t="s">
        <v>665</v>
      </c>
    </row>
    <row r="5" spans="1:2" ht="30" x14ac:dyDescent="0.25">
      <c r="A5" s="242" t="s">
        <v>730</v>
      </c>
      <c r="B5" s="243" t="s">
        <v>788</v>
      </c>
    </row>
    <row r="6" spans="1:2" ht="45" x14ac:dyDescent="0.25">
      <c r="A6" s="245" t="s">
        <v>732</v>
      </c>
      <c r="B6" s="243" t="s">
        <v>789</v>
      </c>
    </row>
    <row r="7" spans="1:2" ht="45" x14ac:dyDescent="0.25">
      <c r="A7" s="245" t="s">
        <v>719</v>
      </c>
      <c r="B7" s="243" t="s">
        <v>790</v>
      </c>
    </row>
    <row r="8" spans="1:2" ht="45" x14ac:dyDescent="0.25">
      <c r="A8" s="242" t="s">
        <v>774</v>
      </c>
      <c r="B8" s="243" t="s">
        <v>791</v>
      </c>
    </row>
    <row r="9" spans="1:2" ht="45" x14ac:dyDescent="0.25">
      <c r="A9" s="242" t="s">
        <v>775</v>
      </c>
      <c r="B9" s="243" t="s">
        <v>792</v>
      </c>
    </row>
    <row r="10" spans="1:2" ht="30" x14ac:dyDescent="0.25">
      <c r="A10" s="242" t="s">
        <v>785</v>
      </c>
      <c r="B10" s="241" t="s">
        <v>784</v>
      </c>
    </row>
    <row r="11" spans="1:2" x14ac:dyDescent="0.25">
      <c r="A11" s="244" t="s">
        <v>783</v>
      </c>
      <c r="B11" s="241" t="s">
        <v>782</v>
      </c>
    </row>
    <row r="12" spans="1:2" ht="30" x14ac:dyDescent="0.25">
      <c r="A12" s="242" t="s">
        <v>781</v>
      </c>
      <c r="B12" s="243" t="s">
        <v>776</v>
      </c>
    </row>
    <row r="13" spans="1:2" ht="30" x14ac:dyDescent="0.25">
      <c r="A13" s="242" t="s">
        <v>780</v>
      </c>
      <c r="B13" s="241" t="s">
        <v>779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0"/>
  <sheetViews>
    <sheetView view="pageBreakPreview" topLeftCell="A543" zoomScale="85" zoomScaleSheetLayoutView="85" workbookViewId="0">
      <selection activeCell="P11" sqref="P11"/>
    </sheetView>
  </sheetViews>
  <sheetFormatPr defaultColWidth="9.140625" defaultRowHeight="15" x14ac:dyDescent="0.25"/>
  <cols>
    <col min="1" max="1" width="14.42578125" style="25" customWidth="1"/>
    <col min="2" max="2" width="8.85546875" style="25" customWidth="1"/>
    <col min="3" max="3" width="62.140625" style="25" customWidth="1"/>
    <col min="4" max="4" width="0.140625" style="25" hidden="1" customWidth="1"/>
    <col min="5" max="5" width="15.42578125" style="25" hidden="1" customWidth="1"/>
    <col min="6" max="6" width="15.28515625" style="25" customWidth="1"/>
    <col min="7" max="7" width="0.140625" style="25" hidden="1" customWidth="1"/>
    <col min="8" max="8" width="15.42578125" style="25" hidden="1" customWidth="1"/>
    <col min="9" max="9" width="15.42578125" style="25" customWidth="1"/>
    <col min="10" max="11" width="15.42578125" style="25" hidden="1" customWidth="1"/>
    <col min="12" max="12" width="15.42578125" style="25" customWidth="1"/>
    <col min="13" max="16384" width="9.140625" style="25"/>
  </cols>
  <sheetData>
    <row r="1" spans="1:12" ht="15.75" x14ac:dyDescent="0.25">
      <c r="E1" s="293"/>
      <c r="F1" s="307" t="s">
        <v>473</v>
      </c>
      <c r="G1" s="307"/>
      <c r="H1" s="307"/>
      <c r="I1" s="307"/>
      <c r="J1" s="307"/>
      <c r="K1" s="307"/>
      <c r="L1" s="307"/>
    </row>
    <row r="2" spans="1:12" ht="15.75" x14ac:dyDescent="0.25">
      <c r="E2" s="293"/>
      <c r="F2" s="307" t="s">
        <v>474</v>
      </c>
      <c r="G2" s="307"/>
      <c r="H2" s="307"/>
      <c r="I2" s="307"/>
      <c r="J2" s="307"/>
      <c r="K2" s="307"/>
      <c r="L2" s="307"/>
    </row>
    <row r="3" spans="1:12" ht="15.75" x14ac:dyDescent="0.25">
      <c r="E3" s="293"/>
      <c r="F3" s="307" t="s">
        <v>734</v>
      </c>
      <c r="G3" s="307"/>
      <c r="H3" s="307"/>
      <c r="I3" s="307"/>
      <c r="J3" s="307"/>
      <c r="K3" s="307"/>
      <c r="L3" s="307"/>
    </row>
    <row r="4" spans="1:12" ht="15.75" x14ac:dyDescent="0.25">
      <c r="E4" s="293"/>
      <c r="F4" s="307" t="s">
        <v>773</v>
      </c>
      <c r="G4" s="307"/>
      <c r="H4" s="307"/>
      <c r="I4" s="307"/>
      <c r="J4" s="307"/>
      <c r="K4" s="307"/>
      <c r="L4" s="307"/>
    </row>
    <row r="5" spans="1:12" ht="15.75" x14ac:dyDescent="0.25">
      <c r="D5" s="296"/>
      <c r="E5" s="296"/>
      <c r="F5" s="307" t="s">
        <v>920</v>
      </c>
      <c r="G5" s="307"/>
      <c r="H5" s="307"/>
      <c r="I5" s="307"/>
      <c r="J5" s="307"/>
      <c r="K5" s="307"/>
      <c r="L5" s="307"/>
    </row>
    <row r="7" spans="1:12" ht="30" customHeight="1" x14ac:dyDescent="0.25">
      <c r="A7" s="308" t="s">
        <v>777</v>
      </c>
      <c r="B7" s="308"/>
      <c r="C7" s="308"/>
      <c r="D7" s="308"/>
      <c r="E7" s="308"/>
      <c r="F7" s="308"/>
      <c r="G7" s="308"/>
      <c r="H7" s="308"/>
      <c r="I7" s="308"/>
      <c r="J7" s="308"/>
      <c r="K7" s="297"/>
      <c r="L7" s="297"/>
    </row>
    <row r="8" spans="1:12" x14ac:dyDescent="0.25">
      <c r="A8" s="246"/>
      <c r="B8" s="246"/>
      <c r="C8" s="246"/>
      <c r="D8" s="246"/>
      <c r="E8" s="246"/>
      <c r="F8" s="246"/>
      <c r="G8" s="246"/>
      <c r="H8" s="246"/>
      <c r="I8" s="246"/>
      <c r="J8" s="247"/>
      <c r="K8" s="247"/>
      <c r="L8" s="247" t="s">
        <v>717</v>
      </c>
    </row>
    <row r="9" spans="1:12" ht="43.9" customHeight="1" x14ac:dyDescent="0.25">
      <c r="A9" s="87" t="s">
        <v>0</v>
      </c>
      <c r="B9" s="87" t="s">
        <v>1</v>
      </c>
      <c r="C9" s="87" t="s">
        <v>2</v>
      </c>
      <c r="D9" s="87" t="s">
        <v>840</v>
      </c>
      <c r="E9" s="87" t="s">
        <v>487</v>
      </c>
      <c r="F9" s="87" t="s">
        <v>3</v>
      </c>
      <c r="G9" s="87" t="s">
        <v>841</v>
      </c>
      <c r="H9" s="87" t="s">
        <v>487</v>
      </c>
      <c r="I9" s="87" t="s">
        <v>4</v>
      </c>
      <c r="J9" s="87" t="s">
        <v>842</v>
      </c>
      <c r="K9" s="87" t="s">
        <v>487</v>
      </c>
      <c r="L9" s="87">
        <v>2026</v>
      </c>
    </row>
    <row r="10" spans="1:12" ht="24.75" x14ac:dyDescent="0.25">
      <c r="A10" s="27" t="s">
        <v>5</v>
      </c>
      <c r="B10" s="27"/>
      <c r="C10" s="28" t="s">
        <v>6</v>
      </c>
      <c r="D10" s="74">
        <f t="shared" ref="D10:L10" si="0">D11+D62+D180+D197+D214+D234+D292+D309+D327+D347+D413+D476+D498+D504+D461</f>
        <v>956033.26711999986</v>
      </c>
      <c r="E10" s="74">
        <f t="shared" si="0"/>
        <v>4392.5883800000001</v>
      </c>
      <c r="F10" s="74">
        <f t="shared" si="0"/>
        <v>960425.85550000006</v>
      </c>
      <c r="G10" s="74">
        <f t="shared" si="0"/>
        <v>874233.44755000004</v>
      </c>
      <c r="H10" s="74">
        <f t="shared" si="0"/>
        <v>-1850.7667399999991</v>
      </c>
      <c r="I10" s="74">
        <f t="shared" si="0"/>
        <v>872382.68080999993</v>
      </c>
      <c r="J10" s="74">
        <f t="shared" si="0"/>
        <v>792093.57755999989</v>
      </c>
      <c r="K10" s="74">
        <f t="shared" si="0"/>
        <v>3707.7204000000002</v>
      </c>
      <c r="L10" s="74">
        <f t="shared" si="0"/>
        <v>795801.29795999988</v>
      </c>
    </row>
    <row r="11" spans="1:12" ht="26.25" x14ac:dyDescent="0.25">
      <c r="A11" s="29" t="s">
        <v>7</v>
      </c>
      <c r="B11" s="29"/>
      <c r="C11" s="30" t="s">
        <v>525</v>
      </c>
      <c r="D11" s="72">
        <f t="shared" ref="D11:L11" si="1">D12+D21+D30+D56</f>
        <v>78976.799999999988</v>
      </c>
      <c r="E11" s="72">
        <f t="shared" si="1"/>
        <v>744.7</v>
      </c>
      <c r="F11" s="72">
        <f t="shared" si="1"/>
        <v>79721.499999999985</v>
      </c>
      <c r="G11" s="72">
        <f t="shared" si="1"/>
        <v>81039.8</v>
      </c>
      <c r="H11" s="72">
        <f t="shared" si="1"/>
        <v>0</v>
      </c>
      <c r="I11" s="72">
        <f t="shared" si="1"/>
        <v>81039.8</v>
      </c>
      <c r="J11" s="72">
        <f t="shared" si="1"/>
        <v>79371.600000000006</v>
      </c>
      <c r="K11" s="72">
        <f t="shared" si="1"/>
        <v>0</v>
      </c>
      <c r="L11" s="72">
        <f t="shared" si="1"/>
        <v>79371.600000000006</v>
      </c>
    </row>
    <row r="12" spans="1:12" ht="26.25" x14ac:dyDescent="0.25">
      <c r="A12" s="31" t="s">
        <v>9</v>
      </c>
      <c r="B12" s="31"/>
      <c r="C12" s="32" t="s">
        <v>10</v>
      </c>
      <c r="D12" s="75">
        <f>D13+D16</f>
        <v>908.7</v>
      </c>
      <c r="E12" s="75"/>
      <c r="F12" s="75">
        <f>F13+F16</f>
        <v>908.7</v>
      </c>
      <c r="G12" s="75">
        <f>G13+G16</f>
        <v>1058.5000000000002</v>
      </c>
      <c r="H12" s="75"/>
      <c r="I12" s="75">
        <f>I13+I16</f>
        <v>1058.5000000000002</v>
      </c>
      <c r="J12" s="75">
        <f>J13+J16</f>
        <v>56</v>
      </c>
      <c r="K12" s="75"/>
      <c r="L12" s="75">
        <f>L13+L16</f>
        <v>56</v>
      </c>
    </row>
    <row r="13" spans="1:12" ht="26.25" x14ac:dyDescent="0.25">
      <c r="A13" s="33" t="s">
        <v>11</v>
      </c>
      <c r="B13" s="33"/>
      <c r="C13" s="34" t="s">
        <v>12</v>
      </c>
      <c r="D13" s="71">
        <f t="shared" ref="D13:J14" si="2">D14</f>
        <v>810.7</v>
      </c>
      <c r="E13" s="71"/>
      <c r="F13" s="71">
        <f t="shared" si="2"/>
        <v>810.7</v>
      </c>
      <c r="G13" s="71">
        <f t="shared" si="2"/>
        <v>960.50000000000023</v>
      </c>
      <c r="H13" s="71"/>
      <c r="I13" s="71">
        <f t="shared" si="2"/>
        <v>960.50000000000023</v>
      </c>
      <c r="J13" s="71">
        <f t="shared" si="2"/>
        <v>0</v>
      </c>
      <c r="K13" s="71"/>
      <c r="L13" s="71">
        <f>L14</f>
        <v>0</v>
      </c>
    </row>
    <row r="14" spans="1:12" ht="51.75" x14ac:dyDescent="0.25">
      <c r="A14" s="6" t="s">
        <v>13</v>
      </c>
      <c r="B14" s="12"/>
      <c r="C14" s="3" t="s">
        <v>526</v>
      </c>
      <c r="D14" s="70">
        <f t="shared" si="2"/>
        <v>810.7</v>
      </c>
      <c r="E14" s="70"/>
      <c r="F14" s="70">
        <f t="shared" si="2"/>
        <v>810.7</v>
      </c>
      <c r="G14" s="70">
        <f t="shared" si="2"/>
        <v>960.50000000000023</v>
      </c>
      <c r="H14" s="70"/>
      <c r="I14" s="70">
        <f t="shared" si="2"/>
        <v>960.50000000000023</v>
      </c>
      <c r="J14" s="70">
        <f t="shared" si="2"/>
        <v>0</v>
      </c>
      <c r="K14" s="70"/>
      <c r="L14" s="70">
        <f>L15</f>
        <v>0</v>
      </c>
    </row>
    <row r="15" spans="1:12" ht="26.25" x14ac:dyDescent="0.25">
      <c r="A15" s="6"/>
      <c r="B15" s="6" t="s">
        <v>280</v>
      </c>
      <c r="C15" s="3" t="s">
        <v>281</v>
      </c>
      <c r="D15" s="70">
        <v>810.7</v>
      </c>
      <c r="E15" s="70"/>
      <c r="F15" s="70">
        <f>D15+E15</f>
        <v>810.7</v>
      </c>
      <c r="G15" s="70">
        <f>2639.3-1678.8</f>
        <v>960.50000000000023</v>
      </c>
      <c r="H15" s="70"/>
      <c r="I15" s="70">
        <f>2639.3-1678.8</f>
        <v>960.50000000000023</v>
      </c>
      <c r="J15" s="70">
        <v>0</v>
      </c>
      <c r="K15" s="70"/>
      <c r="L15" s="70">
        <v>0</v>
      </c>
    </row>
    <row r="16" spans="1:12" ht="39" x14ac:dyDescent="0.25">
      <c r="A16" s="33" t="s">
        <v>15</v>
      </c>
      <c r="B16" s="33"/>
      <c r="C16" s="34" t="s">
        <v>527</v>
      </c>
      <c r="D16" s="78">
        <f>D17+D19</f>
        <v>98</v>
      </c>
      <c r="E16" s="78"/>
      <c r="F16" s="78">
        <f>F17+F19</f>
        <v>98</v>
      </c>
      <c r="G16" s="78">
        <f>G17+G19</f>
        <v>98</v>
      </c>
      <c r="H16" s="78"/>
      <c r="I16" s="78">
        <f>I17+I19</f>
        <v>98</v>
      </c>
      <c r="J16" s="78">
        <f>J17+J19</f>
        <v>56</v>
      </c>
      <c r="K16" s="78"/>
      <c r="L16" s="78">
        <f>L17+L19</f>
        <v>56</v>
      </c>
    </row>
    <row r="17" spans="1:12" ht="26.25" x14ac:dyDescent="0.25">
      <c r="A17" s="6" t="s">
        <v>17</v>
      </c>
      <c r="B17" s="6"/>
      <c r="C17" s="3" t="s">
        <v>430</v>
      </c>
      <c r="D17" s="70">
        <f>D18</f>
        <v>56</v>
      </c>
      <c r="E17" s="70"/>
      <c r="F17" s="70">
        <f>F18</f>
        <v>56</v>
      </c>
      <c r="G17" s="70">
        <f>G18</f>
        <v>56</v>
      </c>
      <c r="H17" s="70"/>
      <c r="I17" s="70">
        <f>I18</f>
        <v>56</v>
      </c>
      <c r="J17" s="70">
        <f>J18</f>
        <v>56</v>
      </c>
      <c r="K17" s="70"/>
      <c r="L17" s="70">
        <f>L18</f>
        <v>56</v>
      </c>
    </row>
    <row r="18" spans="1:12" ht="26.25" x14ac:dyDescent="0.25">
      <c r="A18" s="6"/>
      <c r="B18" s="6" t="s">
        <v>280</v>
      </c>
      <c r="C18" s="3" t="s">
        <v>281</v>
      </c>
      <c r="D18" s="70">
        <v>56</v>
      </c>
      <c r="E18" s="70"/>
      <c r="F18" s="70">
        <v>56</v>
      </c>
      <c r="G18" s="70">
        <v>56</v>
      </c>
      <c r="H18" s="70"/>
      <c r="I18" s="70">
        <v>56</v>
      </c>
      <c r="J18" s="70">
        <v>56</v>
      </c>
      <c r="K18" s="70"/>
      <c r="L18" s="70">
        <v>56</v>
      </c>
    </row>
    <row r="19" spans="1:12" ht="39" x14ac:dyDescent="0.25">
      <c r="A19" s="6" t="s">
        <v>18</v>
      </c>
      <c r="B19" s="6"/>
      <c r="C19" s="8" t="s">
        <v>528</v>
      </c>
      <c r="D19" s="70">
        <f>D20</f>
        <v>42</v>
      </c>
      <c r="E19" s="70"/>
      <c r="F19" s="70">
        <f>F20</f>
        <v>42</v>
      </c>
      <c r="G19" s="70">
        <f>G20</f>
        <v>42</v>
      </c>
      <c r="H19" s="70"/>
      <c r="I19" s="70">
        <f>I20</f>
        <v>42</v>
      </c>
      <c r="J19" s="70">
        <f>J20</f>
        <v>0</v>
      </c>
      <c r="K19" s="70"/>
      <c r="L19" s="70">
        <f>L20</f>
        <v>0</v>
      </c>
    </row>
    <row r="20" spans="1:12" ht="26.25" x14ac:dyDescent="0.25">
      <c r="A20" s="6"/>
      <c r="B20" s="6" t="s">
        <v>280</v>
      </c>
      <c r="C20" s="3" t="s">
        <v>281</v>
      </c>
      <c r="D20" s="70">
        <v>42</v>
      </c>
      <c r="E20" s="70"/>
      <c r="F20" s="70">
        <v>42</v>
      </c>
      <c r="G20" s="70">
        <v>42</v>
      </c>
      <c r="H20" s="70"/>
      <c r="I20" s="70">
        <v>42</v>
      </c>
      <c r="J20" s="70">
        <v>0</v>
      </c>
      <c r="K20" s="70"/>
      <c r="L20" s="70">
        <v>0</v>
      </c>
    </row>
    <row r="21" spans="1:12" ht="39" x14ac:dyDescent="0.25">
      <c r="A21" s="31" t="s">
        <v>20</v>
      </c>
      <c r="B21" s="31"/>
      <c r="C21" s="35" t="s">
        <v>21</v>
      </c>
      <c r="D21" s="75">
        <f>D22</f>
        <v>73753.899999999994</v>
      </c>
      <c r="E21" s="75">
        <f>E22</f>
        <v>744.7</v>
      </c>
      <c r="F21" s="75">
        <f t="shared" ref="F21:J21" si="3">F22</f>
        <v>74498.599999999991</v>
      </c>
      <c r="G21" s="75">
        <f t="shared" si="3"/>
        <v>75524.3</v>
      </c>
      <c r="H21" s="75"/>
      <c r="I21" s="75">
        <f t="shared" si="3"/>
        <v>75524.3</v>
      </c>
      <c r="J21" s="75">
        <f t="shared" si="3"/>
        <v>74907.3</v>
      </c>
      <c r="K21" s="75"/>
      <c r="L21" s="75">
        <f>L22</f>
        <v>74907.3</v>
      </c>
    </row>
    <row r="22" spans="1:12" ht="39" x14ac:dyDescent="0.25">
      <c r="A22" s="33" t="s">
        <v>22</v>
      </c>
      <c r="B22" s="33"/>
      <c r="C22" s="34" t="s">
        <v>23</v>
      </c>
      <c r="D22" s="71">
        <f>D23+D25+D28</f>
        <v>73753.899999999994</v>
      </c>
      <c r="E22" s="71">
        <f>E23+E25+E28</f>
        <v>744.7</v>
      </c>
      <c r="F22" s="71">
        <f t="shared" ref="F22:L22" si="4">F23+F25+F28</f>
        <v>74498.599999999991</v>
      </c>
      <c r="G22" s="71">
        <f t="shared" si="4"/>
        <v>75524.3</v>
      </c>
      <c r="H22" s="71"/>
      <c r="I22" s="71">
        <f t="shared" si="4"/>
        <v>75524.3</v>
      </c>
      <c r="J22" s="71">
        <f t="shared" si="4"/>
        <v>74907.3</v>
      </c>
      <c r="K22" s="71"/>
      <c r="L22" s="71">
        <f t="shared" si="4"/>
        <v>74907.3</v>
      </c>
    </row>
    <row r="23" spans="1:12" ht="26.25" x14ac:dyDescent="0.25">
      <c r="A23" s="6" t="s">
        <v>24</v>
      </c>
      <c r="B23" s="6"/>
      <c r="C23" s="3" t="s">
        <v>25</v>
      </c>
      <c r="D23" s="70">
        <f t="shared" ref="D23:L23" si="5">D24</f>
        <v>2328.4</v>
      </c>
      <c r="E23" s="70"/>
      <c r="F23" s="70">
        <f t="shared" si="5"/>
        <v>2328.4</v>
      </c>
      <c r="G23" s="70">
        <f t="shared" si="5"/>
        <v>2415.6</v>
      </c>
      <c r="H23" s="70"/>
      <c r="I23" s="70">
        <f t="shared" si="5"/>
        <v>2415.6</v>
      </c>
      <c r="J23" s="70">
        <f t="shared" si="5"/>
        <v>2415.6</v>
      </c>
      <c r="K23" s="70"/>
      <c r="L23" s="70">
        <f t="shared" si="5"/>
        <v>2415.6</v>
      </c>
    </row>
    <row r="24" spans="1:12" ht="51.75" x14ac:dyDescent="0.25">
      <c r="A24" s="6"/>
      <c r="B24" s="6" t="s">
        <v>398</v>
      </c>
      <c r="C24" s="3" t="s">
        <v>399</v>
      </c>
      <c r="D24" s="70">
        <v>2328.4</v>
      </c>
      <c r="E24" s="70"/>
      <c r="F24" s="70">
        <f>2236.5+91.9</f>
        <v>2328.4</v>
      </c>
      <c r="G24" s="70">
        <v>2415.6</v>
      </c>
      <c r="H24" s="70"/>
      <c r="I24" s="70">
        <f>2317.7+97.9</f>
        <v>2415.6</v>
      </c>
      <c r="J24" s="70">
        <v>2415.6</v>
      </c>
      <c r="K24" s="70"/>
      <c r="L24" s="70">
        <f>2317.7+97.9</f>
        <v>2415.6</v>
      </c>
    </row>
    <row r="25" spans="1:12" ht="25.5" x14ac:dyDescent="0.25">
      <c r="A25" s="6" t="s">
        <v>26</v>
      </c>
      <c r="B25" s="6"/>
      <c r="C25" s="1" t="s">
        <v>27</v>
      </c>
      <c r="D25" s="80">
        <f>D26+D27</f>
        <v>63735.199999999997</v>
      </c>
      <c r="E25" s="80">
        <f>E26+E27</f>
        <v>744.7</v>
      </c>
      <c r="F25" s="80">
        <f>F26+F27</f>
        <v>64479.899999999994</v>
      </c>
      <c r="G25" s="80">
        <f>G26+G27</f>
        <v>65139.199999999997</v>
      </c>
      <c r="H25" s="80"/>
      <c r="I25" s="80">
        <f>I26+I27</f>
        <v>65139.199999999997</v>
      </c>
      <c r="J25" s="80">
        <f>J26+J27</f>
        <v>64522.2</v>
      </c>
      <c r="K25" s="80"/>
      <c r="L25" s="80">
        <f>L26+L27</f>
        <v>64522.2</v>
      </c>
    </row>
    <row r="26" spans="1:12" ht="51.75" x14ac:dyDescent="0.25">
      <c r="A26" s="6"/>
      <c r="B26" s="6" t="s">
        <v>398</v>
      </c>
      <c r="C26" s="3" t="s">
        <v>399</v>
      </c>
      <c r="D26" s="80">
        <v>60418</v>
      </c>
      <c r="E26" s="80">
        <v>744.7</v>
      </c>
      <c r="F26" s="80">
        <f>SUM(D26:E26)</f>
        <v>61162.7</v>
      </c>
      <c r="G26" s="80">
        <v>61853.2</v>
      </c>
      <c r="H26" s="80"/>
      <c r="I26" s="80">
        <v>61853.2</v>
      </c>
      <c r="J26" s="80">
        <v>61853.2</v>
      </c>
      <c r="K26" s="80"/>
      <c r="L26" s="80">
        <v>61853.2</v>
      </c>
    </row>
    <row r="27" spans="1:12" ht="26.25" x14ac:dyDescent="0.25">
      <c r="A27" s="6"/>
      <c r="B27" s="6" t="s">
        <v>280</v>
      </c>
      <c r="C27" s="3" t="s">
        <v>281</v>
      </c>
      <c r="D27" s="80">
        <v>3317.2</v>
      </c>
      <c r="E27" s="80"/>
      <c r="F27" s="80">
        <v>3317.2</v>
      </c>
      <c r="G27" s="80">
        <v>3286</v>
      </c>
      <c r="H27" s="80"/>
      <c r="I27" s="80">
        <v>3286</v>
      </c>
      <c r="J27" s="80">
        <v>2669</v>
      </c>
      <c r="K27" s="80"/>
      <c r="L27" s="80">
        <f>2767.9-98.9</f>
        <v>2669</v>
      </c>
    </row>
    <row r="28" spans="1:12" ht="26.25" x14ac:dyDescent="0.25">
      <c r="A28" s="6" t="s">
        <v>28</v>
      </c>
      <c r="B28" s="6"/>
      <c r="C28" s="8" t="s">
        <v>29</v>
      </c>
      <c r="D28" s="70">
        <f>D29</f>
        <v>7690.3</v>
      </c>
      <c r="E28" s="70"/>
      <c r="F28" s="70">
        <f>F29</f>
        <v>7690.3</v>
      </c>
      <c r="G28" s="70">
        <f>G29</f>
        <v>7969.5</v>
      </c>
      <c r="H28" s="70"/>
      <c r="I28" s="70">
        <f>I29</f>
        <v>7969.5</v>
      </c>
      <c r="J28" s="70">
        <f>J29</f>
        <v>7969.5</v>
      </c>
      <c r="K28" s="70"/>
      <c r="L28" s="70">
        <f>L29</f>
        <v>7969.5</v>
      </c>
    </row>
    <row r="29" spans="1:12" x14ac:dyDescent="0.25">
      <c r="A29" s="6"/>
      <c r="B29" s="6" t="s">
        <v>423</v>
      </c>
      <c r="C29" s="3" t="s">
        <v>424</v>
      </c>
      <c r="D29" s="70">
        <v>7690.3</v>
      </c>
      <c r="E29" s="70"/>
      <c r="F29" s="70">
        <v>7690.3</v>
      </c>
      <c r="G29" s="70">
        <v>7969.5</v>
      </c>
      <c r="H29" s="70"/>
      <c r="I29" s="70">
        <v>7969.5</v>
      </c>
      <c r="J29" s="70">
        <v>7969.5</v>
      </c>
      <c r="K29" s="70"/>
      <c r="L29" s="70">
        <v>7969.5</v>
      </c>
    </row>
    <row r="30" spans="1:12" ht="51.75" x14ac:dyDescent="0.25">
      <c r="A30" s="31" t="s">
        <v>30</v>
      </c>
      <c r="B30" s="31"/>
      <c r="C30" s="32" t="s">
        <v>529</v>
      </c>
      <c r="D30" s="75">
        <f t="shared" ref="D30:L30" si="6">D31</f>
        <v>4232.8999999999996</v>
      </c>
      <c r="E30" s="75"/>
      <c r="F30" s="75">
        <f t="shared" si="6"/>
        <v>4232.8999999999996</v>
      </c>
      <c r="G30" s="75">
        <f t="shared" si="6"/>
        <v>4375.7000000000007</v>
      </c>
      <c r="H30" s="75"/>
      <c r="I30" s="75">
        <f t="shared" si="6"/>
        <v>4375.7000000000007</v>
      </c>
      <c r="J30" s="75">
        <f t="shared" si="6"/>
        <v>4408.3</v>
      </c>
      <c r="K30" s="75"/>
      <c r="L30" s="75">
        <f t="shared" si="6"/>
        <v>4408.3</v>
      </c>
    </row>
    <row r="31" spans="1:12" ht="26.25" x14ac:dyDescent="0.25">
      <c r="A31" s="33" t="s">
        <v>32</v>
      </c>
      <c r="B31" s="36"/>
      <c r="C31" s="34" t="s">
        <v>33</v>
      </c>
      <c r="D31" s="71">
        <f t="shared" ref="D31:L31" si="7">D32+D35+D38+D40+D43+D46+D48+D50+D53</f>
        <v>4232.8999999999996</v>
      </c>
      <c r="E31" s="71"/>
      <c r="F31" s="71">
        <f t="shared" si="7"/>
        <v>4232.8999999999996</v>
      </c>
      <c r="G31" s="71">
        <f t="shared" si="7"/>
        <v>4375.7000000000007</v>
      </c>
      <c r="H31" s="71"/>
      <c r="I31" s="71">
        <f t="shared" si="7"/>
        <v>4375.7000000000007</v>
      </c>
      <c r="J31" s="71">
        <f t="shared" si="7"/>
        <v>4408.3</v>
      </c>
      <c r="K31" s="71"/>
      <c r="L31" s="71">
        <f t="shared" si="7"/>
        <v>4408.3</v>
      </c>
    </row>
    <row r="32" spans="1:12" ht="26.25" x14ac:dyDescent="0.25">
      <c r="A32" s="22" t="s">
        <v>793</v>
      </c>
      <c r="B32" s="6"/>
      <c r="C32" s="8" t="s">
        <v>34</v>
      </c>
      <c r="D32" s="79">
        <v>974.2</v>
      </c>
      <c r="E32" s="79"/>
      <c r="F32" s="79">
        <v>974.2</v>
      </c>
      <c r="G32" s="79">
        <v>1006.3</v>
      </c>
      <c r="H32" s="79"/>
      <c r="I32" s="79">
        <v>1006.3</v>
      </c>
      <c r="J32" s="79">
        <v>1006.3</v>
      </c>
      <c r="K32" s="79"/>
      <c r="L32" s="79">
        <v>1006.3</v>
      </c>
    </row>
    <row r="33" spans="1:12" ht="51.75" x14ac:dyDescent="0.25">
      <c r="A33" s="6"/>
      <c r="B33" s="6" t="s">
        <v>398</v>
      </c>
      <c r="C33" s="3" t="s">
        <v>399</v>
      </c>
      <c r="D33" s="79">
        <v>904.7</v>
      </c>
      <c r="E33" s="79"/>
      <c r="F33" s="79">
        <v>904.7</v>
      </c>
      <c r="G33" s="79">
        <v>937.6</v>
      </c>
      <c r="H33" s="79"/>
      <c r="I33" s="79">
        <v>937.6</v>
      </c>
      <c r="J33" s="79">
        <v>937.6</v>
      </c>
      <c r="K33" s="79"/>
      <c r="L33" s="79">
        <v>937.6</v>
      </c>
    </row>
    <row r="34" spans="1:12" ht="26.25" x14ac:dyDescent="0.25">
      <c r="A34" s="6"/>
      <c r="B34" s="6" t="s">
        <v>280</v>
      </c>
      <c r="C34" s="3" t="s">
        <v>281</v>
      </c>
      <c r="D34" s="79">
        <v>69.5</v>
      </c>
      <c r="E34" s="79"/>
      <c r="F34" s="79">
        <v>69.5</v>
      </c>
      <c r="G34" s="79">
        <v>68.7</v>
      </c>
      <c r="H34" s="79"/>
      <c r="I34" s="79">
        <v>68.7</v>
      </c>
      <c r="J34" s="79">
        <v>68.7</v>
      </c>
      <c r="K34" s="79"/>
      <c r="L34" s="79">
        <v>68.7</v>
      </c>
    </row>
    <row r="35" spans="1:12" ht="39" x14ac:dyDescent="0.25">
      <c r="A35" s="6" t="s">
        <v>35</v>
      </c>
      <c r="B35" s="6"/>
      <c r="C35" s="8" t="s">
        <v>530</v>
      </c>
      <c r="D35" s="79">
        <v>583</v>
      </c>
      <c r="E35" s="79"/>
      <c r="F35" s="79">
        <v>583</v>
      </c>
      <c r="G35" s="79">
        <v>602</v>
      </c>
      <c r="H35" s="79"/>
      <c r="I35" s="79">
        <v>602</v>
      </c>
      <c r="J35" s="79">
        <v>602</v>
      </c>
      <c r="K35" s="79"/>
      <c r="L35" s="79">
        <v>602</v>
      </c>
    </row>
    <row r="36" spans="1:12" ht="51.75" x14ac:dyDescent="0.25">
      <c r="A36" s="6"/>
      <c r="B36" s="6" t="s">
        <v>398</v>
      </c>
      <c r="C36" s="3" t="s">
        <v>399</v>
      </c>
      <c r="D36" s="79">
        <v>517</v>
      </c>
      <c r="E36" s="79"/>
      <c r="F36" s="79">
        <v>517</v>
      </c>
      <c r="G36" s="79">
        <v>535.79999999999995</v>
      </c>
      <c r="H36" s="79"/>
      <c r="I36" s="79">
        <v>535.79999999999995</v>
      </c>
      <c r="J36" s="79">
        <v>535.79999999999995</v>
      </c>
      <c r="K36" s="79"/>
      <c r="L36" s="79">
        <v>535.79999999999995</v>
      </c>
    </row>
    <row r="37" spans="1:12" ht="26.25" x14ac:dyDescent="0.25">
      <c r="A37" s="6"/>
      <c r="B37" s="6" t="s">
        <v>280</v>
      </c>
      <c r="C37" s="3" t="s">
        <v>281</v>
      </c>
      <c r="D37" s="79">
        <v>66</v>
      </c>
      <c r="E37" s="79"/>
      <c r="F37" s="79">
        <v>66</v>
      </c>
      <c r="G37" s="79">
        <v>66.2</v>
      </c>
      <c r="H37" s="79"/>
      <c r="I37" s="79">
        <v>66.2</v>
      </c>
      <c r="J37" s="79">
        <v>66.2</v>
      </c>
      <c r="K37" s="79"/>
      <c r="L37" s="79">
        <v>66.2</v>
      </c>
    </row>
    <row r="38" spans="1:12" x14ac:dyDescent="0.25">
      <c r="A38" s="6" t="s">
        <v>37</v>
      </c>
      <c r="B38" s="6"/>
      <c r="C38" s="8" t="s">
        <v>38</v>
      </c>
      <c r="D38" s="79">
        <v>25.8</v>
      </c>
      <c r="E38" s="79"/>
      <c r="F38" s="79">
        <v>25.8</v>
      </c>
      <c r="G38" s="79">
        <v>25.8</v>
      </c>
      <c r="H38" s="79"/>
      <c r="I38" s="79">
        <v>25.8</v>
      </c>
      <c r="J38" s="79">
        <v>25.8</v>
      </c>
      <c r="K38" s="79"/>
      <c r="L38" s="79">
        <v>25.8</v>
      </c>
    </row>
    <row r="39" spans="1:12" ht="26.25" x14ac:dyDescent="0.25">
      <c r="A39" s="6"/>
      <c r="B39" s="6" t="s">
        <v>280</v>
      </c>
      <c r="C39" s="3" t="s">
        <v>281</v>
      </c>
      <c r="D39" s="79">
        <v>25.8</v>
      </c>
      <c r="E39" s="79"/>
      <c r="F39" s="79">
        <v>25.8</v>
      </c>
      <c r="G39" s="79">
        <v>25.8</v>
      </c>
      <c r="H39" s="79"/>
      <c r="I39" s="79">
        <v>25.8</v>
      </c>
      <c r="J39" s="79">
        <v>25.8</v>
      </c>
      <c r="K39" s="79"/>
      <c r="L39" s="79">
        <v>25.8</v>
      </c>
    </row>
    <row r="40" spans="1:12" ht="26.25" x14ac:dyDescent="0.25">
      <c r="A40" s="6" t="s">
        <v>39</v>
      </c>
      <c r="B40" s="6"/>
      <c r="C40" s="3" t="s">
        <v>40</v>
      </c>
      <c r="D40" s="79">
        <v>56.8</v>
      </c>
      <c r="E40" s="79"/>
      <c r="F40" s="79">
        <v>56.8</v>
      </c>
      <c r="G40" s="79">
        <v>58.8</v>
      </c>
      <c r="H40" s="79"/>
      <c r="I40" s="79">
        <v>58.8</v>
      </c>
      <c r="J40" s="79">
        <v>58.8</v>
      </c>
      <c r="K40" s="79"/>
      <c r="L40" s="79">
        <v>58.8</v>
      </c>
    </row>
    <row r="41" spans="1:12" ht="51.75" x14ac:dyDescent="0.25">
      <c r="A41" s="6"/>
      <c r="B41" s="6" t="s">
        <v>398</v>
      </c>
      <c r="C41" s="3" t="s">
        <v>399</v>
      </c>
      <c r="D41" s="79">
        <v>51.7</v>
      </c>
      <c r="E41" s="79"/>
      <c r="F41" s="79">
        <v>51.7</v>
      </c>
      <c r="G41" s="79">
        <v>53.6</v>
      </c>
      <c r="H41" s="79"/>
      <c r="I41" s="79">
        <v>53.6</v>
      </c>
      <c r="J41" s="79">
        <v>53.6</v>
      </c>
      <c r="K41" s="79"/>
      <c r="L41" s="79">
        <v>53.6</v>
      </c>
    </row>
    <row r="42" spans="1:12" ht="26.25" x14ac:dyDescent="0.25">
      <c r="A42" s="6"/>
      <c r="B42" s="6" t="s">
        <v>280</v>
      </c>
      <c r="C42" s="3" t="s">
        <v>281</v>
      </c>
      <c r="D42" s="79">
        <v>5.0999999999999996</v>
      </c>
      <c r="E42" s="79"/>
      <c r="F42" s="79">
        <v>5.0999999999999996</v>
      </c>
      <c r="G42" s="79">
        <v>5.2</v>
      </c>
      <c r="H42" s="79"/>
      <c r="I42" s="79">
        <v>5.2</v>
      </c>
      <c r="J42" s="79">
        <v>5.2</v>
      </c>
      <c r="K42" s="79"/>
      <c r="L42" s="79">
        <v>5.2</v>
      </c>
    </row>
    <row r="43" spans="1:12" ht="26.25" x14ac:dyDescent="0.25">
      <c r="A43" s="6" t="s">
        <v>41</v>
      </c>
      <c r="B43" s="6"/>
      <c r="C43" s="54" t="s">
        <v>485</v>
      </c>
      <c r="D43" s="79">
        <v>348.6</v>
      </c>
      <c r="E43" s="79"/>
      <c r="F43" s="79">
        <v>348.6</v>
      </c>
      <c r="G43" s="79">
        <v>360.7</v>
      </c>
      <c r="H43" s="79"/>
      <c r="I43" s="79">
        <v>360.7</v>
      </c>
      <c r="J43" s="79">
        <v>360.7</v>
      </c>
      <c r="K43" s="79"/>
      <c r="L43" s="79">
        <v>360.7</v>
      </c>
    </row>
    <row r="44" spans="1:12" ht="51.75" x14ac:dyDescent="0.25">
      <c r="A44" s="6"/>
      <c r="B44" s="6" t="s">
        <v>398</v>
      </c>
      <c r="C44" s="3" t="s">
        <v>399</v>
      </c>
      <c r="D44" s="79">
        <v>348.6</v>
      </c>
      <c r="E44" s="79"/>
      <c r="F44" s="79">
        <v>348.6</v>
      </c>
      <c r="G44" s="79">
        <v>360.7</v>
      </c>
      <c r="H44" s="79"/>
      <c r="I44" s="79">
        <v>360.7</v>
      </c>
      <c r="J44" s="79">
        <v>360.7</v>
      </c>
      <c r="K44" s="79"/>
      <c r="L44" s="79">
        <v>360.7</v>
      </c>
    </row>
    <row r="45" spans="1:12" ht="26.25" x14ac:dyDescent="0.25">
      <c r="A45" s="6"/>
      <c r="B45" s="6" t="s">
        <v>280</v>
      </c>
      <c r="C45" s="3" t="s">
        <v>281</v>
      </c>
      <c r="D45" s="79">
        <v>0</v>
      </c>
      <c r="E45" s="79"/>
      <c r="F45" s="79">
        <v>0</v>
      </c>
      <c r="G45" s="79">
        <v>0</v>
      </c>
      <c r="H45" s="79"/>
      <c r="I45" s="79">
        <v>0</v>
      </c>
      <c r="J45" s="79">
        <v>0</v>
      </c>
      <c r="K45" s="79"/>
      <c r="L45" s="79">
        <v>0</v>
      </c>
    </row>
    <row r="46" spans="1:12" ht="39" x14ac:dyDescent="0.25">
      <c r="A46" s="6" t="s">
        <v>42</v>
      </c>
      <c r="B46" s="6"/>
      <c r="C46" s="8" t="s">
        <v>43</v>
      </c>
      <c r="D46" s="79">
        <f>D47</f>
        <v>12.4</v>
      </c>
      <c r="E46" s="79"/>
      <c r="F46" s="79">
        <f>F47</f>
        <v>12.4</v>
      </c>
      <c r="G46" s="79">
        <f>G47</f>
        <v>12.8</v>
      </c>
      <c r="H46" s="79"/>
      <c r="I46" s="79">
        <f>I47</f>
        <v>12.8</v>
      </c>
      <c r="J46" s="79">
        <f>J47</f>
        <v>12.8</v>
      </c>
      <c r="K46" s="79"/>
      <c r="L46" s="79">
        <f>L47</f>
        <v>12.8</v>
      </c>
    </row>
    <row r="47" spans="1:12" ht="26.25" x14ac:dyDescent="0.25">
      <c r="A47" s="6"/>
      <c r="B47" s="6" t="s">
        <v>280</v>
      </c>
      <c r="C47" s="3" t="s">
        <v>281</v>
      </c>
      <c r="D47" s="79">
        <v>12.4</v>
      </c>
      <c r="E47" s="79"/>
      <c r="F47" s="79">
        <v>12.4</v>
      </c>
      <c r="G47" s="79">
        <v>12.8</v>
      </c>
      <c r="H47" s="79"/>
      <c r="I47" s="79">
        <v>12.8</v>
      </c>
      <c r="J47" s="79">
        <v>12.8</v>
      </c>
      <c r="K47" s="79"/>
      <c r="L47" s="79">
        <v>12.8</v>
      </c>
    </row>
    <row r="48" spans="1:12" ht="39" x14ac:dyDescent="0.25">
      <c r="A48" s="6" t="s">
        <v>44</v>
      </c>
      <c r="B48" s="6"/>
      <c r="C48" s="3" t="s">
        <v>45</v>
      </c>
      <c r="D48" s="79">
        <f t="shared" ref="D48:L48" si="8">D49</f>
        <v>2.2000000000000002</v>
      </c>
      <c r="E48" s="79"/>
      <c r="F48" s="79">
        <f t="shared" si="8"/>
        <v>2.2000000000000002</v>
      </c>
      <c r="G48" s="79">
        <f t="shared" si="8"/>
        <v>2.2999999999999998</v>
      </c>
      <c r="H48" s="79"/>
      <c r="I48" s="79">
        <f t="shared" si="8"/>
        <v>2.2999999999999998</v>
      </c>
      <c r="J48" s="79">
        <f t="shared" si="8"/>
        <v>34.9</v>
      </c>
      <c r="K48" s="79"/>
      <c r="L48" s="79">
        <f t="shared" si="8"/>
        <v>34.9</v>
      </c>
    </row>
    <row r="49" spans="1:12" ht="26.25" x14ac:dyDescent="0.25">
      <c r="A49" s="6"/>
      <c r="B49" s="6" t="s">
        <v>280</v>
      </c>
      <c r="C49" s="3" t="s">
        <v>281</v>
      </c>
      <c r="D49" s="79">
        <v>2.2000000000000002</v>
      </c>
      <c r="E49" s="79"/>
      <c r="F49" s="79">
        <v>2.2000000000000002</v>
      </c>
      <c r="G49" s="79">
        <v>2.2999999999999998</v>
      </c>
      <c r="H49" s="79"/>
      <c r="I49" s="79">
        <v>2.2999999999999998</v>
      </c>
      <c r="J49" s="79">
        <v>34.9</v>
      </c>
      <c r="K49" s="79"/>
      <c r="L49" s="79">
        <v>34.9</v>
      </c>
    </row>
    <row r="50" spans="1:12" x14ac:dyDescent="0.25">
      <c r="A50" s="6" t="s">
        <v>46</v>
      </c>
      <c r="B50" s="6"/>
      <c r="C50" s="3" t="s">
        <v>47</v>
      </c>
      <c r="D50" s="79">
        <v>1118</v>
      </c>
      <c r="E50" s="79"/>
      <c r="F50" s="79">
        <v>1118</v>
      </c>
      <c r="G50" s="79">
        <v>1158.5</v>
      </c>
      <c r="H50" s="79"/>
      <c r="I50" s="79">
        <v>1158.5</v>
      </c>
      <c r="J50" s="79">
        <v>1158.5</v>
      </c>
      <c r="K50" s="79"/>
      <c r="L50" s="79">
        <v>1158.5</v>
      </c>
    </row>
    <row r="51" spans="1:12" ht="51.75" x14ac:dyDescent="0.25">
      <c r="A51" s="6"/>
      <c r="B51" s="6" t="s">
        <v>398</v>
      </c>
      <c r="C51" s="3" t="s">
        <v>399</v>
      </c>
      <c r="D51" s="79">
        <v>1118</v>
      </c>
      <c r="E51" s="79"/>
      <c r="F51" s="79">
        <v>1118</v>
      </c>
      <c r="G51" s="79">
        <v>1158.5</v>
      </c>
      <c r="H51" s="79"/>
      <c r="I51" s="79">
        <v>1158.5</v>
      </c>
      <c r="J51" s="79">
        <v>1158.5</v>
      </c>
      <c r="K51" s="79"/>
      <c r="L51" s="79">
        <v>1158.5</v>
      </c>
    </row>
    <row r="52" spans="1:12" ht="26.25" x14ac:dyDescent="0.25">
      <c r="A52" s="6"/>
      <c r="B52" s="6" t="s">
        <v>280</v>
      </c>
      <c r="C52" s="3" t="s">
        <v>281</v>
      </c>
      <c r="D52" s="79">
        <v>0</v>
      </c>
      <c r="E52" s="79"/>
      <c r="F52" s="79">
        <v>0</v>
      </c>
      <c r="G52" s="79">
        <v>0</v>
      </c>
      <c r="H52" s="79"/>
      <c r="I52" s="79">
        <v>0</v>
      </c>
      <c r="J52" s="79">
        <v>0</v>
      </c>
      <c r="K52" s="79"/>
      <c r="L52" s="79">
        <v>0</v>
      </c>
    </row>
    <row r="53" spans="1:12" ht="26.25" x14ac:dyDescent="0.25">
      <c r="A53" s="6" t="s">
        <v>48</v>
      </c>
      <c r="B53" s="6"/>
      <c r="C53" s="3" t="s">
        <v>475</v>
      </c>
      <c r="D53" s="79">
        <v>1111.9000000000001</v>
      </c>
      <c r="E53" s="79"/>
      <c r="F53" s="79">
        <v>1111.9000000000001</v>
      </c>
      <c r="G53" s="79">
        <v>1148.5</v>
      </c>
      <c r="H53" s="79"/>
      <c r="I53" s="79">
        <v>1148.5</v>
      </c>
      <c r="J53" s="79">
        <v>1148.5</v>
      </c>
      <c r="K53" s="79"/>
      <c r="L53" s="79">
        <v>1148.5</v>
      </c>
    </row>
    <row r="54" spans="1:12" ht="51.75" x14ac:dyDescent="0.25">
      <c r="A54" s="6"/>
      <c r="B54" s="6" t="s">
        <v>398</v>
      </c>
      <c r="C54" s="3" t="s">
        <v>399</v>
      </c>
      <c r="D54" s="79">
        <v>1098.5</v>
      </c>
      <c r="E54" s="79"/>
      <c r="F54" s="79">
        <v>1098.5</v>
      </c>
      <c r="G54" s="79">
        <v>1138.5</v>
      </c>
      <c r="H54" s="79"/>
      <c r="I54" s="79">
        <v>1138.5</v>
      </c>
      <c r="J54" s="79">
        <v>1138.5</v>
      </c>
      <c r="K54" s="79"/>
      <c r="L54" s="79">
        <v>1138.5</v>
      </c>
    </row>
    <row r="55" spans="1:12" ht="26.25" x14ac:dyDescent="0.25">
      <c r="A55" s="6"/>
      <c r="B55" s="6" t="s">
        <v>280</v>
      </c>
      <c r="C55" s="3" t="s">
        <v>281</v>
      </c>
      <c r="D55" s="79">
        <v>13.4</v>
      </c>
      <c r="E55" s="79"/>
      <c r="F55" s="79">
        <v>13.4</v>
      </c>
      <c r="G55" s="79">
        <v>10</v>
      </c>
      <c r="H55" s="79"/>
      <c r="I55" s="79">
        <v>10</v>
      </c>
      <c r="J55" s="79">
        <v>10</v>
      </c>
      <c r="K55" s="79"/>
      <c r="L55" s="79">
        <v>10</v>
      </c>
    </row>
    <row r="56" spans="1:12" ht="26.25" x14ac:dyDescent="0.25">
      <c r="A56" s="31" t="s">
        <v>49</v>
      </c>
      <c r="B56" s="31"/>
      <c r="C56" s="32" t="s">
        <v>50</v>
      </c>
      <c r="D56" s="75">
        <f>D57</f>
        <v>81.3</v>
      </c>
      <c r="E56" s="75"/>
      <c r="F56" s="75">
        <f>F57</f>
        <v>81.3</v>
      </c>
      <c r="G56" s="75">
        <f>G57</f>
        <v>81.3</v>
      </c>
      <c r="H56" s="75"/>
      <c r="I56" s="75">
        <f>I57</f>
        <v>81.3</v>
      </c>
      <c r="J56" s="75">
        <f>J57</f>
        <v>0</v>
      </c>
      <c r="K56" s="75"/>
      <c r="L56" s="75">
        <f>L57</f>
        <v>0</v>
      </c>
    </row>
    <row r="57" spans="1:12" ht="51.75" x14ac:dyDescent="0.25">
      <c r="A57" s="33" t="s">
        <v>51</v>
      </c>
      <c r="B57" s="36"/>
      <c r="C57" s="34" t="s">
        <v>674</v>
      </c>
      <c r="D57" s="71">
        <f>D58+D60</f>
        <v>81.3</v>
      </c>
      <c r="E57" s="71"/>
      <c r="F57" s="71">
        <f>F58+F60</f>
        <v>81.3</v>
      </c>
      <c r="G57" s="71">
        <f>G58+G60</f>
        <v>81.3</v>
      </c>
      <c r="H57" s="71"/>
      <c r="I57" s="71">
        <f>I58+I60</f>
        <v>81.3</v>
      </c>
      <c r="J57" s="71">
        <f>J58+J60</f>
        <v>0</v>
      </c>
      <c r="K57" s="71"/>
      <c r="L57" s="71">
        <f>L58+L60</f>
        <v>0</v>
      </c>
    </row>
    <row r="58" spans="1:12" x14ac:dyDescent="0.25">
      <c r="A58" s="6" t="s">
        <v>53</v>
      </c>
      <c r="B58" s="6"/>
      <c r="C58" s="8" t="s">
        <v>54</v>
      </c>
      <c r="D58" s="79">
        <f>D59</f>
        <v>50</v>
      </c>
      <c r="E58" s="79"/>
      <c r="F58" s="79">
        <f>F59</f>
        <v>50</v>
      </c>
      <c r="G58" s="79">
        <f>G59</f>
        <v>50</v>
      </c>
      <c r="H58" s="79"/>
      <c r="I58" s="79">
        <f>I59</f>
        <v>50</v>
      </c>
      <c r="J58" s="79">
        <f>J59</f>
        <v>0</v>
      </c>
      <c r="K58" s="79"/>
      <c r="L58" s="79">
        <f>L59</f>
        <v>0</v>
      </c>
    </row>
    <row r="59" spans="1:12" ht="26.25" x14ac:dyDescent="0.25">
      <c r="A59" s="6"/>
      <c r="B59" s="6" t="s">
        <v>280</v>
      </c>
      <c r="C59" s="3" t="s">
        <v>281</v>
      </c>
      <c r="D59" s="79">
        <v>50</v>
      </c>
      <c r="E59" s="79"/>
      <c r="F59" s="79">
        <v>50</v>
      </c>
      <c r="G59" s="79">
        <v>50</v>
      </c>
      <c r="H59" s="79"/>
      <c r="I59" s="79">
        <v>50</v>
      </c>
      <c r="J59" s="79">
        <v>0</v>
      </c>
      <c r="K59" s="79"/>
      <c r="L59" s="79">
        <v>0</v>
      </c>
    </row>
    <row r="60" spans="1:12" x14ac:dyDescent="0.25">
      <c r="A60" s="6" t="s">
        <v>55</v>
      </c>
      <c r="B60" s="6"/>
      <c r="C60" s="8" t="s">
        <v>56</v>
      </c>
      <c r="D60" s="79">
        <f>D61</f>
        <v>31.3</v>
      </c>
      <c r="E60" s="79"/>
      <c r="F60" s="79">
        <f>F61</f>
        <v>31.3</v>
      </c>
      <c r="G60" s="79">
        <f>G61</f>
        <v>31.3</v>
      </c>
      <c r="H60" s="79"/>
      <c r="I60" s="79">
        <f>I61</f>
        <v>31.3</v>
      </c>
      <c r="J60" s="79">
        <v>0</v>
      </c>
      <c r="K60" s="79"/>
      <c r="L60" s="79">
        <v>0</v>
      </c>
    </row>
    <row r="61" spans="1:12" ht="26.25" x14ac:dyDescent="0.25">
      <c r="A61" s="6"/>
      <c r="B61" s="6" t="s">
        <v>280</v>
      </c>
      <c r="C61" s="3" t="s">
        <v>281</v>
      </c>
      <c r="D61" s="79">
        <v>31.3</v>
      </c>
      <c r="E61" s="79"/>
      <c r="F61" s="79">
        <v>31.3</v>
      </c>
      <c r="G61" s="79">
        <v>31.3</v>
      </c>
      <c r="H61" s="79"/>
      <c r="I61" s="79">
        <v>31.3</v>
      </c>
      <c r="J61" s="79">
        <v>0</v>
      </c>
      <c r="K61" s="79"/>
      <c r="L61" s="79">
        <v>0</v>
      </c>
    </row>
    <row r="62" spans="1:12" ht="26.25" x14ac:dyDescent="0.25">
      <c r="A62" s="29" t="s">
        <v>57</v>
      </c>
      <c r="B62" s="29"/>
      <c r="C62" s="37" t="s">
        <v>531</v>
      </c>
      <c r="D62" s="72">
        <f t="shared" ref="D62:L62" si="9">D63+D76+D122+D138+D148+D164+D176</f>
        <v>518619.85718999995</v>
      </c>
      <c r="E62" s="72">
        <f t="shared" si="9"/>
        <v>260.39999999999998</v>
      </c>
      <c r="F62" s="72">
        <f t="shared" si="9"/>
        <v>518880.25719000003</v>
      </c>
      <c r="G62" s="72">
        <f t="shared" si="9"/>
        <v>485302.25570000004</v>
      </c>
      <c r="H62" s="72">
        <f t="shared" si="9"/>
        <v>0</v>
      </c>
      <c r="I62" s="72">
        <f t="shared" si="9"/>
        <v>485302.25570000004</v>
      </c>
      <c r="J62" s="72">
        <f t="shared" si="9"/>
        <v>486620.55515999999</v>
      </c>
      <c r="K62" s="72"/>
      <c r="L62" s="72">
        <f t="shared" si="9"/>
        <v>486620.55515999999</v>
      </c>
    </row>
    <row r="63" spans="1:12" x14ac:dyDescent="0.25">
      <c r="A63" s="31" t="s">
        <v>59</v>
      </c>
      <c r="B63" s="31"/>
      <c r="C63" s="32" t="s">
        <v>60</v>
      </c>
      <c r="D63" s="75">
        <f t="shared" ref="D63:L63" si="10">D64</f>
        <v>112153.649</v>
      </c>
      <c r="E63" s="75">
        <f t="shared" si="10"/>
        <v>-136.35472999999999</v>
      </c>
      <c r="F63" s="75">
        <f t="shared" si="10"/>
        <v>112017.29427000001</v>
      </c>
      <c r="G63" s="75">
        <f t="shared" si="10"/>
        <v>109219.6722</v>
      </c>
      <c r="H63" s="75"/>
      <c r="I63" s="75">
        <f t="shared" si="10"/>
        <v>109219.6722</v>
      </c>
      <c r="J63" s="75">
        <f t="shared" si="10"/>
        <v>105115.8808</v>
      </c>
      <c r="K63" s="75"/>
      <c r="L63" s="75">
        <f t="shared" si="10"/>
        <v>105115.8808</v>
      </c>
    </row>
    <row r="64" spans="1:12" ht="39" x14ac:dyDescent="0.25">
      <c r="A64" s="33" t="s">
        <v>61</v>
      </c>
      <c r="B64" s="33"/>
      <c r="C64" s="34" t="s">
        <v>62</v>
      </c>
      <c r="D64" s="71">
        <f t="shared" ref="D64:L64" si="11">D65+D72+D74+D67+D70</f>
        <v>112153.649</v>
      </c>
      <c r="E64" s="71">
        <f t="shared" si="11"/>
        <v>-136.35472999999999</v>
      </c>
      <c r="F64" s="71">
        <f t="shared" si="11"/>
        <v>112017.29427000001</v>
      </c>
      <c r="G64" s="71">
        <f t="shared" si="11"/>
        <v>109219.6722</v>
      </c>
      <c r="H64" s="71"/>
      <c r="I64" s="71">
        <f t="shared" si="11"/>
        <v>109219.6722</v>
      </c>
      <c r="J64" s="71">
        <f t="shared" si="11"/>
        <v>105115.8808</v>
      </c>
      <c r="K64" s="71"/>
      <c r="L64" s="71">
        <f t="shared" si="11"/>
        <v>105115.8808</v>
      </c>
    </row>
    <row r="65" spans="1:12" ht="26.25" x14ac:dyDescent="0.25">
      <c r="A65" s="6" t="s">
        <v>63</v>
      </c>
      <c r="B65" s="12"/>
      <c r="C65" s="3" t="s">
        <v>64</v>
      </c>
      <c r="D65" s="70">
        <f>D66</f>
        <v>27674</v>
      </c>
      <c r="E65" s="70"/>
      <c r="F65" s="70">
        <f>F66</f>
        <v>27674</v>
      </c>
      <c r="G65" s="70">
        <f>G66</f>
        <v>27939.599999999999</v>
      </c>
      <c r="H65" s="70"/>
      <c r="I65" s="70">
        <f>I66</f>
        <v>27939.599999999999</v>
      </c>
      <c r="J65" s="70">
        <f>J66</f>
        <v>27939.599999999999</v>
      </c>
      <c r="K65" s="70"/>
      <c r="L65" s="70">
        <f>L66</f>
        <v>27939.599999999999</v>
      </c>
    </row>
    <row r="66" spans="1:12" ht="26.25" x14ac:dyDescent="0.25">
      <c r="A66" s="6"/>
      <c r="B66" s="6" t="s">
        <v>470</v>
      </c>
      <c r="C66" s="3" t="s">
        <v>471</v>
      </c>
      <c r="D66" s="70">
        <f>27939.6-265.6</f>
        <v>27674</v>
      </c>
      <c r="E66" s="70"/>
      <c r="F66" s="70">
        <f>27939.6-265.6</f>
        <v>27674</v>
      </c>
      <c r="G66" s="70">
        <f>29308.1-1368.5</f>
        <v>27939.599999999999</v>
      </c>
      <c r="H66" s="70"/>
      <c r="I66" s="70">
        <f>29308.1-1368.5</f>
        <v>27939.599999999999</v>
      </c>
      <c r="J66" s="70">
        <f>30541-2601.4</f>
        <v>27939.599999999999</v>
      </c>
      <c r="K66" s="70"/>
      <c r="L66" s="70">
        <f>30541-2601.4</f>
        <v>27939.599999999999</v>
      </c>
    </row>
    <row r="67" spans="1:12" ht="39" x14ac:dyDescent="0.25">
      <c r="A67" s="6" t="s">
        <v>65</v>
      </c>
      <c r="B67" s="6"/>
      <c r="C67" s="3" t="s">
        <v>66</v>
      </c>
      <c r="D67" s="70">
        <f>D68+D69</f>
        <v>79091.349000000002</v>
      </c>
      <c r="E67" s="70"/>
      <c r="F67" s="70">
        <f>F68+F69</f>
        <v>79091.349000000002</v>
      </c>
      <c r="G67" s="70">
        <f>G69</f>
        <v>75467.272200000007</v>
      </c>
      <c r="H67" s="70"/>
      <c r="I67" s="70">
        <f>I68+I69</f>
        <v>75467.272200000007</v>
      </c>
      <c r="J67" s="70">
        <f>J68+J69</f>
        <v>71417.080799999996</v>
      </c>
      <c r="K67" s="70"/>
      <c r="L67" s="70">
        <f>L68+L69</f>
        <v>71417.080799999996</v>
      </c>
    </row>
    <row r="68" spans="1:12" x14ac:dyDescent="0.25">
      <c r="A68" s="6"/>
      <c r="B68" s="6" t="s">
        <v>423</v>
      </c>
      <c r="C68" s="3" t="s">
        <v>424</v>
      </c>
      <c r="D68" s="70">
        <v>0</v>
      </c>
      <c r="E68" s="70"/>
      <c r="F68" s="70">
        <v>0</v>
      </c>
      <c r="G68" s="70">
        <v>0</v>
      </c>
      <c r="H68" s="70"/>
      <c r="I68" s="70">
        <v>0</v>
      </c>
      <c r="J68" s="70">
        <v>0</v>
      </c>
      <c r="K68" s="70"/>
      <c r="L68" s="70">
        <v>0</v>
      </c>
    </row>
    <row r="69" spans="1:12" ht="26.25" x14ac:dyDescent="0.25">
      <c r="A69" s="6"/>
      <c r="B69" s="6" t="s">
        <v>470</v>
      </c>
      <c r="C69" s="3" t="s">
        <v>471</v>
      </c>
      <c r="D69" s="70">
        <v>79091.349000000002</v>
      </c>
      <c r="E69" s="80"/>
      <c r="F69" s="80">
        <f>D69+E69</f>
        <v>79091.349000000002</v>
      </c>
      <c r="G69" s="80">
        <v>75467.272200000007</v>
      </c>
      <c r="H69" s="80"/>
      <c r="I69" s="80">
        <f>G69+H69</f>
        <v>75467.272200000007</v>
      </c>
      <c r="J69" s="80">
        <v>71417.080799999996</v>
      </c>
      <c r="K69" s="80"/>
      <c r="L69" s="70">
        <f>J69+K69</f>
        <v>71417.080799999996</v>
      </c>
    </row>
    <row r="70" spans="1:12" ht="39" x14ac:dyDescent="0.25">
      <c r="A70" s="6" t="s">
        <v>67</v>
      </c>
      <c r="B70" s="6"/>
      <c r="C70" s="3" t="s">
        <v>68</v>
      </c>
      <c r="D70" s="70">
        <v>3972.1</v>
      </c>
      <c r="E70" s="70"/>
      <c r="F70" s="70">
        <v>3972.1</v>
      </c>
      <c r="G70" s="70">
        <v>4340</v>
      </c>
      <c r="H70" s="70"/>
      <c r="I70" s="70">
        <v>4340</v>
      </c>
      <c r="J70" s="70">
        <v>4227.5</v>
      </c>
      <c r="K70" s="70"/>
      <c r="L70" s="70">
        <v>4227.5</v>
      </c>
    </row>
    <row r="71" spans="1:12" ht="26.25" x14ac:dyDescent="0.25">
      <c r="A71" s="6"/>
      <c r="B71" s="6" t="s">
        <v>470</v>
      </c>
      <c r="C71" s="3" t="s">
        <v>471</v>
      </c>
      <c r="D71" s="70">
        <v>3972.1</v>
      </c>
      <c r="E71" s="70"/>
      <c r="F71" s="70">
        <v>3972.1</v>
      </c>
      <c r="G71" s="70">
        <v>4340</v>
      </c>
      <c r="H71" s="70"/>
      <c r="I71" s="70">
        <v>4340</v>
      </c>
      <c r="J71" s="70">
        <v>4227.5</v>
      </c>
      <c r="K71" s="70"/>
      <c r="L71" s="70">
        <v>4227.5</v>
      </c>
    </row>
    <row r="72" spans="1:12" ht="26.25" x14ac:dyDescent="0.25">
      <c r="A72" s="6" t="s">
        <v>69</v>
      </c>
      <c r="B72" s="6"/>
      <c r="C72" s="3" t="s">
        <v>70</v>
      </c>
      <c r="D72" s="70">
        <f>D73</f>
        <v>1170.3</v>
      </c>
      <c r="E72" s="70">
        <f>E73</f>
        <v>-131.35</v>
      </c>
      <c r="F72" s="70">
        <f>F73</f>
        <v>1038.95</v>
      </c>
      <c r="G72" s="70">
        <f>G73</f>
        <v>1217.0999999999999</v>
      </c>
      <c r="H72" s="70"/>
      <c r="I72" s="70">
        <f>I73</f>
        <v>1217.0999999999999</v>
      </c>
      <c r="J72" s="70">
        <f>J73</f>
        <v>1265.8</v>
      </c>
      <c r="K72" s="70"/>
      <c r="L72" s="70">
        <f>L73</f>
        <v>1265.8</v>
      </c>
    </row>
    <row r="73" spans="1:12" ht="26.25" x14ac:dyDescent="0.25">
      <c r="A73" s="6"/>
      <c r="B73" s="6" t="s">
        <v>470</v>
      </c>
      <c r="C73" s="3" t="s">
        <v>471</v>
      </c>
      <c r="D73" s="70">
        <v>1170.3</v>
      </c>
      <c r="E73" s="70">
        <v>-131.35</v>
      </c>
      <c r="F73" s="70">
        <f>1170.3-131.35</f>
        <v>1038.95</v>
      </c>
      <c r="G73" s="70">
        <v>1217.0999999999999</v>
      </c>
      <c r="H73" s="70"/>
      <c r="I73" s="70">
        <v>1217.0999999999999</v>
      </c>
      <c r="J73" s="70">
        <v>1265.8</v>
      </c>
      <c r="K73" s="70"/>
      <c r="L73" s="70">
        <v>1265.8</v>
      </c>
    </row>
    <row r="74" spans="1:12" ht="26.25" x14ac:dyDescent="0.25">
      <c r="A74" s="16" t="s">
        <v>71</v>
      </c>
      <c r="B74" s="6"/>
      <c r="C74" s="3" t="s">
        <v>72</v>
      </c>
      <c r="D74" s="70">
        <v>245.9</v>
      </c>
      <c r="E74" s="70">
        <f>E75</f>
        <v>-5.0047300000000003</v>
      </c>
      <c r="F74" s="70">
        <f>F75</f>
        <v>240.89527000000001</v>
      </c>
      <c r="G74" s="70">
        <v>255.7</v>
      </c>
      <c r="H74" s="70"/>
      <c r="I74" s="70">
        <v>255.7</v>
      </c>
      <c r="J74" s="70">
        <v>265.89999999999998</v>
      </c>
      <c r="K74" s="70"/>
      <c r="L74" s="70">
        <v>265.89999999999998</v>
      </c>
    </row>
    <row r="75" spans="1:12" ht="26.25" x14ac:dyDescent="0.25">
      <c r="A75" s="16"/>
      <c r="B75" s="6" t="s">
        <v>470</v>
      </c>
      <c r="C75" s="3" t="s">
        <v>471</v>
      </c>
      <c r="D75" s="70">
        <v>245.9</v>
      </c>
      <c r="E75" s="70">
        <v>-5.0047300000000003</v>
      </c>
      <c r="F75" s="70">
        <f>245.9-5.00473</f>
        <v>240.89527000000001</v>
      </c>
      <c r="G75" s="70">
        <v>255.7</v>
      </c>
      <c r="H75" s="70"/>
      <c r="I75" s="70">
        <v>255.7</v>
      </c>
      <c r="J75" s="70">
        <v>265.89999999999998</v>
      </c>
      <c r="K75" s="70"/>
      <c r="L75" s="70">
        <v>265.89999999999998</v>
      </c>
    </row>
    <row r="76" spans="1:12" x14ac:dyDescent="0.25">
      <c r="A76" s="31" t="s">
        <v>73</v>
      </c>
      <c r="B76" s="31"/>
      <c r="C76" s="32" t="s">
        <v>74</v>
      </c>
      <c r="D76" s="75">
        <f t="shared" ref="D76:L76" si="12">D77+D86+D107+D119</f>
        <v>323036.99268999998</v>
      </c>
      <c r="E76" s="75">
        <f t="shared" si="12"/>
        <v>-321.10000000000002</v>
      </c>
      <c r="F76" s="75">
        <f t="shared" si="12"/>
        <v>322715.89269000001</v>
      </c>
      <c r="G76" s="75">
        <f t="shared" si="12"/>
        <v>288696.65500000003</v>
      </c>
      <c r="H76" s="75">
        <f t="shared" si="12"/>
        <v>0</v>
      </c>
      <c r="I76" s="75">
        <f t="shared" si="12"/>
        <v>288696.65500000003</v>
      </c>
      <c r="J76" s="75">
        <f t="shared" si="12"/>
        <v>317221.97586000001</v>
      </c>
      <c r="K76" s="75"/>
      <c r="L76" s="75">
        <f t="shared" si="12"/>
        <v>317221.97586000001</v>
      </c>
    </row>
    <row r="77" spans="1:12" ht="39" x14ac:dyDescent="0.25">
      <c r="A77" s="33" t="s">
        <v>75</v>
      </c>
      <c r="B77" s="33"/>
      <c r="C77" s="34" t="s">
        <v>76</v>
      </c>
      <c r="D77" s="71">
        <f t="shared" ref="D77:L77" si="13">D78+D80+D82</f>
        <v>235412.41619999998</v>
      </c>
      <c r="E77" s="71"/>
      <c r="F77" s="71">
        <f t="shared" si="13"/>
        <v>235412.41619999998</v>
      </c>
      <c r="G77" s="71">
        <f t="shared" si="13"/>
        <v>233740.77159999998</v>
      </c>
      <c r="H77" s="71"/>
      <c r="I77" s="71">
        <f t="shared" si="13"/>
        <v>233740.77159999998</v>
      </c>
      <c r="J77" s="71">
        <f t="shared" si="13"/>
        <v>229196.10339999996</v>
      </c>
      <c r="K77" s="71"/>
      <c r="L77" s="71">
        <f t="shared" si="13"/>
        <v>229196.10339999996</v>
      </c>
    </row>
    <row r="78" spans="1:12" ht="26.25" x14ac:dyDescent="0.25">
      <c r="A78" s="6" t="s">
        <v>77</v>
      </c>
      <c r="B78" s="12"/>
      <c r="C78" s="3" t="s">
        <v>78</v>
      </c>
      <c r="D78" s="70">
        <f>D79</f>
        <v>34055.699999999997</v>
      </c>
      <c r="E78" s="70"/>
      <c r="F78" s="70">
        <f>F79</f>
        <v>34055.699999999997</v>
      </c>
      <c r="G78" s="70">
        <f>G79</f>
        <v>34653.699999999997</v>
      </c>
      <c r="H78" s="70"/>
      <c r="I78" s="70">
        <f>I79</f>
        <v>34653.699999999997</v>
      </c>
      <c r="J78" s="70">
        <f>J79</f>
        <v>34653.699999999997</v>
      </c>
      <c r="K78" s="70"/>
      <c r="L78" s="70">
        <f>L79</f>
        <v>34653.699999999997</v>
      </c>
    </row>
    <row r="79" spans="1:12" ht="26.25" x14ac:dyDescent="0.25">
      <c r="A79" s="6"/>
      <c r="B79" s="6" t="s">
        <v>470</v>
      </c>
      <c r="C79" s="3" t="s">
        <v>471</v>
      </c>
      <c r="D79" s="70">
        <f>34653.7-598</f>
        <v>34055.699999999997</v>
      </c>
      <c r="E79" s="70"/>
      <c r="F79" s="70">
        <f>34653.7-598</f>
        <v>34055.699999999997</v>
      </c>
      <c r="G79" s="70">
        <f>35760.5-1106.8</f>
        <v>34653.699999999997</v>
      </c>
      <c r="H79" s="70"/>
      <c r="I79" s="70">
        <f>35760.5-1106.8</f>
        <v>34653.699999999997</v>
      </c>
      <c r="J79" s="70">
        <f>36920.2-2266.5</f>
        <v>34653.699999999997</v>
      </c>
      <c r="K79" s="70"/>
      <c r="L79" s="70">
        <f>36920.2-2266.5</f>
        <v>34653.699999999997</v>
      </c>
    </row>
    <row r="80" spans="1:12" ht="51.75" x14ac:dyDescent="0.25">
      <c r="A80" s="6" t="s">
        <v>79</v>
      </c>
      <c r="B80" s="6"/>
      <c r="C80" s="3" t="s">
        <v>80</v>
      </c>
      <c r="D80" s="70">
        <f t="shared" ref="D80:L80" si="14">D81</f>
        <v>193754.41620000001</v>
      </c>
      <c r="E80" s="70"/>
      <c r="F80" s="70">
        <f t="shared" si="14"/>
        <v>193754.41620000001</v>
      </c>
      <c r="G80" s="70">
        <f t="shared" si="14"/>
        <v>191484.77160000001</v>
      </c>
      <c r="H80" s="70"/>
      <c r="I80" s="70">
        <f t="shared" si="14"/>
        <v>191484.77160000001</v>
      </c>
      <c r="J80" s="70">
        <f t="shared" si="14"/>
        <v>186940.10339999999</v>
      </c>
      <c r="K80" s="70"/>
      <c r="L80" s="70">
        <f t="shared" si="14"/>
        <v>186940.10339999999</v>
      </c>
    </row>
    <row r="81" spans="1:12" ht="26.25" x14ac:dyDescent="0.25">
      <c r="A81" s="6"/>
      <c r="B81" s="6" t="s">
        <v>470</v>
      </c>
      <c r="C81" s="3" t="s">
        <v>471</v>
      </c>
      <c r="D81" s="70">
        <v>193754.41620000001</v>
      </c>
      <c r="E81" s="80"/>
      <c r="F81" s="80">
        <f>D81+E81</f>
        <v>193754.41620000001</v>
      </c>
      <c r="G81" s="80">
        <v>191484.77160000001</v>
      </c>
      <c r="H81" s="80"/>
      <c r="I81" s="80">
        <f>G81+H81</f>
        <v>191484.77160000001</v>
      </c>
      <c r="J81" s="80">
        <v>186940.10339999999</v>
      </c>
      <c r="K81" s="80"/>
      <c r="L81" s="70">
        <f>J81+K81</f>
        <v>186940.10339999999</v>
      </c>
    </row>
    <row r="82" spans="1:12" ht="77.25" x14ac:dyDescent="0.25">
      <c r="A82" s="6" t="s">
        <v>81</v>
      </c>
      <c r="B82" s="6"/>
      <c r="C82" s="3" t="s">
        <v>82</v>
      </c>
      <c r="D82" s="79">
        <f>D84+D85</f>
        <v>7602.3</v>
      </c>
      <c r="E82" s="79"/>
      <c r="F82" s="79">
        <f>F84+F85</f>
        <v>7602.3</v>
      </c>
      <c r="G82" s="79">
        <f>G84+G85</f>
        <v>7602.3</v>
      </c>
      <c r="H82" s="79"/>
      <c r="I82" s="79">
        <f>I84+I85</f>
        <v>7602.3</v>
      </c>
      <c r="J82" s="79">
        <f>J84+J85</f>
        <v>7602.3</v>
      </c>
      <c r="K82" s="79"/>
      <c r="L82" s="79">
        <f>L84+L85</f>
        <v>7602.3</v>
      </c>
    </row>
    <row r="83" spans="1:12" ht="26.25" x14ac:dyDescent="0.25">
      <c r="A83" s="6"/>
      <c r="B83" s="6" t="s">
        <v>470</v>
      </c>
      <c r="C83" s="3" t="s">
        <v>471</v>
      </c>
      <c r="D83" s="79">
        <f>SUM(D84:D85)</f>
        <v>7602.3</v>
      </c>
      <c r="E83" s="79"/>
      <c r="F83" s="79">
        <f>SUM(F84:F85)</f>
        <v>7602.3</v>
      </c>
      <c r="G83" s="79">
        <f>SUM(G84:G85)</f>
        <v>7602.3</v>
      </c>
      <c r="H83" s="79"/>
      <c r="I83" s="79">
        <f>SUM(I84:I85)</f>
        <v>7602.3</v>
      </c>
      <c r="J83" s="79">
        <f>SUM(J84:J85)</f>
        <v>7602.3</v>
      </c>
      <c r="K83" s="79"/>
      <c r="L83" s="79">
        <f>SUM(L84:L85)</f>
        <v>7602.3</v>
      </c>
    </row>
    <row r="84" spans="1:12" x14ac:dyDescent="0.25">
      <c r="A84" s="6"/>
      <c r="B84" s="6"/>
      <c r="C84" s="3" t="s">
        <v>83</v>
      </c>
      <c r="D84" s="70">
        <v>7032.1</v>
      </c>
      <c r="E84" s="70"/>
      <c r="F84" s="70">
        <v>7032.1</v>
      </c>
      <c r="G84" s="70">
        <v>7032.1</v>
      </c>
      <c r="H84" s="70"/>
      <c r="I84" s="70">
        <v>7032.1</v>
      </c>
      <c r="J84" s="70">
        <v>7032.1</v>
      </c>
      <c r="K84" s="70"/>
      <c r="L84" s="70">
        <v>7032.1</v>
      </c>
    </row>
    <row r="85" spans="1:12" x14ac:dyDescent="0.25">
      <c r="A85" s="6"/>
      <c r="B85" s="6"/>
      <c r="C85" s="3" t="s">
        <v>84</v>
      </c>
      <c r="D85" s="80">
        <v>570.20000000000005</v>
      </c>
      <c r="E85" s="80"/>
      <c r="F85" s="80">
        <v>570.20000000000005</v>
      </c>
      <c r="G85" s="80">
        <v>570.20000000000005</v>
      </c>
      <c r="H85" s="80"/>
      <c r="I85" s="80">
        <v>570.20000000000005</v>
      </c>
      <c r="J85" s="80">
        <v>570.20000000000005</v>
      </c>
      <c r="K85" s="80"/>
      <c r="L85" s="80">
        <v>570.20000000000005</v>
      </c>
    </row>
    <row r="86" spans="1:12" ht="39" x14ac:dyDescent="0.25">
      <c r="A86" s="33" t="s">
        <v>85</v>
      </c>
      <c r="B86" s="33"/>
      <c r="C86" s="34" t="s">
        <v>86</v>
      </c>
      <c r="D86" s="71">
        <f>D87+D89+D91+D93+D99+D101+D95+D97+D103</f>
        <v>46526.5</v>
      </c>
      <c r="E86" s="71">
        <f>E87+E89+E91+E93+E99+E101+E95+E97+E103</f>
        <v>-321.10000000000002</v>
      </c>
      <c r="F86" s="71">
        <f>F87+F89+F91+F93+F99+F101+F95+F97+F103</f>
        <v>46205.399999999994</v>
      </c>
      <c r="G86" s="71">
        <f>G87+G89+G91+G93+G99+G101+G95+G97+G103</f>
        <v>42825.5</v>
      </c>
      <c r="H86" s="71"/>
      <c r="I86" s="71">
        <f>I87+I89+I91+I93+I99+I101+I95+I97+I103</f>
        <v>42825.5</v>
      </c>
      <c r="J86" s="71">
        <f>J87+J89+J91+J93+J99+J101+J95+J97+J103</f>
        <v>43259.200000000004</v>
      </c>
      <c r="K86" s="71"/>
      <c r="L86" s="71">
        <f>L87+L89+L91+L93+L99+L101+L95+L97+L103</f>
        <v>43259.200000000004</v>
      </c>
    </row>
    <row r="87" spans="1:12" ht="26.25" x14ac:dyDescent="0.25">
      <c r="A87" s="6" t="s">
        <v>87</v>
      </c>
      <c r="B87" s="6"/>
      <c r="C87" s="3" t="s">
        <v>88</v>
      </c>
      <c r="D87" s="70">
        <f>D88</f>
        <v>6981.2</v>
      </c>
      <c r="E87" s="70">
        <f>E88</f>
        <v>-235.4</v>
      </c>
      <c r="F87" s="70">
        <f>F88</f>
        <v>6745.8</v>
      </c>
      <c r="G87" s="70">
        <f>G88</f>
        <v>7260.5</v>
      </c>
      <c r="H87" s="70"/>
      <c r="I87" s="70">
        <f>I88</f>
        <v>7260.5</v>
      </c>
      <c r="J87" s="70">
        <f>J88</f>
        <v>7550.8</v>
      </c>
      <c r="K87" s="70"/>
      <c r="L87" s="70">
        <f>L88</f>
        <v>7550.8</v>
      </c>
    </row>
    <row r="88" spans="1:12" ht="26.25" x14ac:dyDescent="0.25">
      <c r="A88" s="6"/>
      <c r="B88" s="6" t="s">
        <v>470</v>
      </c>
      <c r="C88" s="3" t="s">
        <v>471</v>
      </c>
      <c r="D88" s="80">
        <v>6981.2</v>
      </c>
      <c r="E88" s="80">
        <v>-235.4</v>
      </c>
      <c r="F88" s="80">
        <f>6981.2-235.4</f>
        <v>6745.8</v>
      </c>
      <c r="G88" s="80">
        <v>7260.5</v>
      </c>
      <c r="H88" s="80"/>
      <c r="I88" s="80">
        <v>7260.5</v>
      </c>
      <c r="J88" s="80">
        <v>7550.8</v>
      </c>
      <c r="K88" s="80"/>
      <c r="L88" s="80">
        <v>7550.8</v>
      </c>
    </row>
    <row r="89" spans="1:12" ht="26.25" x14ac:dyDescent="0.25">
      <c r="A89" s="6" t="s">
        <v>89</v>
      </c>
      <c r="B89" s="6"/>
      <c r="C89" s="3" t="s">
        <v>72</v>
      </c>
      <c r="D89" s="70">
        <f>D90</f>
        <v>1433.5</v>
      </c>
      <c r="E89" s="70"/>
      <c r="F89" s="70">
        <f>F90</f>
        <v>1433.5</v>
      </c>
      <c r="G89" s="70">
        <f>G90</f>
        <v>1490.8</v>
      </c>
      <c r="H89" s="70"/>
      <c r="I89" s="70">
        <f>I90</f>
        <v>1490.8</v>
      </c>
      <c r="J89" s="70">
        <f>J90</f>
        <v>1550.5</v>
      </c>
      <c r="K89" s="70"/>
      <c r="L89" s="70">
        <f>L90</f>
        <v>1550.5</v>
      </c>
    </row>
    <row r="90" spans="1:12" ht="26.25" x14ac:dyDescent="0.25">
      <c r="A90" s="6"/>
      <c r="B90" s="6" t="s">
        <v>470</v>
      </c>
      <c r="C90" s="3" t="s">
        <v>471</v>
      </c>
      <c r="D90" s="70">
        <v>1433.5</v>
      </c>
      <c r="E90" s="70"/>
      <c r="F90" s="70">
        <v>1433.5</v>
      </c>
      <c r="G90" s="70">
        <v>1490.8</v>
      </c>
      <c r="H90" s="70"/>
      <c r="I90" s="70">
        <v>1490.8</v>
      </c>
      <c r="J90" s="70">
        <v>1550.5</v>
      </c>
      <c r="K90" s="70"/>
      <c r="L90" s="70">
        <v>1550.5</v>
      </c>
    </row>
    <row r="91" spans="1:12" ht="39" x14ac:dyDescent="0.25">
      <c r="A91" s="6" t="s">
        <v>90</v>
      </c>
      <c r="B91" s="6"/>
      <c r="C91" s="3" t="s">
        <v>91</v>
      </c>
      <c r="D91" s="70">
        <f>D92</f>
        <v>188.6</v>
      </c>
      <c r="E91" s="70"/>
      <c r="F91" s="70">
        <f>F92</f>
        <v>188.6</v>
      </c>
      <c r="G91" s="70">
        <f>G92</f>
        <v>196.1</v>
      </c>
      <c r="H91" s="70"/>
      <c r="I91" s="70">
        <f>I92</f>
        <v>196.1</v>
      </c>
      <c r="J91" s="70">
        <f>J92</f>
        <v>204</v>
      </c>
      <c r="K91" s="70"/>
      <c r="L91" s="70">
        <f>L92</f>
        <v>204</v>
      </c>
    </row>
    <row r="92" spans="1:12" ht="26.25" x14ac:dyDescent="0.25">
      <c r="A92" s="6"/>
      <c r="B92" s="6" t="s">
        <v>470</v>
      </c>
      <c r="C92" s="3" t="s">
        <v>471</v>
      </c>
      <c r="D92" s="70">
        <v>188.6</v>
      </c>
      <c r="E92" s="70"/>
      <c r="F92" s="70">
        <v>188.6</v>
      </c>
      <c r="G92" s="70">
        <v>196.1</v>
      </c>
      <c r="H92" s="70"/>
      <c r="I92" s="70">
        <v>196.1</v>
      </c>
      <c r="J92" s="70">
        <v>204</v>
      </c>
      <c r="K92" s="70"/>
      <c r="L92" s="70">
        <v>204</v>
      </c>
    </row>
    <row r="93" spans="1:12" ht="26.25" x14ac:dyDescent="0.25">
      <c r="A93" s="6" t="s">
        <v>92</v>
      </c>
      <c r="B93" s="6"/>
      <c r="C93" s="3" t="s">
        <v>93</v>
      </c>
      <c r="D93" s="70">
        <f>D94</f>
        <v>271.3</v>
      </c>
      <c r="E93" s="70">
        <f>E94</f>
        <v>-85.7</v>
      </c>
      <c r="F93" s="70">
        <f>F94</f>
        <v>185.60000000000002</v>
      </c>
      <c r="G93" s="70">
        <f>G94</f>
        <v>282.10000000000002</v>
      </c>
      <c r="H93" s="70"/>
      <c r="I93" s="70">
        <f>I94</f>
        <v>282.10000000000002</v>
      </c>
      <c r="J93" s="70">
        <f>J94</f>
        <v>293.39999999999998</v>
      </c>
      <c r="K93" s="70"/>
      <c r="L93" s="70">
        <f>L94</f>
        <v>293.39999999999998</v>
      </c>
    </row>
    <row r="94" spans="1:12" ht="26.25" x14ac:dyDescent="0.25">
      <c r="A94" s="6"/>
      <c r="B94" s="6" t="s">
        <v>470</v>
      </c>
      <c r="C94" s="3" t="s">
        <v>471</v>
      </c>
      <c r="D94" s="70">
        <v>271.3</v>
      </c>
      <c r="E94" s="70">
        <v>-85.7</v>
      </c>
      <c r="F94" s="70">
        <f>271.3-85.7</f>
        <v>185.60000000000002</v>
      </c>
      <c r="G94" s="70">
        <v>282.10000000000002</v>
      </c>
      <c r="H94" s="70"/>
      <c r="I94" s="70">
        <v>282.10000000000002</v>
      </c>
      <c r="J94" s="70">
        <v>293.39999999999998</v>
      </c>
      <c r="K94" s="70"/>
      <c r="L94" s="70">
        <v>293.39999999999998</v>
      </c>
    </row>
    <row r="95" spans="1:12" ht="25.5" x14ac:dyDescent="0.25">
      <c r="A95" s="38" t="s">
        <v>94</v>
      </c>
      <c r="B95" s="6"/>
      <c r="C95" s="1" t="s">
        <v>675</v>
      </c>
      <c r="D95" s="70">
        <f>D96</f>
        <v>3993</v>
      </c>
      <c r="E95" s="70"/>
      <c r="F95" s="70">
        <f>F96</f>
        <v>3993</v>
      </c>
      <c r="G95" s="70">
        <f>G96</f>
        <v>3796.1</v>
      </c>
      <c r="H95" s="70"/>
      <c r="I95" s="70">
        <f>I96</f>
        <v>3796.1</v>
      </c>
      <c r="J95" s="70">
        <f>J96</f>
        <v>3685.9</v>
      </c>
      <c r="K95" s="70"/>
      <c r="L95" s="70">
        <f>L96</f>
        <v>3685.9</v>
      </c>
    </row>
    <row r="96" spans="1:12" ht="26.25" x14ac:dyDescent="0.25">
      <c r="A96" s="38"/>
      <c r="B96" s="6" t="s">
        <v>470</v>
      </c>
      <c r="C96" s="3" t="s">
        <v>471</v>
      </c>
      <c r="D96" s="70">
        <v>3993</v>
      </c>
      <c r="E96" s="70"/>
      <c r="F96" s="70">
        <v>3993</v>
      </c>
      <c r="G96" s="70">
        <v>3796.1</v>
      </c>
      <c r="H96" s="70"/>
      <c r="I96" s="70">
        <v>3796.1</v>
      </c>
      <c r="J96" s="70">
        <v>3685.9</v>
      </c>
      <c r="K96" s="70"/>
      <c r="L96" s="70">
        <v>3685.9</v>
      </c>
    </row>
    <row r="97" spans="1:12" ht="26.25" x14ac:dyDescent="0.25">
      <c r="A97" s="38" t="s">
        <v>95</v>
      </c>
      <c r="B97" s="6"/>
      <c r="C97" s="3" t="s">
        <v>676</v>
      </c>
      <c r="D97" s="70">
        <f>D98</f>
        <v>5123.5</v>
      </c>
      <c r="E97" s="70"/>
      <c r="F97" s="70">
        <f>F98</f>
        <v>5123.5</v>
      </c>
      <c r="G97" s="70">
        <f>G98</f>
        <v>4870.8999999999996</v>
      </c>
      <c r="H97" s="70"/>
      <c r="I97" s="70">
        <f>I98</f>
        <v>4870.8999999999996</v>
      </c>
      <c r="J97" s="70">
        <f>J98</f>
        <v>4729.3</v>
      </c>
      <c r="K97" s="70"/>
      <c r="L97" s="70">
        <f>L98</f>
        <v>4729.3</v>
      </c>
    </row>
    <row r="98" spans="1:12" ht="26.25" x14ac:dyDescent="0.25">
      <c r="A98" s="38"/>
      <c r="B98" s="6" t="s">
        <v>470</v>
      </c>
      <c r="C98" s="3" t="s">
        <v>471</v>
      </c>
      <c r="D98" s="70">
        <v>5123.5</v>
      </c>
      <c r="E98" s="70"/>
      <c r="F98" s="70">
        <v>5123.5</v>
      </c>
      <c r="G98" s="70">
        <v>4870.8999999999996</v>
      </c>
      <c r="H98" s="70"/>
      <c r="I98" s="70">
        <v>4870.8999999999996</v>
      </c>
      <c r="J98" s="70">
        <v>4729.3</v>
      </c>
      <c r="K98" s="70"/>
      <c r="L98" s="70">
        <v>4729.3</v>
      </c>
    </row>
    <row r="99" spans="1:12" ht="39" x14ac:dyDescent="0.25">
      <c r="A99" s="6" t="s">
        <v>96</v>
      </c>
      <c r="B99" s="6"/>
      <c r="C99" s="3" t="s">
        <v>97</v>
      </c>
      <c r="D99" s="70">
        <f>D100</f>
        <v>12128.1</v>
      </c>
      <c r="E99" s="70"/>
      <c r="F99" s="70">
        <f>F100</f>
        <v>12128.1</v>
      </c>
      <c r="G99" s="70">
        <f>G100</f>
        <v>12128.1</v>
      </c>
      <c r="H99" s="70"/>
      <c r="I99" s="70">
        <f>I100</f>
        <v>12128.1</v>
      </c>
      <c r="J99" s="70">
        <f>J100</f>
        <v>12128.1</v>
      </c>
      <c r="K99" s="70"/>
      <c r="L99" s="70">
        <f>L100</f>
        <v>12128.1</v>
      </c>
    </row>
    <row r="100" spans="1:12" ht="26.25" x14ac:dyDescent="0.25">
      <c r="A100" s="6"/>
      <c r="B100" s="6" t="s">
        <v>470</v>
      </c>
      <c r="C100" s="3" t="s">
        <v>471</v>
      </c>
      <c r="D100" s="70">
        <v>12128.1</v>
      </c>
      <c r="E100" s="70"/>
      <c r="F100" s="70">
        <v>12128.1</v>
      </c>
      <c r="G100" s="70">
        <v>12128.1</v>
      </c>
      <c r="H100" s="70"/>
      <c r="I100" s="70">
        <v>12128.1</v>
      </c>
      <c r="J100" s="70">
        <v>12128.1</v>
      </c>
      <c r="K100" s="70"/>
      <c r="L100" s="70">
        <v>12128.1</v>
      </c>
    </row>
    <row r="101" spans="1:12" ht="39" x14ac:dyDescent="0.25">
      <c r="A101" s="6" t="s">
        <v>98</v>
      </c>
      <c r="B101" s="6"/>
      <c r="C101" s="3" t="s">
        <v>431</v>
      </c>
      <c r="D101" s="70">
        <f>D102</f>
        <v>13563.3</v>
      </c>
      <c r="E101" s="70"/>
      <c r="F101" s="70">
        <f>F102</f>
        <v>13563.3</v>
      </c>
      <c r="G101" s="70">
        <f>G102</f>
        <v>12800.9</v>
      </c>
      <c r="H101" s="70"/>
      <c r="I101" s="70">
        <f>I102</f>
        <v>12800.9</v>
      </c>
      <c r="J101" s="70">
        <f>J102</f>
        <v>13117.2</v>
      </c>
      <c r="K101" s="70"/>
      <c r="L101" s="70">
        <f>L102</f>
        <v>13117.2</v>
      </c>
    </row>
    <row r="102" spans="1:12" ht="26.25" x14ac:dyDescent="0.25">
      <c r="A102" s="6"/>
      <c r="B102" s="6" t="s">
        <v>470</v>
      </c>
      <c r="C102" s="3" t="s">
        <v>471</v>
      </c>
      <c r="D102" s="70">
        <v>13563.3</v>
      </c>
      <c r="E102" s="70"/>
      <c r="F102" s="70">
        <v>13563.3</v>
      </c>
      <c r="G102" s="70">
        <v>12800.9</v>
      </c>
      <c r="H102" s="70"/>
      <c r="I102" s="70">
        <v>12800.9</v>
      </c>
      <c r="J102" s="70">
        <v>13117.2</v>
      </c>
      <c r="K102" s="70"/>
      <c r="L102" s="70">
        <v>13117.2</v>
      </c>
    </row>
    <row r="103" spans="1:12" ht="26.25" x14ac:dyDescent="0.25">
      <c r="A103" s="6" t="s">
        <v>505</v>
      </c>
      <c r="B103" s="6"/>
      <c r="C103" s="3" t="s">
        <v>484</v>
      </c>
      <c r="D103" s="70">
        <f>D104</f>
        <v>2844</v>
      </c>
      <c r="E103" s="70"/>
      <c r="F103" s="70">
        <f>F104</f>
        <v>2844</v>
      </c>
      <c r="G103" s="70">
        <f>G104</f>
        <v>0</v>
      </c>
      <c r="H103" s="70"/>
      <c r="I103" s="70">
        <f>I104</f>
        <v>0</v>
      </c>
      <c r="J103" s="70">
        <f>J104</f>
        <v>0</v>
      </c>
      <c r="K103" s="70"/>
      <c r="L103" s="70">
        <f>L104</f>
        <v>0</v>
      </c>
    </row>
    <row r="104" spans="1:12" ht="26.25" x14ac:dyDescent="0.25">
      <c r="A104" s="6"/>
      <c r="B104" s="6" t="s">
        <v>470</v>
      </c>
      <c r="C104" s="3" t="s">
        <v>471</v>
      </c>
      <c r="D104" s="70">
        <v>2844</v>
      </c>
      <c r="E104" s="70"/>
      <c r="F104" s="70">
        <v>2844</v>
      </c>
      <c r="G104" s="70">
        <v>0</v>
      </c>
      <c r="H104" s="70"/>
      <c r="I104" s="70">
        <v>0</v>
      </c>
      <c r="J104" s="70">
        <v>0</v>
      </c>
      <c r="K104" s="70"/>
      <c r="L104" s="70">
        <v>0</v>
      </c>
    </row>
    <row r="105" spans="1:12" x14ac:dyDescent="0.25">
      <c r="A105" s="6"/>
      <c r="B105" s="6"/>
      <c r="C105" s="3" t="s">
        <v>83</v>
      </c>
      <c r="D105" s="70">
        <v>2133</v>
      </c>
      <c r="E105" s="70"/>
      <c r="F105" s="70">
        <v>2133</v>
      </c>
      <c r="G105" s="70">
        <v>0</v>
      </c>
      <c r="H105" s="70"/>
      <c r="I105" s="70">
        <v>0</v>
      </c>
      <c r="J105" s="70">
        <v>0</v>
      </c>
      <c r="K105" s="70"/>
      <c r="L105" s="70">
        <v>0</v>
      </c>
    </row>
    <row r="106" spans="1:12" x14ac:dyDescent="0.25">
      <c r="A106" s="6"/>
      <c r="B106" s="6"/>
      <c r="C106" s="3" t="s">
        <v>84</v>
      </c>
      <c r="D106" s="70">
        <v>711</v>
      </c>
      <c r="E106" s="70"/>
      <c r="F106" s="70">
        <v>711</v>
      </c>
      <c r="G106" s="70">
        <v>0</v>
      </c>
      <c r="H106" s="70"/>
      <c r="I106" s="70">
        <v>0</v>
      </c>
      <c r="J106" s="70">
        <v>0</v>
      </c>
      <c r="K106" s="70"/>
      <c r="L106" s="70">
        <v>0</v>
      </c>
    </row>
    <row r="107" spans="1:12" s="39" customFormat="1" ht="39" x14ac:dyDescent="0.25">
      <c r="A107" s="33" t="s">
        <v>99</v>
      </c>
      <c r="B107" s="33"/>
      <c r="C107" s="34" t="s">
        <v>100</v>
      </c>
      <c r="D107" s="71">
        <f>D108+D115</f>
        <v>40669.593090000002</v>
      </c>
      <c r="E107" s="71"/>
      <c r="F107" s="71">
        <f>F108+F115</f>
        <v>40669.593090000002</v>
      </c>
      <c r="G107" s="71">
        <f t="shared" ref="G107:L107" si="15">G108+G115+G113</f>
        <v>11701.9</v>
      </c>
      <c r="H107" s="71"/>
      <c r="I107" s="71">
        <f t="shared" si="15"/>
        <v>11701.9</v>
      </c>
      <c r="J107" s="71">
        <f t="shared" si="15"/>
        <v>44338.189059999997</v>
      </c>
      <c r="K107" s="71"/>
      <c r="L107" s="71">
        <f t="shared" si="15"/>
        <v>44338.189059999997</v>
      </c>
    </row>
    <row r="108" spans="1:12" s="39" customFormat="1" ht="25.5" x14ac:dyDescent="0.25">
      <c r="A108" s="6" t="s">
        <v>101</v>
      </c>
      <c r="B108" s="6"/>
      <c r="C108" s="2" t="s">
        <v>102</v>
      </c>
      <c r="D108" s="70">
        <f>D110+D111+D112</f>
        <v>40669.593090000002</v>
      </c>
      <c r="E108" s="70"/>
      <c r="F108" s="70">
        <f>F110+F111+F112</f>
        <v>40669.593090000002</v>
      </c>
      <c r="G108" s="70">
        <f>G109</f>
        <v>0</v>
      </c>
      <c r="H108" s="70"/>
      <c r="I108" s="70">
        <f>I109</f>
        <v>0</v>
      </c>
      <c r="J108" s="70">
        <v>0</v>
      </c>
      <c r="K108" s="70"/>
      <c r="L108" s="70">
        <v>0</v>
      </c>
    </row>
    <row r="109" spans="1:12" s="39" customFormat="1" ht="26.25" x14ac:dyDescent="0.25">
      <c r="A109" s="6"/>
      <c r="B109" s="22" t="s">
        <v>298</v>
      </c>
      <c r="C109" s="3" t="s">
        <v>299</v>
      </c>
      <c r="D109" s="70">
        <f>D110+D111+D112</f>
        <v>40669.593090000002</v>
      </c>
      <c r="E109" s="70"/>
      <c r="F109" s="70">
        <f>F110+F111+F112</f>
        <v>40669.593090000002</v>
      </c>
      <c r="G109" s="70">
        <v>0</v>
      </c>
      <c r="H109" s="70"/>
      <c r="I109" s="70">
        <v>0</v>
      </c>
      <c r="J109" s="70">
        <v>0</v>
      </c>
      <c r="K109" s="70"/>
      <c r="L109" s="70">
        <v>0</v>
      </c>
    </row>
    <row r="110" spans="1:12" x14ac:dyDescent="0.25">
      <c r="A110" s="6"/>
      <c r="B110" s="6"/>
      <c r="C110" s="3" t="s">
        <v>103</v>
      </c>
      <c r="D110" s="70">
        <v>0</v>
      </c>
      <c r="E110" s="70"/>
      <c r="F110" s="70">
        <v>0</v>
      </c>
      <c r="G110" s="70">
        <v>0</v>
      </c>
      <c r="H110" s="70"/>
      <c r="I110" s="70">
        <v>0</v>
      </c>
      <c r="J110" s="70">
        <v>0</v>
      </c>
      <c r="K110" s="70"/>
      <c r="L110" s="70">
        <v>0</v>
      </c>
    </row>
    <row r="111" spans="1:12" x14ac:dyDescent="0.25">
      <c r="A111" s="6"/>
      <c r="B111" s="6"/>
      <c r="C111" s="3" t="s">
        <v>104</v>
      </c>
      <c r="D111" s="70">
        <v>30121.14</v>
      </c>
      <c r="E111" s="70"/>
      <c r="F111" s="70">
        <v>30121.14</v>
      </c>
      <c r="G111" s="70">
        <v>0</v>
      </c>
      <c r="H111" s="70"/>
      <c r="I111" s="70">
        <v>0</v>
      </c>
      <c r="J111" s="70">
        <v>0</v>
      </c>
      <c r="K111" s="70"/>
      <c r="L111" s="70">
        <v>0</v>
      </c>
    </row>
    <row r="112" spans="1:12" x14ac:dyDescent="0.25">
      <c r="A112" s="6"/>
      <c r="B112" s="6"/>
      <c r="C112" s="3" t="s">
        <v>105</v>
      </c>
      <c r="D112" s="70">
        <v>10548.453090000001</v>
      </c>
      <c r="E112" s="70"/>
      <c r="F112" s="70">
        <f>10478.86+69.59309</f>
        <v>10548.453090000001</v>
      </c>
      <c r="G112" s="70">
        <v>0</v>
      </c>
      <c r="H112" s="70"/>
      <c r="I112" s="70">
        <v>0</v>
      </c>
      <c r="J112" s="70">
        <v>0</v>
      </c>
      <c r="K112" s="70"/>
      <c r="L112" s="70">
        <v>0</v>
      </c>
    </row>
    <row r="113" spans="1:12" ht="25.5" x14ac:dyDescent="0.25">
      <c r="A113" s="6" t="s">
        <v>489</v>
      </c>
      <c r="B113" s="6"/>
      <c r="C113" s="65" t="s">
        <v>677</v>
      </c>
      <c r="D113" s="70">
        <v>0</v>
      </c>
      <c r="E113" s="70"/>
      <c r="F113" s="70">
        <v>0</v>
      </c>
      <c r="G113" s="70">
        <f>G114</f>
        <v>11701.9</v>
      </c>
      <c r="H113" s="70"/>
      <c r="I113" s="70">
        <f>I114</f>
        <v>11701.9</v>
      </c>
      <c r="J113" s="70">
        <v>0</v>
      </c>
      <c r="K113" s="70"/>
      <c r="L113" s="70">
        <v>0</v>
      </c>
    </row>
    <row r="114" spans="1:12" ht="26.25" x14ac:dyDescent="0.25">
      <c r="A114" s="6"/>
      <c r="B114" s="6" t="s">
        <v>280</v>
      </c>
      <c r="C114" s="3" t="s">
        <v>281</v>
      </c>
      <c r="D114" s="70">
        <v>0</v>
      </c>
      <c r="E114" s="70"/>
      <c r="F114" s="70">
        <v>0</v>
      </c>
      <c r="G114" s="70">
        <v>11701.9</v>
      </c>
      <c r="H114" s="70"/>
      <c r="I114" s="70">
        <f>SUM(G114:H114)</f>
        <v>11701.9</v>
      </c>
      <c r="J114" s="70">
        <v>0</v>
      </c>
      <c r="K114" s="70"/>
      <c r="L114" s="70">
        <v>0</v>
      </c>
    </row>
    <row r="115" spans="1:12" s="39" customFormat="1" ht="25.5" x14ac:dyDescent="0.25">
      <c r="A115" s="6" t="s">
        <v>432</v>
      </c>
      <c r="B115" s="6"/>
      <c r="C115" s="2" t="s">
        <v>106</v>
      </c>
      <c r="D115" s="70">
        <v>0</v>
      </c>
      <c r="E115" s="70"/>
      <c r="F115" s="70">
        <v>0</v>
      </c>
      <c r="G115" s="70">
        <f>G116</f>
        <v>0</v>
      </c>
      <c r="H115" s="70"/>
      <c r="I115" s="70">
        <f>I116</f>
        <v>0</v>
      </c>
      <c r="J115" s="70">
        <f>J117+J118</f>
        <v>44338.189059999997</v>
      </c>
      <c r="K115" s="70"/>
      <c r="L115" s="70">
        <f>L117+L118</f>
        <v>44338.189059999997</v>
      </c>
    </row>
    <row r="116" spans="1:12" s="39" customFormat="1" ht="26.25" x14ac:dyDescent="0.25">
      <c r="A116" s="6"/>
      <c r="B116" s="22" t="s">
        <v>298</v>
      </c>
      <c r="C116" s="3" t="s">
        <v>299</v>
      </c>
      <c r="D116" s="70">
        <v>0</v>
      </c>
      <c r="E116" s="70"/>
      <c r="F116" s="70">
        <v>0</v>
      </c>
      <c r="G116" s="70">
        <f>G118</f>
        <v>0</v>
      </c>
      <c r="H116" s="70"/>
      <c r="I116" s="70">
        <f>I118</f>
        <v>0</v>
      </c>
      <c r="J116" s="70">
        <f>J117+J118</f>
        <v>44338.189059999997</v>
      </c>
      <c r="K116" s="70"/>
      <c r="L116" s="70">
        <f>L117+L118</f>
        <v>44338.189059999997</v>
      </c>
    </row>
    <row r="117" spans="1:12" x14ac:dyDescent="0.25">
      <c r="A117" s="6"/>
      <c r="B117" s="6"/>
      <c r="C117" s="3" t="s">
        <v>152</v>
      </c>
      <c r="D117" s="70">
        <v>0</v>
      </c>
      <c r="E117" s="70"/>
      <c r="F117" s="70">
        <v>0</v>
      </c>
      <c r="G117" s="70">
        <v>0</v>
      </c>
      <c r="H117" s="70"/>
      <c r="I117" s="70">
        <v>0</v>
      </c>
      <c r="J117" s="70">
        <v>38559.189059999997</v>
      </c>
      <c r="K117" s="70"/>
      <c r="L117" s="70">
        <v>38559.189059999997</v>
      </c>
    </row>
    <row r="118" spans="1:12" x14ac:dyDescent="0.25">
      <c r="A118" s="6"/>
      <c r="B118" s="6"/>
      <c r="C118" s="3" t="s">
        <v>105</v>
      </c>
      <c r="D118" s="70">
        <v>0</v>
      </c>
      <c r="E118" s="70"/>
      <c r="F118" s="70">
        <v>0</v>
      </c>
      <c r="G118" s="80">
        <v>0</v>
      </c>
      <c r="H118" s="80"/>
      <c r="I118" s="80">
        <v>0</v>
      </c>
      <c r="J118" s="80">
        <v>5779</v>
      </c>
      <c r="K118" s="80"/>
      <c r="L118" s="80">
        <v>5779</v>
      </c>
    </row>
    <row r="119" spans="1:12" ht="38.25" x14ac:dyDescent="0.25">
      <c r="A119" s="88" t="s">
        <v>519</v>
      </c>
      <c r="B119" s="14"/>
      <c r="C119" s="89" t="s">
        <v>678</v>
      </c>
      <c r="D119" s="71">
        <f t="shared" ref="D119:J120" si="16">D120</f>
        <v>428.48340000000002</v>
      </c>
      <c r="E119" s="71"/>
      <c r="F119" s="71">
        <f t="shared" si="16"/>
        <v>428.48340000000002</v>
      </c>
      <c r="G119" s="71">
        <f t="shared" si="16"/>
        <v>428.48340000000002</v>
      </c>
      <c r="H119" s="71"/>
      <c r="I119" s="71">
        <f t="shared" si="16"/>
        <v>428.48340000000002</v>
      </c>
      <c r="J119" s="71">
        <f t="shared" si="16"/>
        <v>428.48340000000002</v>
      </c>
      <c r="K119" s="71"/>
      <c r="L119" s="71">
        <f>L120</f>
        <v>428.48340000000002</v>
      </c>
    </row>
    <row r="120" spans="1:12" ht="39" x14ac:dyDescent="0.25">
      <c r="A120" s="6" t="s">
        <v>520</v>
      </c>
      <c r="B120" s="6"/>
      <c r="C120" s="3" t="s">
        <v>521</v>
      </c>
      <c r="D120" s="70">
        <f t="shared" si="16"/>
        <v>428.48340000000002</v>
      </c>
      <c r="E120" s="70"/>
      <c r="F120" s="70">
        <f t="shared" si="16"/>
        <v>428.48340000000002</v>
      </c>
      <c r="G120" s="70">
        <f t="shared" si="16"/>
        <v>428.48340000000002</v>
      </c>
      <c r="H120" s="70"/>
      <c r="I120" s="70">
        <f t="shared" si="16"/>
        <v>428.48340000000002</v>
      </c>
      <c r="J120" s="70">
        <f t="shared" si="16"/>
        <v>428.48340000000002</v>
      </c>
      <c r="K120" s="70"/>
      <c r="L120" s="70">
        <f>L121</f>
        <v>428.48340000000002</v>
      </c>
    </row>
    <row r="121" spans="1:12" ht="26.25" x14ac:dyDescent="0.25">
      <c r="A121" s="6"/>
      <c r="B121" s="6" t="s">
        <v>470</v>
      </c>
      <c r="C121" s="3" t="s">
        <v>471</v>
      </c>
      <c r="D121" s="70">
        <v>428.48340000000002</v>
      </c>
      <c r="E121" s="70"/>
      <c r="F121" s="70">
        <f>SUM(D121:E121)</f>
        <v>428.48340000000002</v>
      </c>
      <c r="G121" s="70">
        <v>428.48340000000002</v>
      </c>
      <c r="H121" s="70"/>
      <c r="I121" s="70">
        <v>428.48340000000002</v>
      </c>
      <c r="J121" s="70">
        <v>428.48340000000002</v>
      </c>
      <c r="K121" s="70"/>
      <c r="L121" s="70">
        <v>428.48340000000002</v>
      </c>
    </row>
    <row r="122" spans="1:12" x14ac:dyDescent="0.25">
      <c r="A122" s="31" t="s">
        <v>107</v>
      </c>
      <c r="B122" s="31"/>
      <c r="C122" s="32" t="s">
        <v>108</v>
      </c>
      <c r="D122" s="75">
        <f>D123</f>
        <v>36669.799999999996</v>
      </c>
      <c r="E122" s="75"/>
      <c r="F122" s="75">
        <f>F123</f>
        <v>36669.799999999996</v>
      </c>
      <c r="G122" s="75">
        <f>G123</f>
        <v>36864.700000000012</v>
      </c>
      <c r="H122" s="75"/>
      <c r="I122" s="75">
        <f>I123</f>
        <v>36864.700000000012</v>
      </c>
      <c r="J122" s="75">
        <f>J123</f>
        <v>36790.500000000007</v>
      </c>
      <c r="K122" s="75"/>
      <c r="L122" s="75">
        <f>L123</f>
        <v>36790.500000000007</v>
      </c>
    </row>
    <row r="123" spans="1:12" ht="26.25" x14ac:dyDescent="0.25">
      <c r="A123" s="33" t="s">
        <v>109</v>
      </c>
      <c r="B123" s="36"/>
      <c r="C123" s="34" t="s">
        <v>110</v>
      </c>
      <c r="D123" s="71">
        <f>D124+D126+D128+D130+D132+D134+D136</f>
        <v>36669.799999999996</v>
      </c>
      <c r="E123" s="71"/>
      <c r="F123" s="71">
        <f>F124+F126+F128+F130+F132+F134+F136</f>
        <v>36669.799999999996</v>
      </c>
      <c r="G123" s="71">
        <f>G124+G126+G128+G130+G132+G134+G136</f>
        <v>36864.700000000012</v>
      </c>
      <c r="H123" s="71"/>
      <c r="I123" s="71">
        <f>I124+I126+I128+I130+I132+I134+I136</f>
        <v>36864.700000000012</v>
      </c>
      <c r="J123" s="71">
        <f>J124+J126+J128+J130+J132+J134+J136</f>
        <v>36790.500000000007</v>
      </c>
      <c r="K123" s="71"/>
      <c r="L123" s="71">
        <f>L124+L126+L128+L130+L132+L134+L136</f>
        <v>36790.500000000007</v>
      </c>
    </row>
    <row r="124" spans="1:12" ht="39" x14ac:dyDescent="0.25">
      <c r="A124" s="6" t="s">
        <v>111</v>
      </c>
      <c r="B124" s="12"/>
      <c r="C124" s="3" t="s">
        <v>679</v>
      </c>
      <c r="D124" s="70">
        <f>D125</f>
        <v>22580.3</v>
      </c>
      <c r="E124" s="70"/>
      <c r="F124" s="70">
        <f>F125</f>
        <v>22580.3</v>
      </c>
      <c r="G124" s="70">
        <f>G125</f>
        <v>22616.3</v>
      </c>
      <c r="H124" s="70"/>
      <c r="I124" s="70">
        <f>I125</f>
        <v>22616.3</v>
      </c>
      <c r="J124" s="70">
        <f>J125</f>
        <v>22612.799999999999</v>
      </c>
      <c r="K124" s="70"/>
      <c r="L124" s="70">
        <f>L125</f>
        <v>22612.799999999999</v>
      </c>
    </row>
    <row r="125" spans="1:12" ht="26.25" x14ac:dyDescent="0.25">
      <c r="A125" s="6"/>
      <c r="B125" s="6" t="s">
        <v>470</v>
      </c>
      <c r="C125" s="3" t="s">
        <v>471</v>
      </c>
      <c r="D125" s="70">
        <f>22651.1-70.8</f>
        <v>22580.3</v>
      </c>
      <c r="E125" s="70"/>
      <c r="F125" s="70">
        <f>22651.1-70.8</f>
        <v>22580.3</v>
      </c>
      <c r="G125" s="70">
        <f>22672.3-56</f>
        <v>22616.3</v>
      </c>
      <c r="H125" s="70"/>
      <c r="I125" s="70">
        <f>22672.3-56</f>
        <v>22616.3</v>
      </c>
      <c r="J125" s="70">
        <f>22754.6-141.8</f>
        <v>22612.799999999999</v>
      </c>
      <c r="K125" s="70"/>
      <c r="L125" s="70">
        <f>22754.6-141.8</f>
        <v>22612.799999999999</v>
      </c>
    </row>
    <row r="126" spans="1:12" ht="39" x14ac:dyDescent="0.25">
      <c r="A126" s="6" t="s">
        <v>112</v>
      </c>
      <c r="B126" s="12"/>
      <c r="C126" s="3" t="s">
        <v>680</v>
      </c>
      <c r="D126" s="70">
        <f>D127</f>
        <v>13392.5</v>
      </c>
      <c r="E126" s="70"/>
      <c r="F126" s="70">
        <f>F127</f>
        <v>13392.5</v>
      </c>
      <c r="G126" s="70">
        <f>G127</f>
        <v>13538.199999999999</v>
      </c>
      <c r="H126" s="70"/>
      <c r="I126" s="70">
        <f>I127</f>
        <v>13538.199999999999</v>
      </c>
      <c r="J126" s="70">
        <f>J127</f>
        <v>13451.1</v>
      </c>
      <c r="K126" s="70"/>
      <c r="L126" s="70">
        <f>L127</f>
        <v>13451.1</v>
      </c>
    </row>
    <row r="127" spans="1:12" ht="26.25" x14ac:dyDescent="0.25">
      <c r="A127" s="6"/>
      <c r="B127" s="6" t="s">
        <v>470</v>
      </c>
      <c r="C127" s="3" t="s">
        <v>471</v>
      </c>
      <c r="D127" s="70">
        <f>13452.3-59.8</f>
        <v>13392.5</v>
      </c>
      <c r="E127" s="70"/>
      <c r="F127" s="70">
        <f>13452.3-59.8</f>
        <v>13392.5</v>
      </c>
      <c r="G127" s="70">
        <f>13618.4-80.2</f>
        <v>13538.199999999999</v>
      </c>
      <c r="H127" s="70"/>
      <c r="I127" s="70">
        <f>13618.4-80.2</f>
        <v>13538.199999999999</v>
      </c>
      <c r="J127" s="70">
        <f>13623.1-172</f>
        <v>13451.1</v>
      </c>
      <c r="K127" s="70"/>
      <c r="L127" s="70">
        <f>13623.1-172</f>
        <v>13451.1</v>
      </c>
    </row>
    <row r="128" spans="1:12" x14ac:dyDescent="0.25">
      <c r="A128" s="6" t="s">
        <v>113</v>
      </c>
      <c r="B128" s="6"/>
      <c r="C128" s="3" t="s">
        <v>114</v>
      </c>
      <c r="D128" s="70">
        <f>D129</f>
        <v>274.2</v>
      </c>
      <c r="E128" s="70"/>
      <c r="F128" s="70">
        <f>F129</f>
        <v>274.2</v>
      </c>
      <c r="G128" s="70">
        <f>G129</f>
        <v>279.5</v>
      </c>
      <c r="H128" s="70"/>
      <c r="I128" s="70">
        <f>I129</f>
        <v>279.5</v>
      </c>
      <c r="J128" s="70">
        <f>J129</f>
        <v>284.89999999999998</v>
      </c>
      <c r="K128" s="70"/>
      <c r="L128" s="70">
        <f>L129</f>
        <v>284.89999999999998</v>
      </c>
    </row>
    <row r="129" spans="1:12" ht="26.25" x14ac:dyDescent="0.25">
      <c r="A129" s="6"/>
      <c r="B129" s="6" t="s">
        <v>470</v>
      </c>
      <c r="C129" s="3" t="s">
        <v>471</v>
      </c>
      <c r="D129" s="70">
        <v>274.2</v>
      </c>
      <c r="E129" s="70"/>
      <c r="F129" s="70">
        <v>274.2</v>
      </c>
      <c r="G129" s="70">
        <v>279.5</v>
      </c>
      <c r="H129" s="70"/>
      <c r="I129" s="70">
        <v>279.5</v>
      </c>
      <c r="J129" s="70">
        <v>284.89999999999998</v>
      </c>
      <c r="K129" s="70"/>
      <c r="L129" s="70">
        <v>284.89999999999998</v>
      </c>
    </row>
    <row r="130" spans="1:12" x14ac:dyDescent="0.25">
      <c r="A130" s="6" t="s">
        <v>115</v>
      </c>
      <c r="B130" s="6"/>
      <c r="C130" s="3" t="s">
        <v>116</v>
      </c>
      <c r="D130" s="70">
        <f>D131</f>
        <v>108.9</v>
      </c>
      <c r="E130" s="70"/>
      <c r="F130" s="70">
        <f>F131</f>
        <v>108.9</v>
      </c>
      <c r="G130" s="70">
        <f>G131</f>
        <v>109.3</v>
      </c>
      <c r="H130" s="70"/>
      <c r="I130" s="70">
        <f>I131</f>
        <v>109.3</v>
      </c>
      <c r="J130" s="70">
        <f>J131</f>
        <v>109.8</v>
      </c>
      <c r="K130" s="70"/>
      <c r="L130" s="70">
        <f>L131</f>
        <v>109.8</v>
      </c>
    </row>
    <row r="131" spans="1:12" ht="26.25" x14ac:dyDescent="0.25">
      <c r="A131" s="6"/>
      <c r="B131" s="6" t="s">
        <v>470</v>
      </c>
      <c r="C131" s="3" t="s">
        <v>471</v>
      </c>
      <c r="D131" s="70">
        <v>108.9</v>
      </c>
      <c r="E131" s="70"/>
      <c r="F131" s="70">
        <v>108.9</v>
      </c>
      <c r="G131" s="70">
        <v>109.3</v>
      </c>
      <c r="H131" s="70"/>
      <c r="I131" s="70">
        <v>109.3</v>
      </c>
      <c r="J131" s="70">
        <v>109.8</v>
      </c>
      <c r="K131" s="70"/>
      <c r="L131" s="70">
        <v>109.8</v>
      </c>
    </row>
    <row r="132" spans="1:12" ht="26.25" x14ac:dyDescent="0.25">
      <c r="A132" s="6" t="s">
        <v>117</v>
      </c>
      <c r="B132" s="6"/>
      <c r="C132" s="3" t="s">
        <v>118</v>
      </c>
      <c r="D132" s="70">
        <v>74.599999999999994</v>
      </c>
      <c r="E132" s="70"/>
      <c r="F132" s="70">
        <v>74.599999999999994</v>
      </c>
      <c r="G132" s="70">
        <v>76.8</v>
      </c>
      <c r="H132" s="70"/>
      <c r="I132" s="70">
        <v>76.8</v>
      </c>
      <c r="J132" s="70">
        <f>J133</f>
        <v>81.900000000000006</v>
      </c>
      <c r="K132" s="70"/>
      <c r="L132" s="70">
        <f>L133</f>
        <v>81.900000000000006</v>
      </c>
    </row>
    <row r="133" spans="1:12" ht="26.25" x14ac:dyDescent="0.25">
      <c r="A133" s="6"/>
      <c r="B133" s="6" t="s">
        <v>470</v>
      </c>
      <c r="C133" s="3" t="s">
        <v>471</v>
      </c>
      <c r="D133" s="70">
        <v>74.599999999999994</v>
      </c>
      <c r="E133" s="70"/>
      <c r="F133" s="70">
        <v>74.599999999999994</v>
      </c>
      <c r="G133" s="70">
        <v>76.8</v>
      </c>
      <c r="H133" s="70"/>
      <c r="I133" s="70">
        <v>76.8</v>
      </c>
      <c r="J133" s="70">
        <v>81.900000000000006</v>
      </c>
      <c r="K133" s="70"/>
      <c r="L133" s="70">
        <v>81.900000000000006</v>
      </c>
    </row>
    <row r="134" spans="1:12" ht="39" x14ac:dyDescent="0.25">
      <c r="A134" s="6" t="s">
        <v>119</v>
      </c>
      <c r="B134" s="6"/>
      <c r="C134" s="3" t="s">
        <v>120</v>
      </c>
      <c r="D134" s="70">
        <v>83.7</v>
      </c>
      <c r="E134" s="70"/>
      <c r="F134" s="70">
        <v>83.7</v>
      </c>
      <c r="G134" s="70">
        <f>G135</f>
        <v>86.3</v>
      </c>
      <c r="H134" s="70"/>
      <c r="I134" s="70">
        <f>I135</f>
        <v>86.3</v>
      </c>
      <c r="J134" s="70">
        <f>J135</f>
        <v>89</v>
      </c>
      <c r="K134" s="70"/>
      <c r="L134" s="70">
        <f>L135</f>
        <v>89</v>
      </c>
    </row>
    <row r="135" spans="1:12" ht="26.25" x14ac:dyDescent="0.25">
      <c r="A135" s="6"/>
      <c r="B135" s="6" t="s">
        <v>470</v>
      </c>
      <c r="C135" s="3" t="s">
        <v>471</v>
      </c>
      <c r="D135" s="70">
        <v>83.7</v>
      </c>
      <c r="E135" s="70"/>
      <c r="F135" s="70">
        <v>83.7</v>
      </c>
      <c r="G135" s="70">
        <v>86.3</v>
      </c>
      <c r="H135" s="70"/>
      <c r="I135" s="70">
        <v>86.3</v>
      </c>
      <c r="J135" s="70">
        <v>89</v>
      </c>
      <c r="K135" s="70"/>
      <c r="L135" s="70">
        <v>89</v>
      </c>
    </row>
    <row r="136" spans="1:12" ht="26.25" x14ac:dyDescent="0.25">
      <c r="A136" s="6" t="s">
        <v>433</v>
      </c>
      <c r="B136" s="6"/>
      <c r="C136" s="3" t="s">
        <v>121</v>
      </c>
      <c r="D136" s="70">
        <f>D137</f>
        <v>155.6</v>
      </c>
      <c r="E136" s="70"/>
      <c r="F136" s="70">
        <f>F137</f>
        <v>155.6</v>
      </c>
      <c r="G136" s="70">
        <f>G137</f>
        <v>158.30000000000001</v>
      </c>
      <c r="H136" s="70"/>
      <c r="I136" s="70">
        <f>I137</f>
        <v>158.30000000000001</v>
      </c>
      <c r="J136" s="70">
        <f>J137</f>
        <v>161</v>
      </c>
      <c r="K136" s="70"/>
      <c r="L136" s="70">
        <f>L137</f>
        <v>161</v>
      </c>
    </row>
    <row r="137" spans="1:12" ht="26.25" x14ac:dyDescent="0.25">
      <c r="A137" s="6"/>
      <c r="B137" s="6" t="s">
        <v>470</v>
      </c>
      <c r="C137" s="3" t="s">
        <v>471</v>
      </c>
      <c r="D137" s="70">
        <v>155.6</v>
      </c>
      <c r="E137" s="70"/>
      <c r="F137" s="70">
        <v>155.6</v>
      </c>
      <c r="G137" s="70">
        <v>158.30000000000001</v>
      </c>
      <c r="H137" s="70"/>
      <c r="I137" s="70">
        <v>158.30000000000001</v>
      </c>
      <c r="J137" s="70">
        <v>161</v>
      </c>
      <c r="K137" s="70"/>
      <c r="L137" s="70">
        <v>161</v>
      </c>
    </row>
    <row r="138" spans="1:12" ht="26.25" x14ac:dyDescent="0.25">
      <c r="A138" s="31" t="s">
        <v>122</v>
      </c>
      <c r="B138" s="31"/>
      <c r="C138" s="32" t="s">
        <v>123</v>
      </c>
      <c r="D138" s="75">
        <f>D139</f>
        <v>6469</v>
      </c>
      <c r="E138" s="75"/>
      <c r="F138" s="75">
        <f>F139</f>
        <v>6469</v>
      </c>
      <c r="G138" s="75">
        <f>G139</f>
        <v>6906.5999999999995</v>
      </c>
      <c r="H138" s="75"/>
      <c r="I138" s="75">
        <f>I139</f>
        <v>6906.5999999999995</v>
      </c>
      <c r="J138" s="75">
        <f>J139</f>
        <v>6981.2</v>
      </c>
      <c r="K138" s="75"/>
      <c r="L138" s="75">
        <f>L139</f>
        <v>6981.2</v>
      </c>
    </row>
    <row r="139" spans="1:12" ht="26.25" x14ac:dyDescent="0.25">
      <c r="A139" s="33" t="s">
        <v>124</v>
      </c>
      <c r="B139" s="33"/>
      <c r="C139" s="34" t="s">
        <v>125</v>
      </c>
      <c r="D139" s="71">
        <f>D144+D140+D142</f>
        <v>6469</v>
      </c>
      <c r="E139" s="71"/>
      <c r="F139" s="71">
        <f>F144+F140+F142</f>
        <v>6469</v>
      </c>
      <c r="G139" s="71">
        <f>G144+G140+G142</f>
        <v>6906.5999999999995</v>
      </c>
      <c r="H139" s="71"/>
      <c r="I139" s="71">
        <f>I144+I140+I142</f>
        <v>6906.5999999999995</v>
      </c>
      <c r="J139" s="71">
        <f>J144+J140+J142</f>
        <v>6981.2</v>
      </c>
      <c r="K139" s="71"/>
      <c r="L139" s="71">
        <f>L144+L140+L142</f>
        <v>6981.2</v>
      </c>
    </row>
    <row r="140" spans="1:12" ht="26.25" x14ac:dyDescent="0.25">
      <c r="A140" s="6" t="s">
        <v>126</v>
      </c>
      <c r="B140" s="6"/>
      <c r="C140" s="3" t="s">
        <v>127</v>
      </c>
      <c r="D140" s="70">
        <f>D141</f>
        <v>109.3</v>
      </c>
      <c r="E140" s="70"/>
      <c r="F140" s="70">
        <f>F141</f>
        <v>109.3</v>
      </c>
      <c r="G140" s="70">
        <f>G141</f>
        <v>113.7</v>
      </c>
      <c r="H140" s="70"/>
      <c r="I140" s="70">
        <f>I141</f>
        <v>113.7</v>
      </c>
      <c r="J140" s="70">
        <f>J141</f>
        <v>118.2</v>
      </c>
      <c r="K140" s="70"/>
      <c r="L140" s="70">
        <f>L141</f>
        <v>118.2</v>
      </c>
    </row>
    <row r="141" spans="1:12" ht="26.25" x14ac:dyDescent="0.25">
      <c r="A141" s="6"/>
      <c r="B141" s="6" t="s">
        <v>470</v>
      </c>
      <c r="C141" s="3" t="s">
        <v>471</v>
      </c>
      <c r="D141" s="70">
        <v>109.3</v>
      </c>
      <c r="E141" s="70"/>
      <c r="F141" s="70">
        <v>109.3</v>
      </c>
      <c r="G141" s="70">
        <v>113.7</v>
      </c>
      <c r="H141" s="70"/>
      <c r="I141" s="70">
        <v>113.7</v>
      </c>
      <c r="J141" s="70">
        <v>118.2</v>
      </c>
      <c r="K141" s="70"/>
      <c r="L141" s="70">
        <v>118.2</v>
      </c>
    </row>
    <row r="142" spans="1:12" ht="26.25" x14ac:dyDescent="0.25">
      <c r="A142" s="6" t="s">
        <v>128</v>
      </c>
      <c r="B142" s="6"/>
      <c r="C142" s="3" t="s">
        <v>129</v>
      </c>
      <c r="D142" s="70">
        <f>D143</f>
        <v>1684.5000000000002</v>
      </c>
      <c r="E142" s="70"/>
      <c r="F142" s="70">
        <f>F143</f>
        <v>1684.5000000000002</v>
      </c>
      <c r="G142" s="70">
        <f>G143</f>
        <v>1751.8999999999999</v>
      </c>
      <c r="H142" s="70"/>
      <c r="I142" s="70">
        <f>I143</f>
        <v>1751.8999999999999</v>
      </c>
      <c r="J142" s="70">
        <f>J143</f>
        <v>1822</v>
      </c>
      <c r="K142" s="70"/>
      <c r="L142" s="70">
        <f>L143</f>
        <v>1822</v>
      </c>
    </row>
    <row r="143" spans="1:12" ht="26.25" x14ac:dyDescent="0.25">
      <c r="A143" s="6"/>
      <c r="B143" s="6" t="s">
        <v>470</v>
      </c>
      <c r="C143" s="3" t="s">
        <v>471</v>
      </c>
      <c r="D143" s="80">
        <f>2019.4-216.8-118.1</f>
        <v>1684.5000000000002</v>
      </c>
      <c r="E143" s="80"/>
      <c r="F143" s="80">
        <f>2019.4-216.8-118.1</f>
        <v>1684.5000000000002</v>
      </c>
      <c r="G143" s="80">
        <f>2100.1-225.5-122.7</f>
        <v>1751.8999999999999</v>
      </c>
      <c r="H143" s="80"/>
      <c r="I143" s="80">
        <f>2100.1-225.5-122.7</f>
        <v>1751.8999999999999</v>
      </c>
      <c r="J143" s="80">
        <v>1822</v>
      </c>
      <c r="K143" s="80"/>
      <c r="L143" s="80">
        <v>1822</v>
      </c>
    </row>
    <row r="144" spans="1:12" ht="39" x14ac:dyDescent="0.25">
      <c r="A144" s="6" t="s">
        <v>130</v>
      </c>
      <c r="B144" s="6"/>
      <c r="C144" s="3" t="s">
        <v>131</v>
      </c>
      <c r="D144" s="70">
        <f>D146</f>
        <v>4675.2</v>
      </c>
      <c r="E144" s="70"/>
      <c r="F144" s="70">
        <f>F146</f>
        <v>4675.2</v>
      </c>
      <c r="G144" s="70">
        <f>G146</f>
        <v>5041</v>
      </c>
      <c r="H144" s="70"/>
      <c r="I144" s="70">
        <f>I146</f>
        <v>5041</v>
      </c>
      <c r="J144" s="70">
        <f>J146</f>
        <v>5041</v>
      </c>
      <c r="K144" s="70"/>
      <c r="L144" s="70">
        <f>L146</f>
        <v>5041</v>
      </c>
    </row>
    <row r="145" spans="1:12" x14ac:dyDescent="0.25">
      <c r="A145" s="6"/>
      <c r="B145" s="6" t="s">
        <v>423</v>
      </c>
      <c r="C145" s="3" t="s">
        <v>424</v>
      </c>
      <c r="D145" s="70"/>
      <c r="E145" s="70"/>
      <c r="F145" s="70"/>
      <c r="G145" s="70"/>
      <c r="H145" s="70"/>
      <c r="I145" s="70"/>
      <c r="J145" s="70"/>
      <c r="K145" s="70"/>
      <c r="L145" s="70"/>
    </row>
    <row r="146" spans="1:12" ht="26.25" x14ac:dyDescent="0.25">
      <c r="A146" s="6"/>
      <c r="B146" s="6" t="s">
        <v>470</v>
      </c>
      <c r="C146" s="3" t="s">
        <v>471</v>
      </c>
      <c r="D146" s="70">
        <v>4675.2</v>
      </c>
      <c r="E146" s="70"/>
      <c r="F146" s="70">
        <v>4675.2</v>
      </c>
      <c r="G146" s="70">
        <v>5041</v>
      </c>
      <c r="H146" s="70"/>
      <c r="I146" s="70">
        <v>5041</v>
      </c>
      <c r="J146" s="70">
        <v>5041</v>
      </c>
      <c r="K146" s="70"/>
      <c r="L146" s="70">
        <v>5041</v>
      </c>
    </row>
    <row r="147" spans="1:12" x14ac:dyDescent="0.25">
      <c r="A147" s="6"/>
      <c r="B147" s="6" t="s">
        <v>405</v>
      </c>
      <c r="C147" s="3" t="s">
        <v>406</v>
      </c>
      <c r="D147" s="70"/>
      <c r="E147" s="70"/>
      <c r="F147" s="70"/>
      <c r="G147" s="70"/>
      <c r="H147" s="70"/>
      <c r="I147" s="70"/>
      <c r="J147" s="70"/>
      <c r="K147" s="70"/>
      <c r="L147" s="70"/>
    </row>
    <row r="148" spans="1:12" x14ac:dyDescent="0.25">
      <c r="A148" s="31" t="s">
        <v>132</v>
      </c>
      <c r="B148" s="31"/>
      <c r="C148" s="32" t="s">
        <v>133</v>
      </c>
      <c r="D148" s="75">
        <f>D149+D154</f>
        <v>19907.915499999999</v>
      </c>
      <c r="E148" s="75">
        <f>E149+E154</f>
        <v>0</v>
      </c>
      <c r="F148" s="75">
        <f>F149+F154</f>
        <v>19907.915499999999</v>
      </c>
      <c r="G148" s="75">
        <f>G149+G154</f>
        <v>20208.298500000001</v>
      </c>
      <c r="H148" s="75"/>
      <c r="I148" s="75">
        <f>I149+I154</f>
        <v>20208.298500000001</v>
      </c>
      <c r="J148" s="75">
        <f>J149+J154</f>
        <v>20466.998499999998</v>
      </c>
      <c r="K148" s="75"/>
      <c r="L148" s="75">
        <f>L149+L154</f>
        <v>20466.998499999998</v>
      </c>
    </row>
    <row r="149" spans="1:12" ht="26.25" x14ac:dyDescent="0.25">
      <c r="A149" s="33" t="s">
        <v>134</v>
      </c>
      <c r="B149" s="33"/>
      <c r="C149" s="34" t="s">
        <v>135</v>
      </c>
      <c r="D149" s="71">
        <f>D152+D150</f>
        <v>276.7</v>
      </c>
      <c r="E149" s="71"/>
      <c r="F149" s="71">
        <f>F152+F150</f>
        <v>276.7</v>
      </c>
      <c r="G149" s="71">
        <f>G152+G150</f>
        <v>281.2</v>
      </c>
      <c r="H149" s="71"/>
      <c r="I149" s="71">
        <f>I152+I150</f>
        <v>281.2</v>
      </c>
      <c r="J149" s="71">
        <f>J152+J150</f>
        <v>285.8</v>
      </c>
      <c r="K149" s="71"/>
      <c r="L149" s="71">
        <f>L152+L150</f>
        <v>285.8</v>
      </c>
    </row>
    <row r="150" spans="1:12" x14ac:dyDescent="0.25">
      <c r="A150" s="40" t="s">
        <v>136</v>
      </c>
      <c r="B150" s="40"/>
      <c r="C150" s="41" t="s">
        <v>137</v>
      </c>
      <c r="D150" s="70">
        <f>D151</f>
        <v>175</v>
      </c>
      <c r="E150" s="70"/>
      <c r="F150" s="70">
        <f>F151</f>
        <v>175</v>
      </c>
      <c r="G150" s="70">
        <f>G151</f>
        <v>175.4</v>
      </c>
      <c r="H150" s="70"/>
      <c r="I150" s="70">
        <f>I151</f>
        <v>175.4</v>
      </c>
      <c r="J150" s="70">
        <f>J151</f>
        <v>175.8</v>
      </c>
      <c r="K150" s="70"/>
      <c r="L150" s="70">
        <f>L151</f>
        <v>175.8</v>
      </c>
    </row>
    <row r="151" spans="1:12" ht="26.25" x14ac:dyDescent="0.25">
      <c r="A151" s="40"/>
      <c r="B151" s="40" t="s">
        <v>470</v>
      </c>
      <c r="C151" s="41" t="s">
        <v>471</v>
      </c>
      <c r="D151" s="70">
        <v>175</v>
      </c>
      <c r="E151" s="70"/>
      <c r="F151" s="70">
        <v>175</v>
      </c>
      <c r="G151" s="70">
        <v>175.4</v>
      </c>
      <c r="H151" s="70"/>
      <c r="I151" s="70">
        <v>175.4</v>
      </c>
      <c r="J151" s="70">
        <v>175.8</v>
      </c>
      <c r="K151" s="70"/>
      <c r="L151" s="70">
        <v>175.8</v>
      </c>
    </row>
    <row r="152" spans="1:12" ht="26.25" x14ac:dyDescent="0.25">
      <c r="A152" s="6" t="s">
        <v>138</v>
      </c>
      <c r="B152" s="6"/>
      <c r="C152" s="3" t="s">
        <v>139</v>
      </c>
      <c r="D152" s="70">
        <f>D153</f>
        <v>101.7</v>
      </c>
      <c r="E152" s="70"/>
      <c r="F152" s="70">
        <f>F153</f>
        <v>101.7</v>
      </c>
      <c r="G152" s="70">
        <f>G153</f>
        <v>105.8</v>
      </c>
      <c r="H152" s="70"/>
      <c r="I152" s="70">
        <f>I153</f>
        <v>105.8</v>
      </c>
      <c r="J152" s="70">
        <f>J153</f>
        <v>110</v>
      </c>
      <c r="K152" s="70"/>
      <c r="L152" s="70">
        <f>L153</f>
        <v>110</v>
      </c>
    </row>
    <row r="153" spans="1:12" ht="26.25" x14ac:dyDescent="0.25">
      <c r="A153" s="6"/>
      <c r="B153" s="40" t="s">
        <v>470</v>
      </c>
      <c r="C153" s="41" t="s">
        <v>471</v>
      </c>
      <c r="D153" s="70">
        <v>101.7</v>
      </c>
      <c r="E153" s="70"/>
      <c r="F153" s="70">
        <v>101.7</v>
      </c>
      <c r="G153" s="70">
        <v>105.8</v>
      </c>
      <c r="H153" s="70"/>
      <c r="I153" s="70">
        <v>105.8</v>
      </c>
      <c r="J153" s="70">
        <v>110</v>
      </c>
      <c r="K153" s="70"/>
      <c r="L153" s="70">
        <v>110</v>
      </c>
    </row>
    <row r="154" spans="1:12" ht="26.25" x14ac:dyDescent="0.25">
      <c r="A154" s="33" t="s">
        <v>140</v>
      </c>
      <c r="B154" s="33"/>
      <c r="C154" s="34" t="s">
        <v>141</v>
      </c>
      <c r="D154" s="71">
        <f>D155+D158+D161</f>
        <v>19631.215499999998</v>
      </c>
      <c r="E154" s="71">
        <f>SUM(E161)</f>
        <v>0</v>
      </c>
      <c r="F154" s="71">
        <f>F155+F158+F161</f>
        <v>19631.215499999998</v>
      </c>
      <c r="G154" s="71">
        <f t="shared" ref="G154:L154" si="17">G155+G158</f>
        <v>19927.0985</v>
      </c>
      <c r="H154" s="71"/>
      <c r="I154" s="71">
        <f t="shared" si="17"/>
        <v>19927.0985</v>
      </c>
      <c r="J154" s="71">
        <f t="shared" si="17"/>
        <v>20181.198499999999</v>
      </c>
      <c r="K154" s="71"/>
      <c r="L154" s="71">
        <f t="shared" si="17"/>
        <v>20181.198499999999</v>
      </c>
    </row>
    <row r="155" spans="1:12" ht="26.25" x14ac:dyDescent="0.25">
      <c r="A155" s="6" t="s">
        <v>142</v>
      </c>
      <c r="B155" s="6"/>
      <c r="C155" s="3" t="s">
        <v>143</v>
      </c>
      <c r="D155" s="70">
        <f>D157+D156</f>
        <v>6548.0999999999995</v>
      </c>
      <c r="E155" s="70"/>
      <c r="F155" s="70">
        <f>F157+F156</f>
        <v>6548.0999999999995</v>
      </c>
      <c r="G155" s="70">
        <f>G157+G156</f>
        <v>6787.1</v>
      </c>
      <c r="H155" s="70"/>
      <c r="I155" s="70">
        <f>I157+I156</f>
        <v>6787.1</v>
      </c>
      <c r="J155" s="70">
        <f>J157+J156</f>
        <v>7041.2</v>
      </c>
      <c r="K155" s="70"/>
      <c r="L155" s="70">
        <f>L157+L156</f>
        <v>7041.2</v>
      </c>
    </row>
    <row r="156" spans="1:12" x14ac:dyDescent="0.25">
      <c r="A156" s="6"/>
      <c r="B156" s="6" t="s">
        <v>423</v>
      </c>
      <c r="C156" s="3" t="s">
        <v>424</v>
      </c>
      <c r="D156" s="70">
        <v>599.4</v>
      </c>
      <c r="E156" s="70"/>
      <c r="F156" s="70">
        <v>599.4</v>
      </c>
      <c r="G156" s="70">
        <v>621.29999999999995</v>
      </c>
      <c r="H156" s="70"/>
      <c r="I156" s="70">
        <v>621.29999999999995</v>
      </c>
      <c r="J156" s="70">
        <v>644.5</v>
      </c>
      <c r="K156" s="70"/>
      <c r="L156" s="70">
        <v>644.5</v>
      </c>
    </row>
    <row r="157" spans="1:12" ht="26.25" x14ac:dyDescent="0.25">
      <c r="A157" s="6"/>
      <c r="B157" s="40" t="s">
        <v>470</v>
      </c>
      <c r="C157" s="41" t="s">
        <v>471</v>
      </c>
      <c r="D157" s="70">
        <v>5948.7</v>
      </c>
      <c r="E157" s="70"/>
      <c r="F157" s="70">
        <v>5948.7</v>
      </c>
      <c r="G157" s="70">
        <v>6165.8</v>
      </c>
      <c r="H157" s="70"/>
      <c r="I157" s="70">
        <v>6165.8</v>
      </c>
      <c r="J157" s="70">
        <v>6396.7</v>
      </c>
      <c r="K157" s="70"/>
      <c r="L157" s="70">
        <v>6396.7</v>
      </c>
    </row>
    <row r="158" spans="1:12" ht="51.75" x14ac:dyDescent="0.25">
      <c r="A158" s="6" t="s">
        <v>144</v>
      </c>
      <c r="B158" s="6"/>
      <c r="C158" s="3" t="s">
        <v>145</v>
      </c>
      <c r="D158" s="70">
        <f t="shared" ref="D158:L158" si="18">D159+D160</f>
        <v>13033.815500000001</v>
      </c>
      <c r="E158" s="70"/>
      <c r="F158" s="70">
        <f t="shared" si="18"/>
        <v>13033.815500000001</v>
      </c>
      <c r="G158" s="70">
        <f t="shared" si="18"/>
        <v>13139.9985</v>
      </c>
      <c r="H158" s="70"/>
      <c r="I158" s="70">
        <f t="shared" si="18"/>
        <v>13139.9985</v>
      </c>
      <c r="J158" s="70">
        <f t="shared" si="18"/>
        <v>13139.9985</v>
      </c>
      <c r="K158" s="70"/>
      <c r="L158" s="70">
        <f t="shared" si="18"/>
        <v>13139.9985</v>
      </c>
    </row>
    <row r="159" spans="1:12" x14ac:dyDescent="0.25">
      <c r="A159" s="6"/>
      <c r="B159" s="6" t="s">
        <v>423</v>
      </c>
      <c r="C159" s="3" t="s">
        <v>424</v>
      </c>
      <c r="D159" s="70">
        <v>6149.3129600000002</v>
      </c>
      <c r="E159" s="70"/>
      <c r="F159" s="70">
        <f>6021+128.31296</f>
        <v>6149.3129600000002</v>
      </c>
      <c r="G159" s="70">
        <v>6199.2872900000002</v>
      </c>
      <c r="H159" s="70"/>
      <c r="I159" s="70">
        <f>6069.7+129.58729</f>
        <v>6199.2872900000002</v>
      </c>
      <c r="J159" s="70">
        <v>6199.2872900000002</v>
      </c>
      <c r="K159" s="70"/>
      <c r="L159" s="70">
        <f>6069.7+129.58729</f>
        <v>6199.2872900000002</v>
      </c>
    </row>
    <row r="160" spans="1:12" ht="26.25" x14ac:dyDescent="0.25">
      <c r="A160" s="6"/>
      <c r="B160" s="6" t="s">
        <v>470</v>
      </c>
      <c r="C160" s="3" t="s">
        <v>471</v>
      </c>
      <c r="D160" s="70">
        <v>6884.5025400000004</v>
      </c>
      <c r="E160" s="70"/>
      <c r="F160" s="70">
        <f>7211.3-326.79746</f>
        <v>6884.5025400000004</v>
      </c>
      <c r="G160" s="70">
        <v>6940.7112099999995</v>
      </c>
      <c r="H160" s="70"/>
      <c r="I160" s="70">
        <f>7270.4-329.68879</f>
        <v>6940.7112099999995</v>
      </c>
      <c r="J160" s="70">
        <v>6940.7112099999995</v>
      </c>
      <c r="K160" s="70"/>
      <c r="L160" s="70">
        <f>7270.4-329.68879</f>
        <v>6940.7112099999995</v>
      </c>
    </row>
    <row r="161" spans="1:12" ht="26.25" x14ac:dyDescent="0.25">
      <c r="A161" s="6" t="s">
        <v>887</v>
      </c>
      <c r="B161" s="6"/>
      <c r="C161" s="3" t="s">
        <v>888</v>
      </c>
      <c r="D161" s="70">
        <v>49.3</v>
      </c>
      <c r="E161" s="70"/>
      <c r="F161" s="70">
        <v>49.3</v>
      </c>
      <c r="G161" s="70"/>
      <c r="H161" s="70"/>
      <c r="I161" s="70">
        <v>0</v>
      </c>
      <c r="J161" s="70"/>
      <c r="K161" s="70"/>
      <c r="L161" s="70">
        <v>0</v>
      </c>
    </row>
    <row r="162" spans="1:12" ht="26.25" x14ac:dyDescent="0.25">
      <c r="A162" s="6"/>
      <c r="B162" s="6" t="s">
        <v>280</v>
      </c>
      <c r="C162" s="3" t="s">
        <v>281</v>
      </c>
      <c r="D162" s="70">
        <v>49.3</v>
      </c>
      <c r="E162" s="70"/>
      <c r="F162" s="70">
        <v>49.3</v>
      </c>
      <c r="G162" s="70"/>
      <c r="H162" s="70"/>
      <c r="I162" s="70">
        <v>0</v>
      </c>
      <c r="J162" s="70"/>
      <c r="K162" s="70"/>
      <c r="L162" s="70">
        <v>0</v>
      </c>
    </row>
    <row r="163" spans="1:12" x14ac:dyDescent="0.25">
      <c r="A163" s="6"/>
      <c r="B163" s="6"/>
      <c r="C163" s="3" t="s">
        <v>84</v>
      </c>
      <c r="D163" s="70">
        <v>49.3</v>
      </c>
      <c r="E163" s="70"/>
      <c r="F163" s="70">
        <v>49.3</v>
      </c>
      <c r="G163" s="70"/>
      <c r="H163" s="70"/>
      <c r="I163" s="70">
        <v>0</v>
      </c>
      <c r="J163" s="70"/>
      <c r="K163" s="70"/>
      <c r="L163" s="70">
        <v>0</v>
      </c>
    </row>
    <row r="164" spans="1:12" ht="26.25" x14ac:dyDescent="0.25">
      <c r="A164" s="31" t="s">
        <v>146</v>
      </c>
      <c r="B164" s="31"/>
      <c r="C164" s="32" t="s">
        <v>147</v>
      </c>
      <c r="D164" s="75">
        <f>D165</f>
        <v>20339.5</v>
      </c>
      <c r="E164" s="75">
        <f>E165</f>
        <v>717.85473000000002</v>
      </c>
      <c r="F164" s="75">
        <f t="shared" ref="F164:G166" si="19">F165</f>
        <v>21057.354730000003</v>
      </c>
      <c r="G164" s="75">
        <f t="shared" si="19"/>
        <v>23362.83</v>
      </c>
      <c r="H164" s="75"/>
      <c r="I164" s="75">
        <f t="shared" ref="I164:J166" si="20">I165</f>
        <v>23362.83</v>
      </c>
      <c r="J164" s="75">
        <f t="shared" si="20"/>
        <v>0</v>
      </c>
      <c r="K164" s="75"/>
      <c r="L164" s="75">
        <f>L165</f>
        <v>0</v>
      </c>
    </row>
    <row r="165" spans="1:12" ht="39" x14ac:dyDescent="0.25">
      <c r="A165" s="36" t="s">
        <v>148</v>
      </c>
      <c r="B165" s="36"/>
      <c r="C165" s="34" t="s">
        <v>149</v>
      </c>
      <c r="D165" s="71">
        <f>D166+D170+D172+D174</f>
        <v>20339.5</v>
      </c>
      <c r="E165" s="71">
        <f t="shared" ref="E165:F165" si="21">E166+E170+E172+E174</f>
        <v>717.85473000000002</v>
      </c>
      <c r="F165" s="71">
        <f t="shared" si="21"/>
        <v>21057.354730000003</v>
      </c>
      <c r="G165" s="71">
        <f t="shared" ref="G165:I165" si="22">G166+G170</f>
        <v>23362.83</v>
      </c>
      <c r="H165" s="71"/>
      <c r="I165" s="71">
        <f t="shared" si="22"/>
        <v>23362.83</v>
      </c>
      <c r="J165" s="71">
        <f t="shared" si="20"/>
        <v>0</v>
      </c>
      <c r="K165" s="71"/>
      <c r="L165" s="71">
        <f>L166</f>
        <v>0</v>
      </c>
    </row>
    <row r="166" spans="1:12" ht="38.25" x14ac:dyDescent="0.25">
      <c r="A166" s="6" t="s">
        <v>488</v>
      </c>
      <c r="B166" s="6"/>
      <c r="C166" s="1" t="s">
        <v>681</v>
      </c>
      <c r="D166" s="70">
        <f>D167</f>
        <v>17700</v>
      </c>
      <c r="E166" s="70"/>
      <c r="F166" s="70">
        <f t="shared" si="19"/>
        <v>17700</v>
      </c>
      <c r="G166" s="70">
        <f t="shared" si="19"/>
        <v>18400</v>
      </c>
      <c r="H166" s="70"/>
      <c r="I166" s="70">
        <f t="shared" si="20"/>
        <v>18400</v>
      </c>
      <c r="J166" s="70">
        <f t="shared" si="20"/>
        <v>0</v>
      </c>
      <c r="K166" s="70"/>
      <c r="L166" s="70">
        <f>L167</f>
        <v>0</v>
      </c>
    </row>
    <row r="167" spans="1:12" ht="26.25" x14ac:dyDescent="0.25">
      <c r="A167" s="6"/>
      <c r="B167" s="6" t="s">
        <v>470</v>
      </c>
      <c r="C167" s="3" t="s">
        <v>471</v>
      </c>
      <c r="D167" s="70">
        <f>D169+D168</f>
        <v>17700</v>
      </c>
      <c r="E167" s="70"/>
      <c r="F167" s="70">
        <f>F169+F168</f>
        <v>17700</v>
      </c>
      <c r="G167" s="70">
        <f>G169+G168</f>
        <v>18400</v>
      </c>
      <c r="H167" s="70"/>
      <c r="I167" s="70">
        <f>I169+I168</f>
        <v>18400</v>
      </c>
      <c r="J167" s="70">
        <f>J169</f>
        <v>0</v>
      </c>
      <c r="K167" s="70"/>
      <c r="L167" s="70">
        <f>L169</f>
        <v>0</v>
      </c>
    </row>
    <row r="168" spans="1:12" x14ac:dyDescent="0.25">
      <c r="A168" s="6"/>
      <c r="B168" s="6"/>
      <c r="C168" s="3" t="s">
        <v>152</v>
      </c>
      <c r="D168" s="70">
        <v>15930</v>
      </c>
      <c r="E168" s="70"/>
      <c r="F168" s="70">
        <v>15930</v>
      </c>
      <c r="G168" s="70">
        <v>16560</v>
      </c>
      <c r="H168" s="70"/>
      <c r="I168" s="70">
        <v>16560</v>
      </c>
      <c r="J168" s="70">
        <v>0</v>
      </c>
      <c r="K168" s="70"/>
      <c r="L168" s="70">
        <v>0</v>
      </c>
    </row>
    <row r="169" spans="1:12" x14ac:dyDescent="0.25">
      <c r="A169" s="6"/>
      <c r="B169" s="6"/>
      <c r="C169" s="3" t="s">
        <v>105</v>
      </c>
      <c r="D169" s="70">
        <v>1770</v>
      </c>
      <c r="E169" s="70"/>
      <c r="F169" s="70">
        <v>1770</v>
      </c>
      <c r="G169" s="70">
        <v>1840</v>
      </c>
      <c r="H169" s="70"/>
      <c r="I169" s="70">
        <v>1840</v>
      </c>
      <c r="J169" s="70">
        <v>0</v>
      </c>
      <c r="K169" s="70"/>
      <c r="L169" s="70">
        <v>0</v>
      </c>
    </row>
    <row r="170" spans="1:12" ht="26.25" x14ac:dyDescent="0.25">
      <c r="A170" s="22" t="s">
        <v>803</v>
      </c>
      <c r="B170" s="22"/>
      <c r="C170" s="54" t="s">
        <v>802</v>
      </c>
      <c r="D170" s="70">
        <f>D171</f>
        <v>2639.5</v>
      </c>
      <c r="E170" s="70"/>
      <c r="F170" s="70">
        <f>F171</f>
        <v>2639.5</v>
      </c>
      <c r="G170" s="70">
        <f>G171</f>
        <v>4962.83</v>
      </c>
      <c r="H170" s="70"/>
      <c r="I170" s="70">
        <f>I171</f>
        <v>4962.83</v>
      </c>
      <c r="J170" s="70">
        <v>0</v>
      </c>
      <c r="K170" s="70"/>
      <c r="L170" s="70">
        <v>0</v>
      </c>
    </row>
    <row r="171" spans="1:12" ht="26.25" x14ac:dyDescent="0.25">
      <c r="A171" s="6"/>
      <c r="B171" s="6" t="s">
        <v>470</v>
      </c>
      <c r="C171" s="3" t="s">
        <v>471</v>
      </c>
      <c r="D171" s="70">
        <v>2639.5</v>
      </c>
      <c r="E171" s="70"/>
      <c r="F171" s="70">
        <v>2639.5</v>
      </c>
      <c r="G171" s="70">
        <v>4962.83</v>
      </c>
      <c r="H171" s="70"/>
      <c r="I171" s="70">
        <v>4962.83</v>
      </c>
      <c r="J171" s="70">
        <v>0</v>
      </c>
      <c r="K171" s="70"/>
      <c r="L171" s="70">
        <v>0</v>
      </c>
    </row>
    <row r="172" spans="1:12" ht="39" x14ac:dyDescent="0.25">
      <c r="A172" s="22" t="s">
        <v>903</v>
      </c>
      <c r="B172" s="6"/>
      <c r="C172" s="3" t="s">
        <v>902</v>
      </c>
      <c r="D172" s="70">
        <f>D173</f>
        <v>0</v>
      </c>
      <c r="E172" s="70">
        <v>260.39999999999998</v>
      </c>
      <c r="F172" s="70">
        <v>260.39999999999998</v>
      </c>
      <c r="G172" s="70">
        <v>0</v>
      </c>
      <c r="H172" s="70"/>
      <c r="I172" s="70">
        <v>0</v>
      </c>
      <c r="J172" s="70">
        <v>0</v>
      </c>
      <c r="K172" s="70"/>
      <c r="L172" s="70">
        <v>0</v>
      </c>
    </row>
    <row r="173" spans="1:12" ht="26.25" x14ac:dyDescent="0.25">
      <c r="A173" s="6"/>
      <c r="B173" s="6" t="s">
        <v>470</v>
      </c>
      <c r="C173" s="3" t="s">
        <v>471</v>
      </c>
      <c r="D173" s="70">
        <v>0</v>
      </c>
      <c r="E173" s="70">
        <v>260.39999999999998</v>
      </c>
      <c r="F173" s="70">
        <v>260.39999999999998</v>
      </c>
      <c r="G173" s="70">
        <v>0</v>
      </c>
      <c r="H173" s="70"/>
      <c r="I173" s="70">
        <v>0</v>
      </c>
      <c r="J173" s="70">
        <v>0</v>
      </c>
      <c r="K173" s="70"/>
      <c r="L173" s="70">
        <v>0</v>
      </c>
    </row>
    <row r="174" spans="1:12" ht="51" x14ac:dyDescent="0.25">
      <c r="A174" s="4" t="s">
        <v>803</v>
      </c>
      <c r="B174" s="4"/>
      <c r="C174" s="5" t="s">
        <v>918</v>
      </c>
      <c r="D174" s="70">
        <f>D175</f>
        <v>0</v>
      </c>
      <c r="E174" s="70">
        <f>E175</f>
        <v>457.45472999999998</v>
      </c>
      <c r="F174" s="70">
        <f>F175</f>
        <v>457.45472999999998</v>
      </c>
      <c r="G174" s="70">
        <v>0</v>
      </c>
      <c r="H174" s="70"/>
      <c r="I174" s="70">
        <v>0</v>
      </c>
      <c r="J174" s="70">
        <v>0</v>
      </c>
      <c r="K174" s="70"/>
      <c r="L174" s="70">
        <v>0</v>
      </c>
    </row>
    <row r="175" spans="1:12" ht="26.25" x14ac:dyDescent="0.25">
      <c r="A175" s="6"/>
      <c r="B175" s="6" t="s">
        <v>470</v>
      </c>
      <c r="C175" s="3" t="s">
        <v>471</v>
      </c>
      <c r="D175" s="70">
        <v>0</v>
      </c>
      <c r="E175" s="70">
        <v>457.45472999999998</v>
      </c>
      <c r="F175" s="70">
        <f>457.45473</f>
        <v>457.45472999999998</v>
      </c>
      <c r="G175" s="70">
        <v>0</v>
      </c>
      <c r="H175" s="70"/>
      <c r="I175" s="70">
        <v>0</v>
      </c>
      <c r="J175" s="70">
        <v>0</v>
      </c>
      <c r="K175" s="70"/>
      <c r="L175" s="70">
        <v>0</v>
      </c>
    </row>
    <row r="176" spans="1:12" ht="26.25" x14ac:dyDescent="0.25">
      <c r="A176" s="31" t="s">
        <v>153</v>
      </c>
      <c r="B176" s="31"/>
      <c r="C176" s="32" t="s">
        <v>532</v>
      </c>
      <c r="D176" s="75">
        <f t="shared" ref="D176:L178" si="23">D177</f>
        <v>43</v>
      </c>
      <c r="E176" s="75"/>
      <c r="F176" s="75">
        <f t="shared" si="23"/>
        <v>43</v>
      </c>
      <c r="G176" s="75">
        <f t="shared" si="23"/>
        <v>43.5</v>
      </c>
      <c r="H176" s="75"/>
      <c r="I176" s="75">
        <f t="shared" si="23"/>
        <v>43.5</v>
      </c>
      <c r="J176" s="75">
        <f t="shared" si="23"/>
        <v>44</v>
      </c>
      <c r="K176" s="75"/>
      <c r="L176" s="75">
        <f t="shared" si="23"/>
        <v>44</v>
      </c>
    </row>
    <row r="177" spans="1:12" ht="26.25" x14ac:dyDescent="0.25">
      <c r="A177" s="33" t="s">
        <v>155</v>
      </c>
      <c r="B177" s="33"/>
      <c r="C177" s="34" t="s">
        <v>156</v>
      </c>
      <c r="D177" s="71">
        <f t="shared" si="23"/>
        <v>43</v>
      </c>
      <c r="E177" s="71"/>
      <c r="F177" s="71">
        <f t="shared" si="23"/>
        <v>43</v>
      </c>
      <c r="G177" s="71">
        <f t="shared" si="23"/>
        <v>43.5</v>
      </c>
      <c r="H177" s="71"/>
      <c r="I177" s="71">
        <f t="shared" si="23"/>
        <v>43.5</v>
      </c>
      <c r="J177" s="71">
        <f t="shared" si="23"/>
        <v>44</v>
      </c>
      <c r="K177" s="71"/>
      <c r="L177" s="71">
        <f t="shared" si="23"/>
        <v>44</v>
      </c>
    </row>
    <row r="178" spans="1:12" ht="26.25" x14ac:dyDescent="0.25">
      <c r="A178" s="6" t="s">
        <v>157</v>
      </c>
      <c r="B178" s="6"/>
      <c r="C178" s="3" t="s">
        <v>158</v>
      </c>
      <c r="D178" s="70">
        <f>D179</f>
        <v>43</v>
      </c>
      <c r="E178" s="70"/>
      <c r="F178" s="70">
        <f>F179</f>
        <v>43</v>
      </c>
      <c r="G178" s="70">
        <f t="shared" si="23"/>
        <v>43.5</v>
      </c>
      <c r="H178" s="70"/>
      <c r="I178" s="70">
        <f t="shared" si="23"/>
        <v>43.5</v>
      </c>
      <c r="J178" s="70">
        <f t="shared" si="23"/>
        <v>44</v>
      </c>
      <c r="K178" s="70"/>
      <c r="L178" s="70">
        <f t="shared" si="23"/>
        <v>44</v>
      </c>
    </row>
    <row r="179" spans="1:12" ht="26.25" x14ac:dyDescent="0.25">
      <c r="A179" s="6"/>
      <c r="B179" s="6" t="s">
        <v>470</v>
      </c>
      <c r="C179" s="3" t="s">
        <v>471</v>
      </c>
      <c r="D179" s="70">
        <v>43</v>
      </c>
      <c r="E179" s="70"/>
      <c r="F179" s="70">
        <v>43</v>
      </c>
      <c r="G179" s="70">
        <v>43.5</v>
      </c>
      <c r="H179" s="70"/>
      <c r="I179" s="70">
        <v>43.5</v>
      </c>
      <c r="J179" s="70">
        <v>44</v>
      </c>
      <c r="K179" s="70"/>
      <c r="L179" s="70">
        <v>44</v>
      </c>
    </row>
    <row r="180" spans="1:12" ht="26.25" x14ac:dyDescent="0.25">
      <c r="A180" s="29" t="s">
        <v>159</v>
      </c>
      <c r="B180" s="29"/>
      <c r="C180" s="37" t="s">
        <v>160</v>
      </c>
      <c r="D180" s="72">
        <f>D181+D185+D189+D193</f>
        <v>405.5</v>
      </c>
      <c r="E180" s="72"/>
      <c r="F180" s="72">
        <f>F181+F185+F189+F193</f>
        <v>405.5</v>
      </c>
      <c r="G180" s="72">
        <f>G181+G185+G189+G193</f>
        <v>421.7</v>
      </c>
      <c r="H180" s="72"/>
      <c r="I180" s="72">
        <f>I181+I185+I189+I193</f>
        <v>421.7</v>
      </c>
      <c r="J180" s="72">
        <f>J181+J185+J189+J193</f>
        <v>114.10000000000001</v>
      </c>
      <c r="K180" s="72"/>
      <c r="L180" s="72">
        <f>L181+L185+L189+L193</f>
        <v>114.10000000000001</v>
      </c>
    </row>
    <row r="181" spans="1:12" ht="26.25" x14ac:dyDescent="0.25">
      <c r="A181" s="43" t="s">
        <v>161</v>
      </c>
      <c r="B181" s="43"/>
      <c r="C181" s="44" t="s">
        <v>162</v>
      </c>
      <c r="D181" s="75">
        <f t="shared" ref="D181:L182" si="24">D182</f>
        <v>300</v>
      </c>
      <c r="E181" s="75"/>
      <c r="F181" s="75">
        <f t="shared" si="24"/>
        <v>300</v>
      </c>
      <c r="G181" s="75">
        <f t="shared" si="24"/>
        <v>312</v>
      </c>
      <c r="H181" s="75"/>
      <c r="I181" s="75">
        <f t="shared" si="24"/>
        <v>312</v>
      </c>
      <c r="J181" s="75">
        <f t="shared" si="24"/>
        <v>0</v>
      </c>
      <c r="K181" s="75"/>
      <c r="L181" s="75">
        <f t="shared" si="24"/>
        <v>0</v>
      </c>
    </row>
    <row r="182" spans="1:12" ht="26.25" x14ac:dyDescent="0.25">
      <c r="A182" s="33" t="s">
        <v>163</v>
      </c>
      <c r="B182" s="33"/>
      <c r="C182" s="34" t="s">
        <v>164</v>
      </c>
      <c r="D182" s="71">
        <f t="shared" si="24"/>
        <v>300</v>
      </c>
      <c r="E182" s="71"/>
      <c r="F182" s="71">
        <f t="shared" si="24"/>
        <v>300</v>
      </c>
      <c r="G182" s="71">
        <f t="shared" si="24"/>
        <v>312</v>
      </c>
      <c r="H182" s="71"/>
      <c r="I182" s="71">
        <f t="shared" si="24"/>
        <v>312</v>
      </c>
      <c r="J182" s="71">
        <f t="shared" si="24"/>
        <v>0</v>
      </c>
      <c r="K182" s="71"/>
      <c r="L182" s="71">
        <f t="shared" si="24"/>
        <v>0</v>
      </c>
    </row>
    <row r="183" spans="1:12" ht="26.25" x14ac:dyDescent="0.25">
      <c r="A183" s="6" t="s">
        <v>165</v>
      </c>
      <c r="B183" s="6"/>
      <c r="C183" s="45" t="s">
        <v>166</v>
      </c>
      <c r="D183" s="70">
        <v>300</v>
      </c>
      <c r="E183" s="70"/>
      <c r="F183" s="70">
        <v>300</v>
      </c>
      <c r="G183" s="70">
        <v>312</v>
      </c>
      <c r="H183" s="70"/>
      <c r="I183" s="70">
        <v>312</v>
      </c>
      <c r="J183" s="70">
        <v>0</v>
      </c>
      <c r="K183" s="70"/>
      <c r="L183" s="70">
        <v>0</v>
      </c>
    </row>
    <row r="184" spans="1:12" ht="26.25" x14ac:dyDescent="0.25">
      <c r="A184" s="6"/>
      <c r="B184" s="6" t="s">
        <v>470</v>
      </c>
      <c r="C184" s="3" t="s">
        <v>471</v>
      </c>
      <c r="D184" s="70">
        <v>300</v>
      </c>
      <c r="E184" s="70"/>
      <c r="F184" s="70">
        <v>300</v>
      </c>
      <c r="G184" s="70">
        <v>312</v>
      </c>
      <c r="H184" s="70"/>
      <c r="I184" s="70">
        <v>312</v>
      </c>
      <c r="J184" s="70">
        <v>0</v>
      </c>
      <c r="K184" s="70"/>
      <c r="L184" s="70">
        <v>0</v>
      </c>
    </row>
    <row r="185" spans="1:12" ht="26.25" x14ac:dyDescent="0.25">
      <c r="A185" s="31" t="s">
        <v>167</v>
      </c>
      <c r="B185" s="31"/>
      <c r="C185" s="32" t="s">
        <v>168</v>
      </c>
      <c r="D185" s="75">
        <f t="shared" ref="D185:L186" si="25">D186</f>
        <v>19</v>
      </c>
      <c r="E185" s="75"/>
      <c r="F185" s="75">
        <f t="shared" si="25"/>
        <v>19</v>
      </c>
      <c r="G185" s="75">
        <f t="shared" si="25"/>
        <v>19.7</v>
      </c>
      <c r="H185" s="75"/>
      <c r="I185" s="75">
        <f t="shared" si="25"/>
        <v>19.7</v>
      </c>
      <c r="J185" s="75">
        <f t="shared" si="25"/>
        <v>20.5</v>
      </c>
      <c r="K185" s="75"/>
      <c r="L185" s="75">
        <f t="shared" si="25"/>
        <v>20.5</v>
      </c>
    </row>
    <row r="186" spans="1:12" ht="26.25" x14ac:dyDescent="0.25">
      <c r="A186" s="33" t="s">
        <v>169</v>
      </c>
      <c r="B186" s="33"/>
      <c r="C186" s="34" t="s">
        <v>170</v>
      </c>
      <c r="D186" s="71">
        <f t="shared" si="25"/>
        <v>19</v>
      </c>
      <c r="E186" s="71"/>
      <c r="F186" s="71">
        <f t="shared" si="25"/>
        <v>19</v>
      </c>
      <c r="G186" s="71">
        <f t="shared" si="25"/>
        <v>19.7</v>
      </c>
      <c r="H186" s="71"/>
      <c r="I186" s="71">
        <f t="shared" si="25"/>
        <v>19.7</v>
      </c>
      <c r="J186" s="71">
        <f t="shared" si="25"/>
        <v>20.5</v>
      </c>
      <c r="K186" s="71"/>
      <c r="L186" s="71">
        <f t="shared" si="25"/>
        <v>20.5</v>
      </c>
    </row>
    <row r="187" spans="1:12" ht="26.25" x14ac:dyDescent="0.25">
      <c r="A187" s="6" t="s">
        <v>171</v>
      </c>
      <c r="B187" s="6"/>
      <c r="C187" s="3" t="s">
        <v>533</v>
      </c>
      <c r="D187" s="70">
        <v>19</v>
      </c>
      <c r="E187" s="70"/>
      <c r="F187" s="70">
        <v>19</v>
      </c>
      <c r="G187" s="70">
        <v>19.7</v>
      </c>
      <c r="H187" s="70"/>
      <c r="I187" s="70">
        <v>19.7</v>
      </c>
      <c r="J187" s="70">
        <v>20.5</v>
      </c>
      <c r="K187" s="70"/>
      <c r="L187" s="70">
        <v>20.5</v>
      </c>
    </row>
    <row r="188" spans="1:12" ht="26.25" x14ac:dyDescent="0.25">
      <c r="A188" s="6"/>
      <c r="B188" s="6" t="s">
        <v>470</v>
      </c>
      <c r="C188" s="3" t="s">
        <v>471</v>
      </c>
      <c r="D188" s="70">
        <v>19</v>
      </c>
      <c r="E188" s="70"/>
      <c r="F188" s="70">
        <v>19</v>
      </c>
      <c r="G188" s="70">
        <v>19.7</v>
      </c>
      <c r="H188" s="70"/>
      <c r="I188" s="70">
        <v>19.7</v>
      </c>
      <c r="J188" s="70">
        <v>20.5</v>
      </c>
      <c r="K188" s="70"/>
      <c r="L188" s="70">
        <v>20.5</v>
      </c>
    </row>
    <row r="189" spans="1:12" ht="26.25" x14ac:dyDescent="0.25">
      <c r="A189" s="31" t="s">
        <v>172</v>
      </c>
      <c r="B189" s="31"/>
      <c r="C189" s="32" t="s">
        <v>173</v>
      </c>
      <c r="D189" s="75">
        <f t="shared" ref="D189:J190" si="26">D190</f>
        <v>26.5</v>
      </c>
      <c r="E189" s="75"/>
      <c r="F189" s="75">
        <f t="shared" si="26"/>
        <v>26.5</v>
      </c>
      <c r="G189" s="75">
        <f t="shared" si="26"/>
        <v>27.6</v>
      </c>
      <c r="H189" s="75"/>
      <c r="I189" s="75">
        <f t="shared" si="26"/>
        <v>27.6</v>
      </c>
      <c r="J189" s="75">
        <f t="shared" si="26"/>
        <v>28.7</v>
      </c>
      <c r="K189" s="75"/>
      <c r="L189" s="75">
        <f>L190</f>
        <v>28.7</v>
      </c>
    </row>
    <row r="190" spans="1:12" ht="26.25" x14ac:dyDescent="0.25">
      <c r="A190" s="33" t="s">
        <v>174</v>
      </c>
      <c r="B190" s="33"/>
      <c r="C190" s="34" t="s">
        <v>175</v>
      </c>
      <c r="D190" s="71">
        <f t="shared" si="26"/>
        <v>26.5</v>
      </c>
      <c r="E190" s="71"/>
      <c r="F190" s="71">
        <f t="shared" si="26"/>
        <v>26.5</v>
      </c>
      <c r="G190" s="71">
        <f t="shared" si="26"/>
        <v>27.6</v>
      </c>
      <c r="H190" s="71"/>
      <c r="I190" s="71">
        <f t="shared" si="26"/>
        <v>27.6</v>
      </c>
      <c r="J190" s="71">
        <f t="shared" si="26"/>
        <v>28.7</v>
      </c>
      <c r="K190" s="71"/>
      <c r="L190" s="71">
        <f>L191</f>
        <v>28.7</v>
      </c>
    </row>
    <row r="191" spans="1:12" x14ac:dyDescent="0.25">
      <c r="A191" s="6" t="s">
        <v>176</v>
      </c>
      <c r="B191" s="6"/>
      <c r="C191" s="3" t="s">
        <v>534</v>
      </c>
      <c r="D191" s="80">
        <v>26.5</v>
      </c>
      <c r="E191" s="80"/>
      <c r="F191" s="80">
        <v>26.5</v>
      </c>
      <c r="G191" s="80">
        <v>27.6</v>
      </c>
      <c r="H191" s="80"/>
      <c r="I191" s="80">
        <v>27.6</v>
      </c>
      <c r="J191" s="80">
        <v>28.7</v>
      </c>
      <c r="K191" s="80"/>
      <c r="L191" s="80">
        <v>28.7</v>
      </c>
    </row>
    <row r="192" spans="1:12" ht="26.25" x14ac:dyDescent="0.25">
      <c r="A192" s="6"/>
      <c r="B192" s="6" t="s">
        <v>470</v>
      </c>
      <c r="C192" s="3" t="s">
        <v>471</v>
      </c>
      <c r="D192" s="80">
        <v>26.5</v>
      </c>
      <c r="E192" s="80"/>
      <c r="F192" s="80">
        <v>26.5</v>
      </c>
      <c r="G192" s="80">
        <v>27.6</v>
      </c>
      <c r="H192" s="80"/>
      <c r="I192" s="80">
        <v>27.6</v>
      </c>
      <c r="J192" s="80">
        <v>28.7</v>
      </c>
      <c r="K192" s="80"/>
      <c r="L192" s="80">
        <v>28.7</v>
      </c>
    </row>
    <row r="193" spans="1:12" x14ac:dyDescent="0.25">
      <c r="A193" s="31" t="s">
        <v>434</v>
      </c>
      <c r="B193" s="31"/>
      <c r="C193" s="32" t="s">
        <v>178</v>
      </c>
      <c r="D193" s="75">
        <f t="shared" ref="D193:J194" si="27">D194</f>
        <v>60</v>
      </c>
      <c r="E193" s="75"/>
      <c r="F193" s="75">
        <f t="shared" si="27"/>
        <v>60</v>
      </c>
      <c r="G193" s="75">
        <f t="shared" si="27"/>
        <v>62.4</v>
      </c>
      <c r="H193" s="75"/>
      <c r="I193" s="75">
        <f t="shared" si="27"/>
        <v>62.4</v>
      </c>
      <c r="J193" s="75">
        <f t="shared" si="27"/>
        <v>64.900000000000006</v>
      </c>
      <c r="K193" s="75"/>
      <c r="L193" s="75">
        <f>L194</f>
        <v>64.900000000000006</v>
      </c>
    </row>
    <row r="194" spans="1:12" ht="26.25" x14ac:dyDescent="0.25">
      <c r="A194" s="33" t="s">
        <v>435</v>
      </c>
      <c r="B194" s="33"/>
      <c r="C194" s="34" t="s">
        <v>179</v>
      </c>
      <c r="D194" s="71">
        <f t="shared" si="27"/>
        <v>60</v>
      </c>
      <c r="E194" s="71"/>
      <c r="F194" s="71">
        <f t="shared" si="27"/>
        <v>60</v>
      </c>
      <c r="G194" s="71">
        <f t="shared" si="27"/>
        <v>62.4</v>
      </c>
      <c r="H194" s="71"/>
      <c r="I194" s="71">
        <f t="shared" si="27"/>
        <v>62.4</v>
      </c>
      <c r="J194" s="71">
        <f t="shared" si="27"/>
        <v>64.900000000000006</v>
      </c>
      <c r="K194" s="71"/>
      <c r="L194" s="71">
        <f>L195</f>
        <v>64.900000000000006</v>
      </c>
    </row>
    <row r="195" spans="1:12" ht="26.25" x14ac:dyDescent="0.25">
      <c r="A195" s="6" t="s">
        <v>483</v>
      </c>
      <c r="B195" s="6"/>
      <c r="C195" s="3" t="s">
        <v>692</v>
      </c>
      <c r="D195" s="70">
        <v>60</v>
      </c>
      <c r="E195" s="70"/>
      <c r="F195" s="70">
        <v>60</v>
      </c>
      <c r="G195" s="70">
        <v>62.4</v>
      </c>
      <c r="H195" s="70"/>
      <c r="I195" s="70">
        <v>62.4</v>
      </c>
      <c r="J195" s="70">
        <v>64.900000000000006</v>
      </c>
      <c r="K195" s="70"/>
      <c r="L195" s="70">
        <v>64.900000000000006</v>
      </c>
    </row>
    <row r="196" spans="1:12" ht="26.25" x14ac:dyDescent="0.25">
      <c r="A196" s="6"/>
      <c r="B196" s="6" t="s">
        <v>470</v>
      </c>
      <c r="C196" s="3" t="s">
        <v>471</v>
      </c>
      <c r="D196" s="70">
        <v>60</v>
      </c>
      <c r="E196" s="70"/>
      <c r="F196" s="70">
        <v>60</v>
      </c>
      <c r="G196" s="70">
        <v>62.4</v>
      </c>
      <c r="H196" s="70"/>
      <c r="I196" s="70">
        <v>62.4</v>
      </c>
      <c r="J196" s="70">
        <v>64.900000000000006</v>
      </c>
      <c r="K196" s="70"/>
      <c r="L196" s="70">
        <v>64.900000000000006</v>
      </c>
    </row>
    <row r="197" spans="1:12" ht="26.25" x14ac:dyDescent="0.25">
      <c r="A197" s="29" t="s">
        <v>180</v>
      </c>
      <c r="B197" s="29"/>
      <c r="C197" s="37" t="s">
        <v>181</v>
      </c>
      <c r="D197" s="72">
        <f t="shared" ref="D197:L197" si="28">D198+D206</f>
        <v>11853.91179</v>
      </c>
      <c r="E197" s="72">
        <f>E198+E206</f>
        <v>0</v>
      </c>
      <c r="F197" s="72">
        <f t="shared" si="28"/>
        <v>11853.91179</v>
      </c>
      <c r="G197" s="72">
        <f t="shared" si="28"/>
        <v>10899.255569999999</v>
      </c>
      <c r="H197" s="72">
        <f t="shared" si="28"/>
        <v>0</v>
      </c>
      <c r="I197" s="72">
        <f t="shared" si="28"/>
        <v>10899.255569999999</v>
      </c>
      <c r="J197" s="72">
        <f t="shared" si="28"/>
        <v>1174.07366</v>
      </c>
      <c r="K197" s="72">
        <f t="shared" si="28"/>
        <v>0</v>
      </c>
      <c r="L197" s="72">
        <f t="shared" si="28"/>
        <v>1174.07366</v>
      </c>
    </row>
    <row r="198" spans="1:12" x14ac:dyDescent="0.25">
      <c r="A198" s="33" t="s">
        <v>182</v>
      </c>
      <c r="B198" s="33"/>
      <c r="C198" s="34" t="s">
        <v>183</v>
      </c>
      <c r="D198" s="71">
        <f>D201+D199</f>
        <v>8569.2489999999998</v>
      </c>
      <c r="E198" s="71">
        <f>E201+E199</f>
        <v>0</v>
      </c>
      <c r="F198" s="71">
        <f t="shared" ref="F198:L198" si="29">F201+F199</f>
        <v>8569.2489999999998</v>
      </c>
      <c r="G198" s="71">
        <f t="shared" si="29"/>
        <v>7603.884</v>
      </c>
      <c r="H198" s="71">
        <f t="shared" si="29"/>
        <v>0</v>
      </c>
      <c r="I198" s="71">
        <f t="shared" si="29"/>
        <v>7603.884</v>
      </c>
      <c r="J198" s="71">
        <f t="shared" si="29"/>
        <v>992.88800000000003</v>
      </c>
      <c r="K198" s="71">
        <f t="shared" si="29"/>
        <v>0</v>
      </c>
      <c r="L198" s="71">
        <f t="shared" si="29"/>
        <v>992.88800000000003</v>
      </c>
    </row>
    <row r="199" spans="1:12" ht="64.5" x14ac:dyDescent="0.25">
      <c r="A199" s="6" t="s">
        <v>184</v>
      </c>
      <c r="B199" s="6"/>
      <c r="C199" s="3" t="s">
        <v>535</v>
      </c>
      <c r="D199" s="70">
        <f>D200</f>
        <v>7398.1419999999998</v>
      </c>
      <c r="E199" s="70"/>
      <c r="F199" s="70">
        <f>F200</f>
        <v>7398.1419999999998</v>
      </c>
      <c r="G199" s="70">
        <f>G200</f>
        <v>7603.884</v>
      </c>
      <c r="H199" s="70"/>
      <c r="I199" s="70">
        <f>I200</f>
        <v>7603.884</v>
      </c>
      <c r="J199" s="70">
        <f>J200</f>
        <v>0</v>
      </c>
      <c r="K199" s="70"/>
      <c r="L199" s="70">
        <f>L200</f>
        <v>0</v>
      </c>
    </row>
    <row r="200" spans="1:12" x14ac:dyDescent="0.25">
      <c r="A200" s="6"/>
      <c r="B200" s="6" t="s">
        <v>423</v>
      </c>
      <c r="C200" s="3" t="s">
        <v>424</v>
      </c>
      <c r="D200" s="70">
        <v>7398.1419999999998</v>
      </c>
      <c r="E200" s="70"/>
      <c r="F200" s="70">
        <v>7398.1419999999998</v>
      </c>
      <c r="G200" s="70">
        <v>7603.884</v>
      </c>
      <c r="H200" s="70"/>
      <c r="I200" s="70">
        <v>7603.884</v>
      </c>
      <c r="J200" s="80">
        <v>0</v>
      </c>
      <c r="K200" s="80"/>
      <c r="L200" s="80">
        <v>0</v>
      </c>
    </row>
    <row r="201" spans="1:12" ht="39" x14ac:dyDescent="0.25">
      <c r="A201" s="6" t="s">
        <v>186</v>
      </c>
      <c r="B201" s="6"/>
      <c r="C201" s="54" t="s">
        <v>800</v>
      </c>
      <c r="D201" s="70">
        <f>SUM(D202)</f>
        <v>1171.107</v>
      </c>
      <c r="E201" s="70"/>
      <c r="F201" s="70">
        <f>SUM(F202)</f>
        <v>1171.107</v>
      </c>
      <c r="G201" s="70">
        <v>0</v>
      </c>
      <c r="H201" s="70"/>
      <c r="I201" s="70">
        <f>I202</f>
        <v>0</v>
      </c>
      <c r="J201" s="70">
        <f>SUM(J202)</f>
        <v>992.88800000000003</v>
      </c>
      <c r="K201" s="70"/>
      <c r="L201" s="70">
        <f>SUM(L202)</f>
        <v>992.88800000000003</v>
      </c>
    </row>
    <row r="202" spans="1:12" x14ac:dyDescent="0.25">
      <c r="A202" s="6"/>
      <c r="B202" s="6" t="s">
        <v>423</v>
      </c>
      <c r="C202" s="3" t="s">
        <v>424</v>
      </c>
      <c r="D202" s="70">
        <f>D205</f>
        <v>1171.107</v>
      </c>
      <c r="E202" s="70"/>
      <c r="F202" s="70">
        <f>F205</f>
        <v>1171.107</v>
      </c>
      <c r="G202" s="70">
        <f>G205</f>
        <v>0</v>
      </c>
      <c r="H202" s="70"/>
      <c r="I202" s="70">
        <f>I205</f>
        <v>0</v>
      </c>
      <c r="J202" s="70">
        <f>J205</f>
        <v>992.88800000000003</v>
      </c>
      <c r="K202" s="70"/>
      <c r="L202" s="70">
        <f>L205</f>
        <v>992.88800000000003</v>
      </c>
    </row>
    <row r="203" spans="1:12" x14ac:dyDescent="0.25">
      <c r="A203" s="6"/>
      <c r="B203" s="6"/>
      <c r="C203" s="3" t="s">
        <v>187</v>
      </c>
      <c r="D203" s="70">
        <v>0</v>
      </c>
      <c r="E203" s="70"/>
      <c r="F203" s="70">
        <v>0</v>
      </c>
      <c r="G203" s="70">
        <v>0</v>
      </c>
      <c r="H203" s="70"/>
      <c r="I203" s="70">
        <v>0</v>
      </c>
      <c r="J203" s="70">
        <v>0</v>
      </c>
      <c r="K203" s="70"/>
      <c r="L203" s="70">
        <v>0</v>
      </c>
    </row>
    <row r="204" spans="1:12" x14ac:dyDescent="0.25">
      <c r="A204" s="6"/>
      <c r="B204" s="6"/>
      <c r="C204" s="3" t="s">
        <v>185</v>
      </c>
      <c r="D204" s="70">
        <v>0</v>
      </c>
      <c r="E204" s="70"/>
      <c r="F204" s="70">
        <v>0</v>
      </c>
      <c r="G204" s="70">
        <v>0</v>
      </c>
      <c r="H204" s="70"/>
      <c r="I204" s="70">
        <v>0</v>
      </c>
      <c r="J204" s="70">
        <v>0</v>
      </c>
      <c r="K204" s="70"/>
      <c r="L204" s="70">
        <v>0</v>
      </c>
    </row>
    <row r="205" spans="1:12" x14ac:dyDescent="0.25">
      <c r="A205" s="6"/>
      <c r="B205" s="6"/>
      <c r="C205" s="3" t="s">
        <v>150</v>
      </c>
      <c r="D205" s="70">
        <v>1171.107</v>
      </c>
      <c r="E205" s="80"/>
      <c r="F205" s="70">
        <v>1171.107</v>
      </c>
      <c r="G205" s="70">
        <v>0</v>
      </c>
      <c r="H205" s="70"/>
      <c r="I205" s="70">
        <v>0</v>
      </c>
      <c r="J205" s="70">
        <v>992.88800000000003</v>
      </c>
      <c r="K205" s="70"/>
      <c r="L205" s="70">
        <v>992.88800000000003</v>
      </c>
    </row>
    <row r="206" spans="1:12" ht="39" x14ac:dyDescent="0.25">
      <c r="A206" s="33" t="s">
        <v>192</v>
      </c>
      <c r="B206" s="33"/>
      <c r="C206" s="34" t="s">
        <v>193</v>
      </c>
      <c r="D206" s="71">
        <f t="shared" ref="D206:L206" si="30">D207+D209+D211</f>
        <v>3284.6627899999999</v>
      </c>
      <c r="E206" s="71"/>
      <c r="F206" s="71">
        <f t="shared" si="30"/>
        <v>3284.6627899999999</v>
      </c>
      <c r="G206" s="71">
        <f t="shared" si="30"/>
        <v>3295.3715699999998</v>
      </c>
      <c r="H206" s="71"/>
      <c r="I206" s="71">
        <f t="shared" si="30"/>
        <v>3295.3715699999998</v>
      </c>
      <c r="J206" s="71">
        <f t="shared" si="30"/>
        <v>181.18565999999998</v>
      </c>
      <c r="K206" s="71"/>
      <c r="L206" s="71">
        <f t="shared" si="30"/>
        <v>181.18565999999998</v>
      </c>
    </row>
    <row r="207" spans="1:12" ht="39" x14ac:dyDescent="0.25">
      <c r="A207" s="6" t="s">
        <v>194</v>
      </c>
      <c r="B207" s="6"/>
      <c r="C207" s="3" t="s">
        <v>195</v>
      </c>
      <c r="D207" s="70">
        <f t="shared" ref="D207:L207" si="31">D208</f>
        <v>98.75779</v>
      </c>
      <c r="E207" s="70"/>
      <c r="F207" s="70">
        <f t="shared" si="31"/>
        <v>98.75779</v>
      </c>
      <c r="G207" s="70">
        <f t="shared" si="31"/>
        <v>107.06657</v>
      </c>
      <c r="H207" s="70"/>
      <c r="I207" s="70">
        <f t="shared" si="31"/>
        <v>107.06657</v>
      </c>
      <c r="J207" s="70">
        <f t="shared" si="31"/>
        <v>107.58566</v>
      </c>
      <c r="K207" s="70"/>
      <c r="L207" s="70">
        <f t="shared" si="31"/>
        <v>107.58565999999999</v>
      </c>
    </row>
    <row r="208" spans="1:12" ht="26.25" x14ac:dyDescent="0.25">
      <c r="A208" s="6"/>
      <c r="B208" s="6" t="s">
        <v>280</v>
      </c>
      <c r="C208" s="3" t="s">
        <v>281</v>
      </c>
      <c r="D208" s="70">
        <v>98.75779</v>
      </c>
      <c r="E208" s="70"/>
      <c r="F208" s="70">
        <v>98.75779</v>
      </c>
      <c r="G208" s="70">
        <v>107.06657</v>
      </c>
      <c r="H208" s="70"/>
      <c r="I208" s="70">
        <v>107.06657</v>
      </c>
      <c r="J208" s="70">
        <v>107.58566</v>
      </c>
      <c r="K208" s="70"/>
      <c r="L208" s="70">
        <v>107.58565999999999</v>
      </c>
    </row>
    <row r="209" spans="1:12" ht="64.5" x14ac:dyDescent="0.25">
      <c r="A209" s="6" t="s">
        <v>196</v>
      </c>
      <c r="B209" s="6"/>
      <c r="C209" s="46" t="s">
        <v>197</v>
      </c>
      <c r="D209" s="70">
        <f t="shared" ref="D209:J209" si="32">D210</f>
        <v>3114.7049999999999</v>
      </c>
      <c r="E209" s="70"/>
      <c r="F209" s="70">
        <f t="shared" si="32"/>
        <v>3114.7049999999999</v>
      </c>
      <c r="G209" s="70">
        <f t="shared" si="32"/>
        <v>3114.7049999999999</v>
      </c>
      <c r="H209" s="70"/>
      <c r="I209" s="70">
        <f t="shared" si="32"/>
        <v>3114.7049999999999</v>
      </c>
      <c r="J209" s="70">
        <f t="shared" si="32"/>
        <v>0</v>
      </c>
      <c r="K209" s="70"/>
      <c r="L209" s="70">
        <f>L210</f>
        <v>0</v>
      </c>
    </row>
    <row r="210" spans="1:12" ht="26.25" x14ac:dyDescent="0.25">
      <c r="A210" s="6"/>
      <c r="B210" s="22" t="s">
        <v>298</v>
      </c>
      <c r="C210" s="3" t="s">
        <v>299</v>
      </c>
      <c r="D210" s="70">
        <v>3114.7049999999999</v>
      </c>
      <c r="E210" s="70"/>
      <c r="F210" s="70">
        <v>3114.7049999999999</v>
      </c>
      <c r="G210" s="70">
        <v>3114.7049999999999</v>
      </c>
      <c r="H210" s="70"/>
      <c r="I210" s="70">
        <v>3114.7049999999999</v>
      </c>
      <c r="J210" s="70">
        <v>0</v>
      </c>
      <c r="K210" s="70"/>
      <c r="L210" s="70">
        <v>0</v>
      </c>
    </row>
    <row r="211" spans="1:12" ht="51" x14ac:dyDescent="0.25">
      <c r="A211" s="6" t="s">
        <v>198</v>
      </c>
      <c r="B211" s="6"/>
      <c r="C211" s="1" t="s">
        <v>199</v>
      </c>
      <c r="D211" s="70">
        <v>71.2</v>
      </c>
      <c r="E211" s="70"/>
      <c r="F211" s="70">
        <v>71.2</v>
      </c>
      <c r="G211" s="70">
        <v>73.599999999999994</v>
      </c>
      <c r="H211" s="70"/>
      <c r="I211" s="70">
        <v>73.599999999999994</v>
      </c>
      <c r="J211" s="70">
        <v>73.599999999999994</v>
      </c>
      <c r="K211" s="70"/>
      <c r="L211" s="70">
        <v>73.599999999999994</v>
      </c>
    </row>
    <row r="212" spans="1:12" ht="51.75" x14ac:dyDescent="0.25">
      <c r="A212" s="6"/>
      <c r="B212" s="6" t="s">
        <v>398</v>
      </c>
      <c r="C212" s="3" t="s">
        <v>399</v>
      </c>
      <c r="D212" s="70">
        <v>51.7</v>
      </c>
      <c r="E212" s="70"/>
      <c r="F212" s="70">
        <v>51.7</v>
      </c>
      <c r="G212" s="70">
        <v>53.6</v>
      </c>
      <c r="H212" s="70"/>
      <c r="I212" s="70">
        <v>53.6</v>
      </c>
      <c r="J212" s="70">
        <v>53.6</v>
      </c>
      <c r="K212" s="70"/>
      <c r="L212" s="70">
        <v>53.6</v>
      </c>
    </row>
    <row r="213" spans="1:12" ht="26.25" x14ac:dyDescent="0.25">
      <c r="A213" s="6"/>
      <c r="B213" s="6" t="s">
        <v>280</v>
      </c>
      <c r="C213" s="3" t="s">
        <v>281</v>
      </c>
      <c r="D213" s="70">
        <v>19.5</v>
      </c>
      <c r="E213" s="70"/>
      <c r="F213" s="70">
        <v>19.5</v>
      </c>
      <c r="G213" s="70">
        <v>20</v>
      </c>
      <c r="H213" s="70"/>
      <c r="I213" s="70">
        <v>20</v>
      </c>
      <c r="J213" s="70">
        <v>20</v>
      </c>
      <c r="K213" s="70"/>
      <c r="L213" s="70">
        <v>20</v>
      </c>
    </row>
    <row r="214" spans="1:12" s="47" customFormat="1" ht="26.25" x14ac:dyDescent="0.25">
      <c r="A214" s="29" t="s">
        <v>200</v>
      </c>
      <c r="B214" s="29"/>
      <c r="C214" s="37" t="s">
        <v>201</v>
      </c>
      <c r="D214" s="72">
        <f>D215+D231</f>
        <v>9144.1775500000003</v>
      </c>
      <c r="E214" s="72">
        <f>E215+E231</f>
        <v>-3880.9</v>
      </c>
      <c r="F214" s="72">
        <f>F215+F231</f>
        <v>5263.2775499999998</v>
      </c>
      <c r="G214" s="72">
        <f>G215</f>
        <v>3057.0972500000003</v>
      </c>
      <c r="H214" s="72">
        <f>H215+H231</f>
        <v>4643.2</v>
      </c>
      <c r="I214" s="72">
        <f>I215+I231</f>
        <v>7700.2972499999996</v>
      </c>
      <c r="J214" s="72">
        <f>J215</f>
        <v>1463.20218</v>
      </c>
      <c r="K214" s="72"/>
      <c r="L214" s="72">
        <f>L215</f>
        <v>1463.20218</v>
      </c>
    </row>
    <row r="215" spans="1:12" ht="39" x14ac:dyDescent="0.25">
      <c r="A215" s="33" t="s">
        <v>202</v>
      </c>
      <c r="B215" s="33"/>
      <c r="C215" s="34" t="s">
        <v>873</v>
      </c>
      <c r="D215" s="71">
        <f>D216+D218+D220+D225+D223+D227</f>
        <v>5263.2775499999998</v>
      </c>
      <c r="E215" s="71"/>
      <c r="F215" s="71">
        <f>F216+F218+F220+F225+F223+F227</f>
        <v>5263.2775499999998</v>
      </c>
      <c r="G215" s="71">
        <f>G216+G218+G220+G225+G223+G227</f>
        <v>3057.0972500000003</v>
      </c>
      <c r="H215" s="71"/>
      <c r="I215" s="71">
        <f>I216+I218+I220+I225+I223+I227</f>
        <v>3057.0972500000003</v>
      </c>
      <c r="J215" s="71">
        <f>J216+J218+J220+J225+J223+J227</f>
        <v>1463.20218</v>
      </c>
      <c r="K215" s="71"/>
      <c r="L215" s="71">
        <f>L216+L218+L220+L225+L223+L227</f>
        <v>1463.20218</v>
      </c>
    </row>
    <row r="216" spans="1:12" ht="38.25" x14ac:dyDescent="0.25">
      <c r="A216" s="6" t="s">
        <v>203</v>
      </c>
      <c r="B216" s="6"/>
      <c r="C216" s="5" t="s">
        <v>536</v>
      </c>
      <c r="D216" s="70">
        <f>D217</f>
        <v>1121.9000000000001</v>
      </c>
      <c r="E216" s="70"/>
      <c r="F216" s="70">
        <f>F217</f>
        <v>1121.9000000000001</v>
      </c>
      <c r="G216" s="70">
        <f>G217</f>
        <v>1182.4000000000001</v>
      </c>
      <c r="H216" s="70"/>
      <c r="I216" s="70">
        <f>I217</f>
        <v>1182.4000000000001</v>
      </c>
      <c r="J216" s="70">
        <f>J217</f>
        <v>1229.5999999999999</v>
      </c>
      <c r="K216" s="70"/>
      <c r="L216" s="70">
        <f>L217</f>
        <v>1229.5999999999999</v>
      </c>
    </row>
    <row r="217" spans="1:12" ht="26.25" x14ac:dyDescent="0.25">
      <c r="A217" s="6"/>
      <c r="B217" s="6" t="s">
        <v>280</v>
      </c>
      <c r="C217" s="3" t="s">
        <v>281</v>
      </c>
      <c r="D217" s="70">
        <f>864.2+257.7</f>
        <v>1121.9000000000001</v>
      </c>
      <c r="E217" s="70"/>
      <c r="F217" s="70">
        <f>864.2+257.7</f>
        <v>1121.9000000000001</v>
      </c>
      <c r="G217" s="70">
        <f>914.4+268</f>
        <v>1182.4000000000001</v>
      </c>
      <c r="H217" s="70"/>
      <c r="I217" s="70">
        <f>914.4+268</f>
        <v>1182.4000000000001</v>
      </c>
      <c r="J217" s="70">
        <f>950.9+278.7</f>
        <v>1229.5999999999999</v>
      </c>
      <c r="K217" s="70"/>
      <c r="L217" s="70">
        <f>950.9+278.7</f>
        <v>1229.5999999999999</v>
      </c>
    </row>
    <row r="218" spans="1:12" ht="39" x14ac:dyDescent="0.25">
      <c r="A218" s="6" t="s">
        <v>204</v>
      </c>
      <c r="B218" s="6"/>
      <c r="C218" s="13" t="s">
        <v>205</v>
      </c>
      <c r="D218" s="70">
        <f>D219</f>
        <v>95.3</v>
      </c>
      <c r="E218" s="70"/>
      <c r="F218" s="70">
        <f>F219</f>
        <v>95.3</v>
      </c>
      <c r="G218" s="70">
        <f>G219</f>
        <v>99.2</v>
      </c>
      <c r="H218" s="70"/>
      <c r="I218" s="70">
        <f>I219</f>
        <v>99.2</v>
      </c>
      <c r="J218" s="70">
        <f>J219</f>
        <v>103.2</v>
      </c>
      <c r="K218" s="70"/>
      <c r="L218" s="70">
        <f>L219</f>
        <v>103.2</v>
      </c>
    </row>
    <row r="219" spans="1:12" ht="26.25" x14ac:dyDescent="0.25">
      <c r="A219" s="6"/>
      <c r="B219" s="6" t="s">
        <v>280</v>
      </c>
      <c r="C219" s="3" t="s">
        <v>281</v>
      </c>
      <c r="D219" s="70">
        <v>95.3</v>
      </c>
      <c r="E219" s="70"/>
      <c r="F219" s="70">
        <v>95.3</v>
      </c>
      <c r="G219" s="70">
        <v>99.2</v>
      </c>
      <c r="H219" s="70"/>
      <c r="I219" s="70">
        <v>99.2</v>
      </c>
      <c r="J219" s="70">
        <v>103.2</v>
      </c>
      <c r="K219" s="70"/>
      <c r="L219" s="70">
        <v>103.2</v>
      </c>
    </row>
    <row r="220" spans="1:12" s="91" customFormat="1" ht="26.25" x14ac:dyDescent="0.25">
      <c r="A220" s="6" t="s">
        <v>206</v>
      </c>
      <c r="B220" s="6"/>
      <c r="C220" s="13" t="s">
        <v>207</v>
      </c>
      <c r="D220" s="70">
        <f>SUM(D221:D222)</f>
        <v>2411.8000000000002</v>
      </c>
      <c r="E220" s="70"/>
      <c r="F220" s="70">
        <f>SUM(F221:F222)</f>
        <v>2411.8000000000002</v>
      </c>
      <c r="G220" s="70">
        <v>0</v>
      </c>
      <c r="H220" s="70"/>
      <c r="I220" s="70">
        <v>0</v>
      </c>
      <c r="J220" s="70">
        <v>0</v>
      </c>
      <c r="K220" s="70"/>
      <c r="L220" s="70">
        <v>0</v>
      </c>
    </row>
    <row r="221" spans="1:12" ht="26.25" x14ac:dyDescent="0.25">
      <c r="A221" s="6"/>
      <c r="B221" s="6" t="s">
        <v>280</v>
      </c>
      <c r="C221" s="3" t="s">
        <v>281</v>
      </c>
      <c r="D221" s="70">
        <f>5357.4-4285.9</f>
        <v>1071.5</v>
      </c>
      <c r="E221" s="70"/>
      <c r="F221" s="70">
        <f>5357.4-4285.9</f>
        <v>1071.5</v>
      </c>
      <c r="G221" s="70">
        <v>0</v>
      </c>
      <c r="H221" s="70"/>
      <c r="I221" s="70">
        <v>0</v>
      </c>
      <c r="J221" s="70">
        <v>0</v>
      </c>
      <c r="K221" s="70"/>
      <c r="L221" s="70">
        <v>0</v>
      </c>
    </row>
    <row r="222" spans="1:12" x14ac:dyDescent="0.25">
      <c r="A222" s="6"/>
      <c r="B222" s="6" t="s">
        <v>423</v>
      </c>
      <c r="C222" s="3" t="s">
        <v>424</v>
      </c>
      <c r="D222" s="70">
        <v>1340.3</v>
      </c>
      <c r="E222" s="70"/>
      <c r="F222" s="70">
        <v>1340.3</v>
      </c>
      <c r="G222" s="70">
        <v>0</v>
      </c>
      <c r="H222" s="70"/>
      <c r="I222" s="70">
        <v>0</v>
      </c>
      <c r="J222" s="70">
        <v>0</v>
      </c>
      <c r="K222" s="70"/>
      <c r="L222" s="70">
        <v>0</v>
      </c>
    </row>
    <row r="223" spans="1:12" ht="26.25" x14ac:dyDescent="0.25">
      <c r="A223" s="6" t="s">
        <v>208</v>
      </c>
      <c r="B223" s="6"/>
      <c r="C223" s="3" t="s">
        <v>537</v>
      </c>
      <c r="D223" s="70">
        <f>D224</f>
        <v>104.2</v>
      </c>
      <c r="E223" s="70"/>
      <c r="F223" s="70">
        <f>F224</f>
        <v>104.2</v>
      </c>
      <c r="G223" s="70">
        <f>G224</f>
        <v>108.4</v>
      </c>
      <c r="H223" s="70"/>
      <c r="I223" s="70">
        <f>I224</f>
        <v>108.4</v>
      </c>
      <c r="J223" s="70">
        <f>J224</f>
        <v>112.7</v>
      </c>
      <c r="K223" s="70"/>
      <c r="L223" s="70">
        <f>L224</f>
        <v>112.7</v>
      </c>
    </row>
    <row r="224" spans="1:12" ht="26.25" x14ac:dyDescent="0.25">
      <c r="A224" s="6"/>
      <c r="B224" s="6" t="s">
        <v>280</v>
      </c>
      <c r="C224" s="3" t="s">
        <v>281</v>
      </c>
      <c r="D224" s="70">
        <v>104.2</v>
      </c>
      <c r="E224" s="70"/>
      <c r="F224" s="70">
        <v>104.2</v>
      </c>
      <c r="G224" s="70">
        <v>108.4</v>
      </c>
      <c r="H224" s="70"/>
      <c r="I224" s="70">
        <v>108.4</v>
      </c>
      <c r="J224" s="70">
        <v>112.7</v>
      </c>
      <c r="K224" s="70"/>
      <c r="L224" s="70">
        <v>112.7</v>
      </c>
    </row>
    <row r="225" spans="1:12" s="91" customFormat="1" ht="26.25" x14ac:dyDescent="0.25">
      <c r="A225" s="6" t="s">
        <v>506</v>
      </c>
      <c r="B225" s="6"/>
      <c r="C225" s="3" t="s">
        <v>798</v>
      </c>
      <c r="D225" s="70">
        <f>D226</f>
        <v>0</v>
      </c>
      <c r="E225" s="70"/>
      <c r="F225" s="70">
        <f>F226</f>
        <v>0</v>
      </c>
      <c r="G225" s="70">
        <f>G226</f>
        <v>0</v>
      </c>
      <c r="H225" s="70"/>
      <c r="I225" s="70">
        <f>I226</f>
        <v>0</v>
      </c>
      <c r="J225" s="70">
        <f>J226</f>
        <v>0</v>
      </c>
      <c r="K225" s="70"/>
      <c r="L225" s="70">
        <f>L226</f>
        <v>0</v>
      </c>
    </row>
    <row r="226" spans="1:12" ht="26.25" x14ac:dyDescent="0.25">
      <c r="A226" s="6"/>
      <c r="B226" s="6" t="s">
        <v>280</v>
      </c>
      <c r="C226" s="3" t="s">
        <v>281</v>
      </c>
      <c r="D226" s="70">
        <v>0</v>
      </c>
      <c r="E226" s="70"/>
      <c r="F226" s="70">
        <v>0</v>
      </c>
      <c r="G226" s="70">
        <v>0</v>
      </c>
      <c r="H226" s="70"/>
      <c r="I226" s="70">
        <v>0</v>
      </c>
      <c r="J226" s="70">
        <v>0</v>
      </c>
      <c r="K226" s="70"/>
      <c r="L226" s="70">
        <v>0</v>
      </c>
    </row>
    <row r="227" spans="1:12" ht="39" x14ac:dyDescent="0.25">
      <c r="A227" s="6" t="s">
        <v>493</v>
      </c>
      <c r="B227" s="6"/>
      <c r="C227" s="3" t="s">
        <v>494</v>
      </c>
      <c r="D227" s="70">
        <f>D228</f>
        <v>1530.0775500000002</v>
      </c>
      <c r="E227" s="70"/>
      <c r="F227" s="70">
        <f>F228</f>
        <v>1530.0775500000002</v>
      </c>
      <c r="G227" s="70">
        <f>G228</f>
        <v>1667.09725</v>
      </c>
      <c r="H227" s="70"/>
      <c r="I227" s="70">
        <f>I228</f>
        <v>1667.09725</v>
      </c>
      <c r="J227" s="70">
        <f>J228</f>
        <v>17.702179999999998</v>
      </c>
      <c r="K227" s="70"/>
      <c r="L227" s="70">
        <f>L228</f>
        <v>17.702179999999998</v>
      </c>
    </row>
    <row r="228" spans="1:12" ht="26.25" x14ac:dyDescent="0.25">
      <c r="A228" s="6"/>
      <c r="B228" s="6" t="s">
        <v>280</v>
      </c>
      <c r="C228" s="3" t="s">
        <v>281</v>
      </c>
      <c r="D228" s="70">
        <f>D229+D230</f>
        <v>1530.0775500000002</v>
      </c>
      <c r="E228" s="70"/>
      <c r="F228" s="70">
        <f>F229+F230</f>
        <v>1530.0775500000002</v>
      </c>
      <c r="G228" s="70">
        <f>G229+G230</f>
        <v>1667.09725</v>
      </c>
      <c r="H228" s="70"/>
      <c r="I228" s="70">
        <f>I229+I230</f>
        <v>1667.09725</v>
      </c>
      <c r="J228" s="70">
        <f>J229+J230</f>
        <v>17.702179999999998</v>
      </c>
      <c r="K228" s="70"/>
      <c r="L228" s="70">
        <f>L229+L230</f>
        <v>17.702179999999998</v>
      </c>
    </row>
    <row r="229" spans="1:12" x14ac:dyDescent="0.25">
      <c r="A229" s="6"/>
      <c r="B229" s="6"/>
      <c r="C229" s="3" t="s">
        <v>185</v>
      </c>
      <c r="D229" s="70">
        <v>1499.4760000000001</v>
      </c>
      <c r="E229" s="70"/>
      <c r="F229" s="70">
        <v>1499.4760000000001</v>
      </c>
      <c r="G229" s="70">
        <v>1634.0559000000001</v>
      </c>
      <c r="H229" s="70"/>
      <c r="I229" s="70">
        <v>1634.0559000000001</v>
      </c>
      <c r="J229" s="70">
        <v>0</v>
      </c>
      <c r="K229" s="70"/>
      <c r="L229" s="70">
        <v>0</v>
      </c>
    </row>
    <row r="230" spans="1:12" x14ac:dyDescent="0.25">
      <c r="A230" s="6"/>
      <c r="B230" s="6"/>
      <c r="C230" s="3" t="s">
        <v>150</v>
      </c>
      <c r="D230" s="70">
        <v>30.60155</v>
      </c>
      <c r="E230" s="70"/>
      <c r="F230" s="70">
        <v>30.60155</v>
      </c>
      <c r="G230" s="70">
        <v>33.041350000000001</v>
      </c>
      <c r="H230" s="70"/>
      <c r="I230" s="70">
        <v>33.041350000000001</v>
      </c>
      <c r="J230" s="70">
        <v>17.702179999999998</v>
      </c>
      <c r="K230" s="70"/>
      <c r="L230" s="70">
        <v>17.702179999999998</v>
      </c>
    </row>
    <row r="231" spans="1:12" ht="26.25" x14ac:dyDescent="0.25">
      <c r="A231" s="33" t="s">
        <v>538</v>
      </c>
      <c r="B231" s="33"/>
      <c r="C231" s="34" t="s">
        <v>541</v>
      </c>
      <c r="D231" s="71">
        <f t="shared" ref="D231:J232" si="33">D232</f>
        <v>3880.9</v>
      </c>
      <c r="E231" s="71">
        <f t="shared" si="33"/>
        <v>-3880.9</v>
      </c>
      <c r="F231" s="71">
        <f t="shared" si="33"/>
        <v>0</v>
      </c>
      <c r="G231" s="71">
        <f t="shared" si="33"/>
        <v>0</v>
      </c>
      <c r="H231" s="71">
        <f t="shared" si="33"/>
        <v>4643.2</v>
      </c>
      <c r="I231" s="71">
        <f t="shared" si="33"/>
        <v>4643.2</v>
      </c>
      <c r="J231" s="71">
        <f t="shared" si="33"/>
        <v>0</v>
      </c>
      <c r="K231" s="71"/>
      <c r="L231" s="71">
        <f>L232</f>
        <v>0</v>
      </c>
    </row>
    <row r="232" spans="1:12" ht="26.25" x14ac:dyDescent="0.25">
      <c r="A232" s="6" t="s">
        <v>539</v>
      </c>
      <c r="B232" s="6"/>
      <c r="C232" s="13" t="s">
        <v>540</v>
      </c>
      <c r="D232" s="70">
        <f t="shared" si="33"/>
        <v>3880.9</v>
      </c>
      <c r="E232" s="70">
        <f t="shared" si="33"/>
        <v>-3880.9</v>
      </c>
      <c r="F232" s="70">
        <f t="shared" si="33"/>
        <v>0</v>
      </c>
      <c r="G232" s="70">
        <f t="shared" si="33"/>
        <v>0</v>
      </c>
      <c r="H232" s="70">
        <f t="shared" si="33"/>
        <v>4643.2</v>
      </c>
      <c r="I232" s="70">
        <f t="shared" si="33"/>
        <v>4643.2</v>
      </c>
      <c r="J232" s="70">
        <f t="shared" si="33"/>
        <v>0</v>
      </c>
      <c r="K232" s="70"/>
      <c r="L232" s="70">
        <f>L233</f>
        <v>0</v>
      </c>
    </row>
    <row r="233" spans="1:12" ht="26.25" x14ac:dyDescent="0.25">
      <c r="A233" s="6"/>
      <c r="B233" s="22" t="s">
        <v>298</v>
      </c>
      <c r="C233" s="3" t="s">
        <v>299</v>
      </c>
      <c r="D233" s="70">
        <v>3880.9</v>
      </c>
      <c r="E233" s="70">
        <v>-3880.9</v>
      </c>
      <c r="F233" s="70">
        <v>0</v>
      </c>
      <c r="G233" s="70">
        <v>0</v>
      </c>
      <c r="H233" s="70">
        <v>4643.2</v>
      </c>
      <c r="I233" s="70">
        <v>4643.2</v>
      </c>
      <c r="J233" s="70">
        <v>0</v>
      </c>
      <c r="K233" s="70"/>
      <c r="L233" s="70">
        <v>0</v>
      </c>
    </row>
    <row r="234" spans="1:12" ht="39" x14ac:dyDescent="0.25">
      <c r="A234" s="29" t="s">
        <v>210</v>
      </c>
      <c r="B234" s="29"/>
      <c r="C234" s="37" t="s">
        <v>211</v>
      </c>
      <c r="D234" s="72">
        <f t="shared" ref="D234:J234" si="34">D235+D280+D288</f>
        <v>139114.66000999999</v>
      </c>
      <c r="E234" s="72">
        <f t="shared" si="34"/>
        <v>3935.0000000000005</v>
      </c>
      <c r="F234" s="72">
        <f t="shared" si="34"/>
        <v>143049.66000999996</v>
      </c>
      <c r="G234" s="72">
        <f t="shared" si="34"/>
        <v>94283.594960000017</v>
      </c>
      <c r="H234" s="72">
        <f t="shared" si="34"/>
        <v>2600</v>
      </c>
      <c r="I234" s="72">
        <f t="shared" si="34"/>
        <v>96883.594960000017</v>
      </c>
      <c r="J234" s="72">
        <f t="shared" si="34"/>
        <v>88393.957890000005</v>
      </c>
      <c r="K234" s="72"/>
      <c r="L234" s="72">
        <f>L235+L280+L288</f>
        <v>88393.957890000005</v>
      </c>
    </row>
    <row r="235" spans="1:12" ht="26.25" x14ac:dyDescent="0.25">
      <c r="A235" s="31" t="s">
        <v>212</v>
      </c>
      <c r="B235" s="31"/>
      <c r="C235" s="32" t="s">
        <v>213</v>
      </c>
      <c r="D235" s="75">
        <f t="shared" ref="D235:J235" si="35">D236+D239+D244+D247+D250+D255+D258+D273</f>
        <v>137335.26001</v>
      </c>
      <c r="E235" s="75">
        <f t="shared" si="35"/>
        <v>3935.0000000000005</v>
      </c>
      <c r="F235" s="75">
        <f t="shared" si="35"/>
        <v>141270.26000999997</v>
      </c>
      <c r="G235" s="75">
        <f t="shared" si="35"/>
        <v>92504.194960000008</v>
      </c>
      <c r="H235" s="75">
        <f t="shared" si="35"/>
        <v>2600</v>
      </c>
      <c r="I235" s="75">
        <f t="shared" si="35"/>
        <v>95104.194960000008</v>
      </c>
      <c r="J235" s="75">
        <f t="shared" si="35"/>
        <v>86906.157890000002</v>
      </c>
      <c r="K235" s="75"/>
      <c r="L235" s="75">
        <f>L236+L239+L244+L247+L250+L255+L258+L273</f>
        <v>86906.157890000002</v>
      </c>
    </row>
    <row r="236" spans="1:12" ht="39" x14ac:dyDescent="0.25">
      <c r="A236" s="33" t="s">
        <v>214</v>
      </c>
      <c r="B236" s="33"/>
      <c r="C236" s="34" t="s">
        <v>215</v>
      </c>
      <c r="D236" s="71">
        <f t="shared" ref="D236:J237" si="36">D237</f>
        <v>46407.7</v>
      </c>
      <c r="E236" s="71">
        <f t="shared" si="36"/>
        <v>1045.2</v>
      </c>
      <c r="F236" s="71">
        <f t="shared" si="36"/>
        <v>47452.899999999994</v>
      </c>
      <c r="G236" s="71">
        <f t="shared" si="36"/>
        <v>46721.5</v>
      </c>
      <c r="H236" s="71"/>
      <c r="I236" s="71">
        <f t="shared" si="36"/>
        <v>46721.5</v>
      </c>
      <c r="J236" s="71">
        <f t="shared" si="36"/>
        <v>46721.5</v>
      </c>
      <c r="K236" s="71"/>
      <c r="L236" s="71">
        <f>L237</f>
        <v>46721.5</v>
      </c>
    </row>
    <row r="237" spans="1:12" ht="26.25" x14ac:dyDescent="0.25">
      <c r="A237" s="6" t="s">
        <v>216</v>
      </c>
      <c r="B237" s="6"/>
      <c r="C237" s="8" t="s">
        <v>436</v>
      </c>
      <c r="D237" s="70">
        <f t="shared" si="36"/>
        <v>46407.7</v>
      </c>
      <c r="E237" s="70">
        <f>E238</f>
        <v>1045.2</v>
      </c>
      <c r="F237" s="70">
        <f t="shared" si="36"/>
        <v>47452.899999999994</v>
      </c>
      <c r="G237" s="70">
        <f t="shared" si="36"/>
        <v>46721.5</v>
      </c>
      <c r="H237" s="70"/>
      <c r="I237" s="70">
        <f t="shared" si="36"/>
        <v>46721.5</v>
      </c>
      <c r="J237" s="70">
        <f t="shared" si="36"/>
        <v>46721.5</v>
      </c>
      <c r="K237" s="70"/>
      <c r="L237" s="70">
        <f>L238</f>
        <v>46721.5</v>
      </c>
    </row>
    <row r="238" spans="1:12" ht="26.25" x14ac:dyDescent="0.25">
      <c r="A238" s="6"/>
      <c r="B238" s="6" t="s">
        <v>470</v>
      </c>
      <c r="C238" s="3" t="s">
        <v>471</v>
      </c>
      <c r="D238" s="70">
        <v>46407.7</v>
      </c>
      <c r="E238" s="80">
        <v>1045.2</v>
      </c>
      <c r="F238" s="70">
        <f>46330.7+77+1045.2</f>
        <v>47452.899999999994</v>
      </c>
      <c r="G238" s="70">
        <f>46857.1-135.6</f>
        <v>46721.5</v>
      </c>
      <c r="H238" s="70"/>
      <c r="I238" s="70">
        <f>46857.1-135.6</f>
        <v>46721.5</v>
      </c>
      <c r="J238" s="70">
        <f>47006.2-284.7</f>
        <v>46721.5</v>
      </c>
      <c r="K238" s="70"/>
      <c r="L238" s="70">
        <f>47006.2-284.7</f>
        <v>46721.5</v>
      </c>
    </row>
    <row r="239" spans="1:12" ht="26.25" customHeight="1" x14ac:dyDescent="0.25">
      <c r="A239" s="33" t="s">
        <v>217</v>
      </c>
      <c r="B239" s="33"/>
      <c r="C239" s="34" t="s">
        <v>218</v>
      </c>
      <c r="D239" s="71">
        <f>D240+D242</f>
        <v>19129.8</v>
      </c>
      <c r="E239" s="71">
        <f>E240+E242</f>
        <v>2698.9</v>
      </c>
      <c r="F239" s="71">
        <f>F240+F242</f>
        <v>21828.7</v>
      </c>
      <c r="G239" s="71">
        <f>G240+G242</f>
        <v>19243</v>
      </c>
      <c r="H239" s="71"/>
      <c r="I239" s="71">
        <f>I240+I242</f>
        <v>19243</v>
      </c>
      <c r="J239" s="71">
        <f>J240+J242</f>
        <v>19243</v>
      </c>
      <c r="K239" s="71"/>
      <c r="L239" s="71">
        <f>L240+L242</f>
        <v>19243</v>
      </c>
    </row>
    <row r="240" spans="1:12" ht="26.25" x14ac:dyDescent="0.25">
      <c r="A240" s="6" t="s">
        <v>219</v>
      </c>
      <c r="B240" s="6"/>
      <c r="C240" s="8" t="s">
        <v>437</v>
      </c>
      <c r="D240" s="70">
        <f>D241</f>
        <v>18629.8</v>
      </c>
      <c r="E240" s="70">
        <f>E241</f>
        <v>2698.9</v>
      </c>
      <c r="F240" s="70">
        <f>F241</f>
        <v>21328.7</v>
      </c>
      <c r="G240" s="70">
        <f>G241</f>
        <v>18743</v>
      </c>
      <c r="H240" s="70"/>
      <c r="I240" s="70">
        <f>I241</f>
        <v>18743</v>
      </c>
      <c r="J240" s="70">
        <f>J241</f>
        <v>18743</v>
      </c>
      <c r="K240" s="70"/>
      <c r="L240" s="70">
        <f>L241</f>
        <v>18743</v>
      </c>
    </row>
    <row r="241" spans="1:12" ht="26.25" x14ac:dyDescent="0.25">
      <c r="A241" s="6"/>
      <c r="B241" s="6" t="s">
        <v>470</v>
      </c>
      <c r="C241" s="3" t="s">
        <v>471</v>
      </c>
      <c r="D241" s="70">
        <f>18743-113.2</f>
        <v>18629.8</v>
      </c>
      <c r="E241" s="70">
        <v>2698.9</v>
      </c>
      <c r="F241" s="70">
        <f>18743-113.2+2698.9</f>
        <v>21328.7</v>
      </c>
      <c r="G241" s="70">
        <f>18792-49</f>
        <v>18743</v>
      </c>
      <c r="H241" s="70"/>
      <c r="I241" s="70">
        <f>18792-49</f>
        <v>18743</v>
      </c>
      <c r="J241" s="70">
        <f>18843.2-100.2</f>
        <v>18743</v>
      </c>
      <c r="K241" s="70"/>
      <c r="L241" s="70">
        <f>18843.2-100.2</f>
        <v>18743</v>
      </c>
    </row>
    <row r="242" spans="1:12" ht="26.25" x14ac:dyDescent="0.25">
      <c r="A242" s="6" t="s">
        <v>220</v>
      </c>
      <c r="B242" s="6"/>
      <c r="C242" s="8" t="s">
        <v>221</v>
      </c>
      <c r="D242" s="70">
        <v>500</v>
      </c>
      <c r="E242" s="70"/>
      <c r="F242" s="70">
        <v>500</v>
      </c>
      <c r="G242" s="70">
        <v>500</v>
      </c>
      <c r="H242" s="70"/>
      <c r="I242" s="70">
        <v>500</v>
      </c>
      <c r="J242" s="70">
        <v>500</v>
      </c>
      <c r="K242" s="70"/>
      <c r="L242" s="70">
        <v>500</v>
      </c>
    </row>
    <row r="243" spans="1:12" ht="26.25" x14ac:dyDescent="0.25">
      <c r="A243" s="6"/>
      <c r="B243" s="6" t="s">
        <v>470</v>
      </c>
      <c r="C243" s="3" t="s">
        <v>471</v>
      </c>
      <c r="D243" s="70">
        <v>500</v>
      </c>
      <c r="E243" s="70"/>
      <c r="F243" s="70">
        <v>500</v>
      </c>
      <c r="G243" s="70">
        <v>500</v>
      </c>
      <c r="H243" s="70"/>
      <c r="I243" s="70">
        <v>500</v>
      </c>
      <c r="J243" s="70">
        <v>500</v>
      </c>
      <c r="K243" s="70"/>
      <c r="L243" s="70">
        <v>500</v>
      </c>
    </row>
    <row r="244" spans="1:12" ht="26.25" x14ac:dyDescent="0.25">
      <c r="A244" s="33" t="s">
        <v>222</v>
      </c>
      <c r="B244" s="33"/>
      <c r="C244" s="34" t="s">
        <v>223</v>
      </c>
      <c r="D244" s="71">
        <f t="shared" ref="D244:J245" si="37">D245</f>
        <v>1422</v>
      </c>
      <c r="E244" s="71">
        <f>E245</f>
        <v>190.9</v>
      </c>
      <c r="F244" s="71">
        <f t="shared" si="37"/>
        <v>1612.9</v>
      </c>
      <c r="G244" s="71">
        <f t="shared" si="37"/>
        <v>1427.3</v>
      </c>
      <c r="H244" s="71"/>
      <c r="I244" s="71">
        <f t="shared" si="37"/>
        <v>1427.3</v>
      </c>
      <c r="J244" s="71">
        <f t="shared" si="37"/>
        <v>1427.3</v>
      </c>
      <c r="K244" s="71"/>
      <c r="L244" s="71">
        <f>L245</f>
        <v>1427.3</v>
      </c>
    </row>
    <row r="245" spans="1:12" x14ac:dyDescent="0.25">
      <c r="A245" s="6" t="s">
        <v>224</v>
      </c>
      <c r="B245" s="6"/>
      <c r="C245" s="8" t="s">
        <v>438</v>
      </c>
      <c r="D245" s="70">
        <f t="shared" si="37"/>
        <v>1422</v>
      </c>
      <c r="E245" s="70">
        <f>E246</f>
        <v>190.9</v>
      </c>
      <c r="F245" s="70">
        <f t="shared" si="37"/>
        <v>1612.9</v>
      </c>
      <c r="G245" s="70">
        <f t="shared" si="37"/>
        <v>1427.3</v>
      </c>
      <c r="H245" s="70"/>
      <c r="I245" s="70">
        <f t="shared" si="37"/>
        <v>1427.3</v>
      </c>
      <c r="J245" s="70">
        <f t="shared" si="37"/>
        <v>1427.3</v>
      </c>
      <c r="K245" s="70"/>
      <c r="L245" s="70">
        <f>L246</f>
        <v>1427.3</v>
      </c>
    </row>
    <row r="246" spans="1:12" ht="26.25" x14ac:dyDescent="0.25">
      <c r="A246" s="6"/>
      <c r="B246" s="6" t="s">
        <v>470</v>
      </c>
      <c r="C246" s="3" t="s">
        <v>471</v>
      </c>
      <c r="D246" s="70">
        <f>1427.3-5.3</f>
        <v>1422</v>
      </c>
      <c r="E246" s="70">
        <v>190.9</v>
      </c>
      <c r="F246" s="70">
        <f>1427.3-5.3+190.9</f>
        <v>1612.9</v>
      </c>
      <c r="G246" s="70">
        <f>1429.8-2.5</f>
        <v>1427.3</v>
      </c>
      <c r="H246" s="70"/>
      <c r="I246" s="70">
        <f>1429.8-2.5</f>
        <v>1427.3</v>
      </c>
      <c r="J246" s="70">
        <f>1431.5-4.2</f>
        <v>1427.3</v>
      </c>
      <c r="K246" s="70"/>
      <c r="L246" s="70">
        <f>1431.5-4.2</f>
        <v>1427.3</v>
      </c>
    </row>
    <row r="247" spans="1:12" ht="26.25" x14ac:dyDescent="0.25">
      <c r="A247" s="33" t="s">
        <v>225</v>
      </c>
      <c r="B247" s="33"/>
      <c r="C247" s="34" t="s">
        <v>226</v>
      </c>
      <c r="D247" s="71">
        <f t="shared" ref="D247:J248" si="38">D248</f>
        <v>19445.100000000002</v>
      </c>
      <c r="E247" s="71"/>
      <c r="F247" s="71">
        <f t="shared" si="38"/>
        <v>19445.100000000002</v>
      </c>
      <c r="G247" s="71">
        <f t="shared" si="38"/>
        <v>19464.2</v>
      </c>
      <c r="H247" s="71"/>
      <c r="I247" s="71">
        <f t="shared" si="38"/>
        <v>19464.2</v>
      </c>
      <c r="J247" s="71">
        <f t="shared" si="38"/>
        <v>19464.2</v>
      </c>
      <c r="K247" s="71"/>
      <c r="L247" s="71">
        <f>L248</f>
        <v>19464.2</v>
      </c>
    </row>
    <row r="248" spans="1:12" x14ac:dyDescent="0.25">
      <c r="A248" s="6" t="s">
        <v>227</v>
      </c>
      <c r="B248" s="6"/>
      <c r="C248" s="8" t="s">
        <v>439</v>
      </c>
      <c r="D248" s="70">
        <f t="shared" si="38"/>
        <v>19445.100000000002</v>
      </c>
      <c r="E248" s="70"/>
      <c r="F248" s="70">
        <f t="shared" si="38"/>
        <v>19445.100000000002</v>
      </c>
      <c r="G248" s="70">
        <f t="shared" si="38"/>
        <v>19464.2</v>
      </c>
      <c r="H248" s="70"/>
      <c r="I248" s="70">
        <f t="shared" si="38"/>
        <v>19464.2</v>
      </c>
      <c r="J248" s="70">
        <f t="shared" si="38"/>
        <v>19464.2</v>
      </c>
      <c r="K248" s="70"/>
      <c r="L248" s="70">
        <f>L249</f>
        <v>19464.2</v>
      </c>
    </row>
    <row r="249" spans="1:12" ht="26.25" x14ac:dyDescent="0.25">
      <c r="A249" s="6"/>
      <c r="B249" s="6" t="s">
        <v>470</v>
      </c>
      <c r="C249" s="3" t="s">
        <v>471</v>
      </c>
      <c r="D249" s="70">
        <f>19464.2-19.1</f>
        <v>19445.100000000002</v>
      </c>
      <c r="E249" s="70"/>
      <c r="F249" s="70">
        <f>19464.2-19.1</f>
        <v>19445.100000000002</v>
      </c>
      <c r="G249" s="70">
        <f>19481.9-17.7</f>
        <v>19464.2</v>
      </c>
      <c r="H249" s="70"/>
      <c r="I249" s="70">
        <f>19481.9-17.7</f>
        <v>19464.2</v>
      </c>
      <c r="J249" s="70">
        <f>19500-35.8</f>
        <v>19464.2</v>
      </c>
      <c r="K249" s="70"/>
      <c r="L249" s="70">
        <f>19500-35.8</f>
        <v>19464.2</v>
      </c>
    </row>
    <row r="250" spans="1:12" ht="26.25" x14ac:dyDescent="0.25">
      <c r="A250" s="33" t="s">
        <v>228</v>
      </c>
      <c r="B250" s="36"/>
      <c r="C250" s="34" t="s">
        <v>229</v>
      </c>
      <c r="D250" s="71">
        <f>D251+D253</f>
        <v>1510.5</v>
      </c>
      <c r="E250" s="71"/>
      <c r="F250" s="71">
        <f>F251+F253</f>
        <v>1510.5</v>
      </c>
      <c r="G250" s="71">
        <f>G251+G253</f>
        <v>1510.5</v>
      </c>
      <c r="H250" s="71"/>
      <c r="I250" s="71">
        <f>I251+I253</f>
        <v>1510.5</v>
      </c>
      <c r="J250" s="71">
        <f>J251+J253</f>
        <v>0</v>
      </c>
      <c r="K250" s="71"/>
      <c r="L250" s="71">
        <f>L251+L253</f>
        <v>0</v>
      </c>
    </row>
    <row r="251" spans="1:12" ht="64.5" x14ac:dyDescent="0.25">
      <c r="A251" s="6" t="s">
        <v>230</v>
      </c>
      <c r="B251" s="6"/>
      <c r="C251" s="3" t="s">
        <v>476</v>
      </c>
      <c r="D251" s="70">
        <f>D252</f>
        <v>950</v>
      </c>
      <c r="E251" s="70"/>
      <c r="F251" s="70">
        <f>F252</f>
        <v>950</v>
      </c>
      <c r="G251" s="70">
        <f>G252</f>
        <v>950</v>
      </c>
      <c r="H251" s="70"/>
      <c r="I251" s="70">
        <f>I252</f>
        <v>950</v>
      </c>
      <c r="J251" s="70">
        <f>J252</f>
        <v>0</v>
      </c>
      <c r="K251" s="70"/>
      <c r="L251" s="70">
        <f>L252</f>
        <v>0</v>
      </c>
    </row>
    <row r="252" spans="1:12" ht="26.25" x14ac:dyDescent="0.25">
      <c r="A252" s="6"/>
      <c r="B252" s="6" t="s">
        <v>470</v>
      </c>
      <c r="C252" s="3" t="s">
        <v>471</v>
      </c>
      <c r="D252" s="70">
        <v>950</v>
      </c>
      <c r="E252" s="70"/>
      <c r="F252" s="70">
        <v>950</v>
      </c>
      <c r="G252" s="70">
        <v>950</v>
      </c>
      <c r="H252" s="70"/>
      <c r="I252" s="70">
        <v>950</v>
      </c>
      <c r="J252" s="70">
        <v>0</v>
      </c>
      <c r="K252" s="70"/>
      <c r="L252" s="70">
        <v>0</v>
      </c>
    </row>
    <row r="253" spans="1:12" ht="51.75" x14ac:dyDescent="0.25">
      <c r="A253" s="6" t="s">
        <v>231</v>
      </c>
      <c r="B253" s="6"/>
      <c r="C253" s="3" t="s">
        <v>232</v>
      </c>
      <c r="D253" s="70">
        <f>D254</f>
        <v>560.5</v>
      </c>
      <c r="E253" s="70"/>
      <c r="F253" s="70">
        <f>F254</f>
        <v>560.5</v>
      </c>
      <c r="G253" s="70">
        <f>G254</f>
        <v>560.5</v>
      </c>
      <c r="H253" s="70"/>
      <c r="I253" s="70">
        <f>I254</f>
        <v>560.5</v>
      </c>
      <c r="J253" s="70">
        <f>J254</f>
        <v>0</v>
      </c>
      <c r="K253" s="70"/>
      <c r="L253" s="70">
        <f>L254</f>
        <v>0</v>
      </c>
    </row>
    <row r="254" spans="1:12" ht="26.25" x14ac:dyDescent="0.25">
      <c r="A254" s="6"/>
      <c r="B254" s="6" t="s">
        <v>470</v>
      </c>
      <c r="C254" s="3" t="s">
        <v>471</v>
      </c>
      <c r="D254" s="70">
        <f>590-29.5</f>
        <v>560.5</v>
      </c>
      <c r="E254" s="70"/>
      <c r="F254" s="70">
        <f>590-29.5</f>
        <v>560.5</v>
      </c>
      <c r="G254" s="70">
        <f>590-29.5</f>
        <v>560.5</v>
      </c>
      <c r="H254" s="70"/>
      <c r="I254" s="70">
        <f>590-29.5</f>
        <v>560.5</v>
      </c>
      <c r="J254" s="70">
        <v>0</v>
      </c>
      <c r="K254" s="70"/>
      <c r="L254" s="70">
        <v>0</v>
      </c>
    </row>
    <row r="255" spans="1:12" x14ac:dyDescent="0.25">
      <c r="A255" s="33" t="s">
        <v>233</v>
      </c>
      <c r="B255" s="36"/>
      <c r="C255" s="34" t="s">
        <v>234</v>
      </c>
      <c r="D255" s="71">
        <f t="shared" ref="D255:J256" si="39">D256</f>
        <v>50</v>
      </c>
      <c r="E255" s="71"/>
      <c r="F255" s="71">
        <f t="shared" si="39"/>
        <v>50</v>
      </c>
      <c r="G255" s="71">
        <f t="shared" si="39"/>
        <v>50</v>
      </c>
      <c r="H255" s="71"/>
      <c r="I255" s="71">
        <f t="shared" si="39"/>
        <v>50</v>
      </c>
      <c r="J255" s="71">
        <f t="shared" si="39"/>
        <v>50</v>
      </c>
      <c r="K255" s="71"/>
      <c r="L255" s="71">
        <f>L256</f>
        <v>50</v>
      </c>
    </row>
    <row r="256" spans="1:12" x14ac:dyDescent="0.25">
      <c r="A256" s="6" t="s">
        <v>235</v>
      </c>
      <c r="B256" s="6"/>
      <c r="C256" s="3" t="s">
        <v>682</v>
      </c>
      <c r="D256" s="70">
        <f t="shared" si="39"/>
        <v>50</v>
      </c>
      <c r="E256" s="70"/>
      <c r="F256" s="70">
        <f t="shared" si="39"/>
        <v>50</v>
      </c>
      <c r="G256" s="70">
        <f t="shared" si="39"/>
        <v>50</v>
      </c>
      <c r="H256" s="70"/>
      <c r="I256" s="70">
        <f t="shared" si="39"/>
        <v>50</v>
      </c>
      <c r="J256" s="70">
        <f t="shared" si="39"/>
        <v>50</v>
      </c>
      <c r="K256" s="70"/>
      <c r="L256" s="70">
        <f>L257</f>
        <v>50</v>
      </c>
    </row>
    <row r="257" spans="1:12" ht="26.25" x14ac:dyDescent="0.25">
      <c r="A257" s="6"/>
      <c r="B257" s="6" t="s">
        <v>470</v>
      </c>
      <c r="C257" s="3" t="s">
        <v>471</v>
      </c>
      <c r="D257" s="70">
        <v>50</v>
      </c>
      <c r="E257" s="70"/>
      <c r="F257" s="70">
        <v>50</v>
      </c>
      <c r="G257" s="70">
        <v>50</v>
      </c>
      <c r="H257" s="70"/>
      <c r="I257" s="70">
        <v>50</v>
      </c>
      <c r="J257" s="70">
        <v>50</v>
      </c>
      <c r="K257" s="70"/>
      <c r="L257" s="70">
        <v>50</v>
      </c>
    </row>
    <row r="258" spans="1:12" ht="51.75" x14ac:dyDescent="0.25">
      <c r="A258" s="33" t="s">
        <v>236</v>
      </c>
      <c r="B258" s="33"/>
      <c r="C258" s="48" t="s">
        <v>237</v>
      </c>
      <c r="D258" s="71">
        <f t="shared" ref="D258:J258" si="40">D262+D267</f>
        <v>49370.107379999994</v>
      </c>
      <c r="E258" s="71">
        <f>E262+E267+E271</f>
        <v>0</v>
      </c>
      <c r="F258" s="71">
        <f>F262+F267+F271</f>
        <v>49370.107379999994</v>
      </c>
      <c r="G258" s="71">
        <f t="shared" si="40"/>
        <v>4087.5370699999999</v>
      </c>
      <c r="H258" s="71">
        <f>H262+H267+H271</f>
        <v>2600</v>
      </c>
      <c r="I258" s="71">
        <f>I262+I267+I271</f>
        <v>6687.5370700000003</v>
      </c>
      <c r="J258" s="71">
        <f t="shared" si="40"/>
        <v>0</v>
      </c>
      <c r="K258" s="71"/>
      <c r="L258" s="71">
        <f>L262+L267</f>
        <v>0</v>
      </c>
    </row>
    <row r="259" spans="1:12" s="39" customFormat="1" ht="38.25" x14ac:dyDescent="0.25">
      <c r="A259" s="6" t="s">
        <v>893</v>
      </c>
      <c r="B259" s="17"/>
      <c r="C259" s="1" t="s">
        <v>894</v>
      </c>
      <c r="D259" s="85">
        <f>D260</f>
        <v>2013.2</v>
      </c>
      <c r="E259" s="85"/>
      <c r="F259" s="85">
        <f>F260</f>
        <v>2013.2</v>
      </c>
      <c r="G259" s="85">
        <v>0</v>
      </c>
      <c r="H259" s="85"/>
      <c r="I259" s="85">
        <v>0</v>
      </c>
      <c r="J259" s="85">
        <v>0</v>
      </c>
      <c r="K259" s="85"/>
      <c r="L259" s="85">
        <v>0</v>
      </c>
    </row>
    <row r="260" spans="1:12" s="39" customFormat="1" ht="26.25" x14ac:dyDescent="0.25">
      <c r="A260" s="6"/>
      <c r="B260" s="6" t="s">
        <v>470</v>
      </c>
      <c r="C260" s="3" t="s">
        <v>471</v>
      </c>
      <c r="D260" s="85">
        <f>D262</f>
        <v>2013.2</v>
      </c>
      <c r="E260" s="85"/>
      <c r="F260" s="85">
        <f>F262</f>
        <v>2013.2</v>
      </c>
      <c r="G260" s="85">
        <v>0</v>
      </c>
      <c r="H260" s="85"/>
      <c r="I260" s="85">
        <v>0</v>
      </c>
      <c r="J260" s="85">
        <v>0</v>
      </c>
      <c r="K260" s="85"/>
      <c r="L260" s="85">
        <v>0</v>
      </c>
    </row>
    <row r="261" spans="1:12" s="39" customFormat="1" x14ac:dyDescent="0.25">
      <c r="A261" s="6"/>
      <c r="B261" s="17"/>
      <c r="C261" s="3" t="s">
        <v>238</v>
      </c>
      <c r="D261" s="85">
        <v>0</v>
      </c>
      <c r="E261" s="85"/>
      <c r="F261" s="85">
        <v>0</v>
      </c>
      <c r="G261" s="85">
        <v>0</v>
      </c>
      <c r="H261" s="85"/>
      <c r="I261" s="85">
        <v>0</v>
      </c>
      <c r="J261" s="85">
        <v>0</v>
      </c>
      <c r="K261" s="85"/>
      <c r="L261" s="85">
        <v>0</v>
      </c>
    </row>
    <row r="262" spans="1:12" s="168" customFormat="1" ht="39" x14ac:dyDescent="0.25">
      <c r="A262" s="10"/>
      <c r="B262" s="10"/>
      <c r="C262" s="11" t="s">
        <v>239</v>
      </c>
      <c r="D262" s="77">
        <f>D264+D265</f>
        <v>2013.2</v>
      </c>
      <c r="E262" s="77"/>
      <c r="F262" s="77">
        <f>F264+F265</f>
        <v>2013.2</v>
      </c>
      <c r="G262" s="77">
        <v>0</v>
      </c>
      <c r="H262" s="77"/>
      <c r="I262" s="77">
        <v>0</v>
      </c>
      <c r="J262" s="77">
        <v>0</v>
      </c>
      <c r="K262" s="77"/>
      <c r="L262" s="77">
        <v>0</v>
      </c>
    </row>
    <row r="263" spans="1:12" s="39" customFormat="1" x14ac:dyDescent="0.25">
      <c r="A263" s="12"/>
      <c r="B263" s="6"/>
      <c r="C263" s="1" t="s">
        <v>187</v>
      </c>
      <c r="D263" s="85">
        <v>0</v>
      </c>
      <c r="E263" s="85"/>
      <c r="F263" s="85">
        <v>0</v>
      </c>
      <c r="G263" s="85">
        <v>0</v>
      </c>
      <c r="H263" s="85"/>
      <c r="I263" s="85">
        <v>0</v>
      </c>
      <c r="J263" s="85">
        <v>0</v>
      </c>
      <c r="K263" s="85"/>
      <c r="L263" s="85">
        <v>0</v>
      </c>
    </row>
    <row r="264" spans="1:12" s="39" customFormat="1" x14ac:dyDescent="0.25">
      <c r="A264" s="12"/>
      <c r="B264" s="6"/>
      <c r="C264" s="1" t="s">
        <v>185</v>
      </c>
      <c r="D264" s="85">
        <v>1509.9</v>
      </c>
      <c r="E264" s="85"/>
      <c r="F264" s="85">
        <v>1509.9</v>
      </c>
      <c r="G264" s="85">
        <v>0</v>
      </c>
      <c r="H264" s="85"/>
      <c r="I264" s="85">
        <v>0</v>
      </c>
      <c r="J264" s="85">
        <v>0</v>
      </c>
      <c r="K264" s="85"/>
      <c r="L264" s="85">
        <v>0</v>
      </c>
    </row>
    <row r="265" spans="1:12" s="39" customFormat="1" x14ac:dyDescent="0.25">
      <c r="A265" s="12"/>
      <c r="B265" s="6"/>
      <c r="C265" s="3" t="s">
        <v>150</v>
      </c>
      <c r="D265" s="85">
        <v>503.3</v>
      </c>
      <c r="E265" s="85"/>
      <c r="F265" s="85">
        <v>503.3</v>
      </c>
      <c r="G265" s="85">
        <v>0</v>
      </c>
      <c r="H265" s="85"/>
      <c r="I265" s="85">
        <v>0</v>
      </c>
      <c r="J265" s="85">
        <v>0</v>
      </c>
      <c r="K265" s="85"/>
      <c r="L265" s="85">
        <v>0</v>
      </c>
    </row>
    <row r="266" spans="1:12" s="39" customFormat="1" ht="25.5" x14ac:dyDescent="0.25">
      <c r="A266" s="68" t="s">
        <v>895</v>
      </c>
      <c r="B266" s="1"/>
      <c r="C266" s="1" t="s">
        <v>683</v>
      </c>
      <c r="D266" s="85">
        <f>D267</f>
        <v>47356.907379999997</v>
      </c>
      <c r="E266" s="85"/>
      <c r="F266" s="85">
        <f>F267</f>
        <v>47356.907379999997</v>
      </c>
      <c r="G266" s="85">
        <f>G268</f>
        <v>4087.5370699999999</v>
      </c>
      <c r="H266" s="85"/>
      <c r="I266" s="85">
        <f>I268</f>
        <v>4087.5370699999999</v>
      </c>
      <c r="J266" s="85"/>
      <c r="K266" s="85"/>
      <c r="L266" s="85"/>
    </row>
    <row r="267" spans="1:12" s="168" customFormat="1" ht="26.25" x14ac:dyDescent="0.25">
      <c r="A267" s="10"/>
      <c r="B267" s="166"/>
      <c r="C267" s="167" t="s">
        <v>492</v>
      </c>
      <c r="D267" s="81">
        <f t="shared" ref="D267:I267" si="41">D268</f>
        <v>47356.907379999997</v>
      </c>
      <c r="E267" s="81"/>
      <c r="F267" s="81">
        <f t="shared" si="41"/>
        <v>47356.907379999997</v>
      </c>
      <c r="G267" s="81">
        <f t="shared" si="41"/>
        <v>4087.5370699999999</v>
      </c>
      <c r="H267" s="81"/>
      <c r="I267" s="81">
        <f t="shared" si="41"/>
        <v>4087.5370699999999</v>
      </c>
      <c r="J267" s="81">
        <v>0</v>
      </c>
      <c r="K267" s="81"/>
      <c r="L267" s="81">
        <v>0</v>
      </c>
    </row>
    <row r="268" spans="1:12" s="39" customFormat="1" ht="26.25" x14ac:dyDescent="0.25">
      <c r="A268" s="6"/>
      <c r="B268" s="22" t="s">
        <v>298</v>
      </c>
      <c r="C268" s="3" t="s">
        <v>299</v>
      </c>
      <c r="D268" s="85">
        <f>D269+D270</f>
        <v>47356.907379999997</v>
      </c>
      <c r="E268" s="85"/>
      <c r="F268" s="85">
        <f>F269+F270</f>
        <v>47356.907379999997</v>
      </c>
      <c r="G268" s="85">
        <f>G270</f>
        <v>4087.5370699999999</v>
      </c>
      <c r="H268" s="85"/>
      <c r="I268" s="85">
        <f>I270</f>
        <v>4087.5370699999999</v>
      </c>
      <c r="J268" s="85">
        <v>0</v>
      </c>
      <c r="K268" s="85"/>
      <c r="L268" s="85">
        <v>0</v>
      </c>
    </row>
    <row r="269" spans="1:12" s="39" customFormat="1" x14ac:dyDescent="0.25">
      <c r="A269" s="6"/>
      <c r="B269" s="22"/>
      <c r="C269" s="1" t="s">
        <v>185</v>
      </c>
      <c r="D269" s="85">
        <v>45000</v>
      </c>
      <c r="E269" s="85"/>
      <c r="F269" s="85">
        <v>45000</v>
      </c>
      <c r="G269" s="85"/>
      <c r="H269" s="85"/>
      <c r="I269" s="85"/>
      <c r="J269" s="85">
        <v>0</v>
      </c>
      <c r="K269" s="85"/>
      <c r="L269" s="85">
        <v>0</v>
      </c>
    </row>
    <row r="270" spans="1:12" x14ac:dyDescent="0.25">
      <c r="A270" s="12"/>
      <c r="B270" s="6"/>
      <c r="C270" s="3" t="s">
        <v>150</v>
      </c>
      <c r="D270" s="73">
        <v>2356.9073800000001</v>
      </c>
      <c r="E270" s="73"/>
      <c r="F270" s="73">
        <f>SUM(D270:E270)</f>
        <v>2356.9073800000001</v>
      </c>
      <c r="G270" s="73">
        <v>4087.5370699999999</v>
      </c>
      <c r="H270" s="73"/>
      <c r="I270" s="73">
        <v>4087.5370699999999</v>
      </c>
      <c r="J270" s="73">
        <v>0</v>
      </c>
      <c r="K270" s="73"/>
      <c r="L270" s="73">
        <v>0</v>
      </c>
    </row>
    <row r="271" spans="1:12" ht="51.75" x14ac:dyDescent="0.25">
      <c r="A271" s="6" t="s">
        <v>900</v>
      </c>
      <c r="B271" s="6"/>
      <c r="C271" s="3" t="s">
        <v>905</v>
      </c>
      <c r="D271" s="73">
        <v>0</v>
      </c>
      <c r="E271" s="73"/>
      <c r="F271" s="73">
        <v>0</v>
      </c>
      <c r="G271" s="73">
        <v>0</v>
      </c>
      <c r="H271" s="73">
        <f>H272</f>
        <v>2600</v>
      </c>
      <c r="I271" s="73">
        <f>I272</f>
        <v>2600</v>
      </c>
      <c r="J271" s="73">
        <v>0</v>
      </c>
      <c r="K271" s="73"/>
      <c r="L271" s="73">
        <v>0</v>
      </c>
    </row>
    <row r="272" spans="1:12" ht="26.25" x14ac:dyDescent="0.25">
      <c r="A272" s="12"/>
      <c r="B272" s="6" t="s">
        <v>470</v>
      </c>
      <c r="C272" s="3" t="s">
        <v>471</v>
      </c>
      <c r="D272" s="73">
        <v>0</v>
      </c>
      <c r="E272" s="73"/>
      <c r="F272" s="73">
        <v>0</v>
      </c>
      <c r="G272" s="73">
        <v>0</v>
      </c>
      <c r="H272" s="73">
        <v>2600</v>
      </c>
      <c r="I272" s="73">
        <v>2600</v>
      </c>
      <c r="J272" s="73">
        <v>0</v>
      </c>
      <c r="K272" s="73"/>
      <c r="L272" s="73">
        <v>0</v>
      </c>
    </row>
    <row r="273" spans="1:12" s="51" customFormat="1" ht="25.5" x14ac:dyDescent="0.25">
      <c r="A273" s="14" t="s">
        <v>240</v>
      </c>
      <c r="B273" s="14"/>
      <c r="C273" s="15" t="s">
        <v>241</v>
      </c>
      <c r="D273" s="76">
        <f>D274+D277</f>
        <v>5.2630000000000003E-2</v>
      </c>
      <c r="E273" s="76">
        <f>E274+E277</f>
        <v>0</v>
      </c>
      <c r="F273" s="76">
        <f>F274+F277</f>
        <v>5.2630000000000003E-2</v>
      </c>
      <c r="G273" s="76">
        <f>G274+G277</f>
        <v>0.15789</v>
      </c>
      <c r="H273" s="76"/>
      <c r="I273" s="76">
        <f>I274+I277</f>
        <v>0.15789</v>
      </c>
      <c r="J273" s="76">
        <f>J274+J277</f>
        <v>0.15789</v>
      </c>
      <c r="K273" s="76"/>
      <c r="L273" s="76">
        <f>L274+L277</f>
        <v>0.15789</v>
      </c>
    </row>
    <row r="274" spans="1:12" ht="38.25" x14ac:dyDescent="0.25">
      <c r="A274" s="16" t="s">
        <v>490</v>
      </c>
      <c r="B274" s="16"/>
      <c r="C274" s="7" t="s">
        <v>542</v>
      </c>
      <c r="D274" s="73">
        <f t="shared" ref="D274:J275" si="42">D275</f>
        <v>5.2630000000000003E-2</v>
      </c>
      <c r="E274" s="73"/>
      <c r="F274" s="73">
        <f t="shared" si="42"/>
        <v>5.2630000000000003E-2</v>
      </c>
      <c r="G274" s="73">
        <f t="shared" si="42"/>
        <v>5.2630000000000003E-2</v>
      </c>
      <c r="H274" s="73"/>
      <c r="I274" s="73">
        <f t="shared" si="42"/>
        <v>5.2630000000000003E-2</v>
      </c>
      <c r="J274" s="73">
        <f t="shared" si="42"/>
        <v>5.2630000000000003E-2</v>
      </c>
      <c r="K274" s="73"/>
      <c r="L274" s="73">
        <f>L275</f>
        <v>5.2630000000000003E-2</v>
      </c>
    </row>
    <row r="275" spans="1:12" ht="25.5" x14ac:dyDescent="0.25">
      <c r="A275" s="17"/>
      <c r="B275" s="16" t="s">
        <v>470</v>
      </c>
      <c r="C275" s="1" t="s">
        <v>471</v>
      </c>
      <c r="D275" s="73">
        <f t="shared" si="42"/>
        <v>5.2630000000000003E-2</v>
      </c>
      <c r="E275" s="73"/>
      <c r="F275" s="73">
        <f t="shared" si="42"/>
        <v>5.2630000000000003E-2</v>
      </c>
      <c r="G275" s="73">
        <f t="shared" si="42"/>
        <v>5.2630000000000003E-2</v>
      </c>
      <c r="H275" s="73"/>
      <c r="I275" s="73">
        <f t="shared" si="42"/>
        <v>5.2630000000000003E-2</v>
      </c>
      <c r="J275" s="73">
        <f t="shared" si="42"/>
        <v>5.2630000000000003E-2</v>
      </c>
      <c r="K275" s="73"/>
      <c r="L275" s="73">
        <f>L276</f>
        <v>5.2630000000000003E-2</v>
      </c>
    </row>
    <row r="276" spans="1:12" x14ac:dyDescent="0.25">
      <c r="A276" s="17"/>
      <c r="B276" s="16"/>
      <c r="C276" s="3" t="s">
        <v>150</v>
      </c>
      <c r="D276" s="73">
        <v>5.2630000000000003E-2</v>
      </c>
      <c r="E276" s="73"/>
      <c r="F276" s="73">
        <v>5.2630000000000003E-2</v>
      </c>
      <c r="G276" s="73">
        <v>5.2630000000000003E-2</v>
      </c>
      <c r="H276" s="73"/>
      <c r="I276" s="73">
        <v>5.2630000000000003E-2</v>
      </c>
      <c r="J276" s="73">
        <v>5.2630000000000003E-2</v>
      </c>
      <c r="K276" s="73"/>
      <c r="L276" s="73">
        <v>5.2630000000000003E-2</v>
      </c>
    </row>
    <row r="277" spans="1:12" ht="25.5" x14ac:dyDescent="0.25">
      <c r="A277" s="16" t="s">
        <v>491</v>
      </c>
      <c r="B277" s="16"/>
      <c r="C277" s="7" t="s">
        <v>543</v>
      </c>
      <c r="D277" s="73">
        <f t="shared" ref="D277:J278" si="43">D278</f>
        <v>0</v>
      </c>
      <c r="E277" s="73"/>
      <c r="F277" s="73">
        <f t="shared" si="43"/>
        <v>0</v>
      </c>
      <c r="G277" s="73">
        <f t="shared" si="43"/>
        <v>0.10526000000000001</v>
      </c>
      <c r="H277" s="73"/>
      <c r="I277" s="73">
        <f t="shared" si="43"/>
        <v>0.10526000000000001</v>
      </c>
      <c r="J277" s="73">
        <f t="shared" si="43"/>
        <v>0.10526000000000001</v>
      </c>
      <c r="K277" s="73"/>
      <c r="L277" s="73">
        <f>L278</f>
        <v>0.10526000000000001</v>
      </c>
    </row>
    <row r="278" spans="1:12" ht="25.5" x14ac:dyDescent="0.25">
      <c r="A278" s="17"/>
      <c r="B278" s="16" t="s">
        <v>470</v>
      </c>
      <c r="C278" s="1" t="s">
        <v>471</v>
      </c>
      <c r="D278" s="73">
        <v>0</v>
      </c>
      <c r="E278" s="73"/>
      <c r="F278" s="73">
        <f t="shared" si="43"/>
        <v>0</v>
      </c>
      <c r="G278" s="73">
        <f t="shared" si="43"/>
        <v>0.10526000000000001</v>
      </c>
      <c r="H278" s="73"/>
      <c r="I278" s="73">
        <f t="shared" si="43"/>
        <v>0.10526000000000001</v>
      </c>
      <c r="J278" s="73">
        <f t="shared" si="43"/>
        <v>0.10526000000000001</v>
      </c>
      <c r="K278" s="73"/>
      <c r="L278" s="73">
        <f>L279</f>
        <v>0.10526000000000001</v>
      </c>
    </row>
    <row r="279" spans="1:12" x14ac:dyDescent="0.25">
      <c r="A279" s="17"/>
      <c r="B279" s="16"/>
      <c r="C279" s="3" t="s">
        <v>150</v>
      </c>
      <c r="D279" s="73">
        <v>0</v>
      </c>
      <c r="E279" s="73"/>
      <c r="F279" s="73">
        <v>0</v>
      </c>
      <c r="G279" s="73">
        <v>0.10526000000000001</v>
      </c>
      <c r="H279" s="73"/>
      <c r="I279" s="73">
        <v>0.10526000000000001</v>
      </c>
      <c r="J279" s="73">
        <v>0.10526000000000001</v>
      </c>
      <c r="K279" s="73"/>
      <c r="L279" s="73">
        <v>0.10526000000000001</v>
      </c>
    </row>
    <row r="280" spans="1:12" x14ac:dyDescent="0.25">
      <c r="A280" s="31" t="s">
        <v>242</v>
      </c>
      <c r="B280" s="31"/>
      <c r="C280" s="32" t="s">
        <v>243</v>
      </c>
      <c r="D280" s="75">
        <f>D281</f>
        <v>291.60000000000002</v>
      </c>
      <c r="E280" s="75"/>
      <c r="F280" s="75">
        <f>F281</f>
        <v>291.60000000000002</v>
      </c>
      <c r="G280" s="75">
        <f>G281</f>
        <v>291.60000000000002</v>
      </c>
      <c r="H280" s="75"/>
      <c r="I280" s="75">
        <f>I281</f>
        <v>291.60000000000002</v>
      </c>
      <c r="J280" s="75">
        <f>J281</f>
        <v>0</v>
      </c>
      <c r="K280" s="75"/>
      <c r="L280" s="75">
        <f>L281</f>
        <v>0</v>
      </c>
    </row>
    <row r="281" spans="1:12" ht="26.25" x14ac:dyDescent="0.25">
      <c r="A281" s="33" t="s">
        <v>244</v>
      </c>
      <c r="B281" s="33"/>
      <c r="C281" s="34" t="s">
        <v>245</v>
      </c>
      <c r="D281" s="71">
        <f>D282+D284</f>
        <v>291.60000000000002</v>
      </c>
      <c r="E281" s="71"/>
      <c r="F281" s="71">
        <f>F282+F284</f>
        <v>291.60000000000002</v>
      </c>
      <c r="G281" s="71">
        <f>G282+G284</f>
        <v>291.60000000000002</v>
      </c>
      <c r="H281" s="71"/>
      <c r="I281" s="71">
        <f>I282+I284</f>
        <v>291.60000000000002</v>
      </c>
      <c r="J281" s="71">
        <f>J282+J284</f>
        <v>0</v>
      </c>
      <c r="K281" s="71"/>
      <c r="L281" s="71">
        <f>L282+L284</f>
        <v>0</v>
      </c>
    </row>
    <row r="282" spans="1:12" ht="90" x14ac:dyDescent="0.25">
      <c r="A282" s="6" t="s">
        <v>246</v>
      </c>
      <c r="B282" s="6"/>
      <c r="C282" s="3" t="s">
        <v>247</v>
      </c>
      <c r="D282" s="70">
        <f>D283</f>
        <v>225.1</v>
      </c>
      <c r="E282" s="70"/>
      <c r="F282" s="70">
        <f>F283</f>
        <v>225.1</v>
      </c>
      <c r="G282" s="70">
        <f>G283</f>
        <v>225.1</v>
      </c>
      <c r="H282" s="70"/>
      <c r="I282" s="70">
        <f>I283</f>
        <v>225.1</v>
      </c>
      <c r="J282" s="70">
        <f>J283</f>
        <v>0</v>
      </c>
      <c r="K282" s="70"/>
      <c r="L282" s="70">
        <f>L283</f>
        <v>0</v>
      </c>
    </row>
    <row r="283" spans="1:12" ht="26.25" x14ac:dyDescent="0.25">
      <c r="A283" s="6"/>
      <c r="B283" s="6" t="s">
        <v>470</v>
      </c>
      <c r="C283" s="3" t="s">
        <v>471</v>
      </c>
      <c r="D283" s="70">
        <f>237-11.9</f>
        <v>225.1</v>
      </c>
      <c r="E283" s="70"/>
      <c r="F283" s="70">
        <f>237-11.9</f>
        <v>225.1</v>
      </c>
      <c r="G283" s="70">
        <f>237-11.9</f>
        <v>225.1</v>
      </c>
      <c r="H283" s="70"/>
      <c r="I283" s="70">
        <f>237-11.9</f>
        <v>225.1</v>
      </c>
      <c r="J283" s="70">
        <v>0</v>
      </c>
      <c r="K283" s="70"/>
      <c r="L283" s="70">
        <v>0</v>
      </c>
    </row>
    <row r="284" spans="1:12" x14ac:dyDescent="0.25">
      <c r="A284" s="16" t="s">
        <v>248</v>
      </c>
      <c r="B284" s="16"/>
      <c r="C284" s="1" t="s">
        <v>249</v>
      </c>
      <c r="D284" s="70">
        <f>D285</f>
        <v>66.5</v>
      </c>
      <c r="E284" s="70"/>
      <c r="F284" s="70">
        <f>F285</f>
        <v>66.5</v>
      </c>
      <c r="G284" s="70">
        <f>G285</f>
        <v>66.5</v>
      </c>
      <c r="H284" s="70"/>
      <c r="I284" s="70">
        <f>I285</f>
        <v>66.5</v>
      </c>
      <c r="J284" s="70">
        <f>J285</f>
        <v>0</v>
      </c>
      <c r="K284" s="70"/>
      <c r="L284" s="70">
        <f>L285</f>
        <v>0</v>
      </c>
    </row>
    <row r="285" spans="1:12" ht="26.25" x14ac:dyDescent="0.25">
      <c r="A285" s="16"/>
      <c r="B285" s="6" t="s">
        <v>470</v>
      </c>
      <c r="C285" s="3" t="s">
        <v>471</v>
      </c>
      <c r="D285" s="70">
        <f>D287</f>
        <v>66.5</v>
      </c>
      <c r="E285" s="70"/>
      <c r="F285" s="70">
        <f>F287</f>
        <v>66.5</v>
      </c>
      <c r="G285" s="70">
        <f>G287</f>
        <v>66.5</v>
      </c>
      <c r="H285" s="70"/>
      <c r="I285" s="70">
        <f>I287</f>
        <v>66.5</v>
      </c>
      <c r="J285" s="70">
        <f>J287</f>
        <v>0</v>
      </c>
      <c r="K285" s="70"/>
      <c r="L285" s="70">
        <f>L287</f>
        <v>0</v>
      </c>
    </row>
    <row r="286" spans="1:12" x14ac:dyDescent="0.25">
      <c r="A286" s="6"/>
      <c r="B286" s="6"/>
      <c r="C286" s="1" t="s">
        <v>185</v>
      </c>
      <c r="D286" s="70">
        <v>0</v>
      </c>
      <c r="E286" s="70"/>
      <c r="F286" s="70">
        <v>0</v>
      </c>
      <c r="G286" s="70">
        <v>0</v>
      </c>
      <c r="H286" s="70"/>
      <c r="I286" s="70">
        <v>0</v>
      </c>
      <c r="J286" s="70">
        <v>0</v>
      </c>
      <c r="K286" s="70"/>
      <c r="L286" s="70">
        <v>0</v>
      </c>
    </row>
    <row r="287" spans="1:12" x14ac:dyDescent="0.25">
      <c r="A287" s="6"/>
      <c r="B287" s="6"/>
      <c r="C287" s="1" t="s">
        <v>150</v>
      </c>
      <c r="D287" s="70">
        <f>70-3.5</f>
        <v>66.5</v>
      </c>
      <c r="E287" s="70"/>
      <c r="F287" s="70">
        <f>70-3.5</f>
        <v>66.5</v>
      </c>
      <c r="G287" s="70">
        <f>70-3.5</f>
        <v>66.5</v>
      </c>
      <c r="H287" s="70"/>
      <c r="I287" s="70">
        <f>70-3.5</f>
        <v>66.5</v>
      </c>
      <c r="J287" s="70">
        <v>0</v>
      </c>
      <c r="K287" s="70"/>
      <c r="L287" s="70">
        <v>0</v>
      </c>
    </row>
    <row r="288" spans="1:12" x14ac:dyDescent="0.25">
      <c r="A288" s="31" t="s">
        <v>250</v>
      </c>
      <c r="B288" s="31"/>
      <c r="C288" s="32" t="s">
        <v>251</v>
      </c>
      <c r="D288" s="75">
        <f t="shared" ref="D288:L290" si="44">D289</f>
        <v>1487.8</v>
      </c>
      <c r="E288" s="75"/>
      <c r="F288" s="75">
        <f t="shared" si="44"/>
        <v>1487.8</v>
      </c>
      <c r="G288" s="75">
        <f t="shared" si="44"/>
        <v>1487.8</v>
      </c>
      <c r="H288" s="75"/>
      <c r="I288" s="75">
        <f t="shared" si="44"/>
        <v>1487.8</v>
      </c>
      <c r="J288" s="75">
        <f t="shared" si="44"/>
        <v>1487.8</v>
      </c>
      <c r="K288" s="75"/>
      <c r="L288" s="75">
        <f t="shared" si="44"/>
        <v>1487.8</v>
      </c>
    </row>
    <row r="289" spans="1:12" ht="51.75" x14ac:dyDescent="0.25">
      <c r="A289" s="33" t="s">
        <v>252</v>
      </c>
      <c r="B289" s="33"/>
      <c r="C289" s="34" t="s">
        <v>253</v>
      </c>
      <c r="D289" s="71">
        <f t="shared" si="44"/>
        <v>1487.8</v>
      </c>
      <c r="E289" s="71"/>
      <c r="F289" s="71">
        <f t="shared" si="44"/>
        <v>1487.8</v>
      </c>
      <c r="G289" s="71">
        <f t="shared" si="44"/>
        <v>1487.8</v>
      </c>
      <c r="H289" s="71"/>
      <c r="I289" s="71">
        <f t="shared" si="44"/>
        <v>1487.8</v>
      </c>
      <c r="J289" s="71">
        <f t="shared" si="44"/>
        <v>1487.8</v>
      </c>
      <c r="K289" s="71"/>
      <c r="L289" s="71">
        <f t="shared" si="44"/>
        <v>1487.8</v>
      </c>
    </row>
    <row r="290" spans="1:12" ht="26.25" x14ac:dyDescent="0.25">
      <c r="A290" s="6" t="s">
        <v>254</v>
      </c>
      <c r="B290" s="6"/>
      <c r="C290" s="3" t="s">
        <v>477</v>
      </c>
      <c r="D290" s="70">
        <f>D291</f>
        <v>1487.8</v>
      </c>
      <c r="E290" s="70"/>
      <c r="F290" s="70">
        <f>F291</f>
        <v>1487.8</v>
      </c>
      <c r="G290" s="70">
        <f t="shared" si="44"/>
        <v>1487.8</v>
      </c>
      <c r="H290" s="70"/>
      <c r="I290" s="70">
        <f t="shared" si="44"/>
        <v>1487.8</v>
      </c>
      <c r="J290" s="70">
        <f t="shared" si="44"/>
        <v>1487.8</v>
      </c>
      <c r="K290" s="70"/>
      <c r="L290" s="70">
        <f t="shared" si="44"/>
        <v>1487.8</v>
      </c>
    </row>
    <row r="291" spans="1:12" ht="26.25" x14ac:dyDescent="0.25">
      <c r="A291" s="6"/>
      <c r="B291" s="6" t="s">
        <v>470</v>
      </c>
      <c r="C291" s="3" t="s">
        <v>471</v>
      </c>
      <c r="D291" s="70">
        <v>1487.8</v>
      </c>
      <c r="E291" s="70"/>
      <c r="F291" s="70">
        <v>1487.8</v>
      </c>
      <c r="G291" s="70">
        <v>1487.8</v>
      </c>
      <c r="H291" s="70"/>
      <c r="I291" s="70">
        <v>1487.8</v>
      </c>
      <c r="J291" s="70">
        <v>1487.8</v>
      </c>
      <c r="K291" s="70"/>
      <c r="L291" s="70">
        <v>1487.8</v>
      </c>
    </row>
    <row r="292" spans="1:12" ht="26.25" x14ac:dyDescent="0.25">
      <c r="A292" s="29" t="s">
        <v>255</v>
      </c>
      <c r="B292" s="29"/>
      <c r="C292" s="37" t="s">
        <v>256</v>
      </c>
      <c r="D292" s="72">
        <f t="shared" ref="D292:J292" si="45">D293+D299+D304</f>
        <v>5647.03</v>
      </c>
      <c r="E292" s="72"/>
      <c r="F292" s="72">
        <f t="shared" si="45"/>
        <v>5647.03</v>
      </c>
      <c r="G292" s="72">
        <f t="shared" si="45"/>
        <v>0</v>
      </c>
      <c r="H292" s="72"/>
      <c r="I292" s="72">
        <f t="shared" si="45"/>
        <v>0</v>
      </c>
      <c r="J292" s="72">
        <f t="shared" si="45"/>
        <v>0</v>
      </c>
      <c r="K292" s="72"/>
      <c r="L292" s="72">
        <f>L293+L299+L304</f>
        <v>0</v>
      </c>
    </row>
    <row r="293" spans="1:12" ht="39" x14ac:dyDescent="0.25">
      <c r="A293" s="33" t="s">
        <v>257</v>
      </c>
      <c r="B293" s="36"/>
      <c r="C293" s="34" t="s">
        <v>684</v>
      </c>
      <c r="D293" s="71">
        <f>D294+D296</f>
        <v>1647.03</v>
      </c>
      <c r="E293" s="71"/>
      <c r="F293" s="71">
        <f>F294+F296</f>
        <v>1647.03</v>
      </c>
      <c r="G293" s="71">
        <f t="shared" ref="D293:J294" si="46">G294</f>
        <v>0</v>
      </c>
      <c r="H293" s="71"/>
      <c r="I293" s="71">
        <f t="shared" si="46"/>
        <v>0</v>
      </c>
      <c r="J293" s="71">
        <f t="shared" si="46"/>
        <v>0</v>
      </c>
      <c r="K293" s="71"/>
      <c r="L293" s="71">
        <f>L294</f>
        <v>0</v>
      </c>
    </row>
    <row r="294" spans="1:12" ht="51.75" x14ac:dyDescent="0.25">
      <c r="A294" s="6" t="s">
        <v>259</v>
      </c>
      <c r="B294" s="6"/>
      <c r="C294" s="3" t="s">
        <v>544</v>
      </c>
      <c r="D294" s="70">
        <f t="shared" si="46"/>
        <v>1508.7</v>
      </c>
      <c r="E294" s="70"/>
      <c r="F294" s="70">
        <f t="shared" si="46"/>
        <v>1508.7</v>
      </c>
      <c r="G294" s="70">
        <f t="shared" si="46"/>
        <v>0</v>
      </c>
      <c r="H294" s="70"/>
      <c r="I294" s="70">
        <f t="shared" si="46"/>
        <v>0</v>
      </c>
      <c r="J294" s="70">
        <f t="shared" si="46"/>
        <v>0</v>
      </c>
      <c r="K294" s="70"/>
      <c r="L294" s="70">
        <f>L295</f>
        <v>0</v>
      </c>
    </row>
    <row r="295" spans="1:12" ht="26.25" x14ac:dyDescent="0.25">
      <c r="A295" s="6"/>
      <c r="B295" s="6" t="s">
        <v>470</v>
      </c>
      <c r="C295" s="3" t="s">
        <v>471</v>
      </c>
      <c r="D295" s="70">
        <v>1508.7</v>
      </c>
      <c r="E295" s="70"/>
      <c r="F295" s="70">
        <v>1508.7</v>
      </c>
      <c r="G295" s="70">
        <v>0</v>
      </c>
      <c r="H295" s="70"/>
      <c r="I295" s="70">
        <v>0</v>
      </c>
      <c r="J295" s="70">
        <v>0</v>
      </c>
      <c r="K295" s="70"/>
      <c r="L295" s="70">
        <v>0</v>
      </c>
    </row>
    <row r="296" spans="1:12" x14ac:dyDescent="0.25">
      <c r="A296" s="6" t="s">
        <v>835</v>
      </c>
      <c r="B296" s="6"/>
      <c r="C296" s="3" t="s">
        <v>836</v>
      </c>
      <c r="D296" s="70">
        <f t="shared" ref="D296:F297" si="47">D297</f>
        <v>138.33000000000001</v>
      </c>
      <c r="E296" s="70"/>
      <c r="F296" s="70">
        <f t="shared" si="47"/>
        <v>138.33000000000001</v>
      </c>
      <c r="G296" s="70">
        <v>0</v>
      </c>
      <c r="H296" s="70"/>
      <c r="I296" s="70">
        <v>0</v>
      </c>
      <c r="J296" s="70">
        <v>0</v>
      </c>
      <c r="K296" s="70"/>
      <c r="L296" s="70">
        <v>0</v>
      </c>
    </row>
    <row r="297" spans="1:12" ht="26.25" x14ac:dyDescent="0.25">
      <c r="A297" s="6"/>
      <c r="B297" s="6" t="s">
        <v>470</v>
      </c>
      <c r="C297" s="3" t="s">
        <v>471</v>
      </c>
      <c r="D297" s="70">
        <f t="shared" si="47"/>
        <v>138.33000000000001</v>
      </c>
      <c r="E297" s="70"/>
      <c r="F297" s="70">
        <f t="shared" si="47"/>
        <v>138.33000000000001</v>
      </c>
      <c r="G297" s="70">
        <v>0</v>
      </c>
      <c r="H297" s="70"/>
      <c r="I297" s="70">
        <v>0</v>
      </c>
      <c r="J297" s="70">
        <v>0</v>
      </c>
      <c r="K297" s="70"/>
      <c r="L297" s="70">
        <v>0</v>
      </c>
    </row>
    <row r="298" spans="1:12" x14ac:dyDescent="0.25">
      <c r="A298" s="6"/>
      <c r="B298" s="6"/>
      <c r="C298" s="1" t="s">
        <v>150</v>
      </c>
      <c r="D298" s="70">
        <v>138.33000000000001</v>
      </c>
      <c r="E298" s="80"/>
      <c r="F298" s="70">
        <f>SUM(D298:E298)</f>
        <v>138.33000000000001</v>
      </c>
      <c r="G298" s="70">
        <v>0</v>
      </c>
      <c r="H298" s="70"/>
      <c r="I298" s="70">
        <v>0</v>
      </c>
      <c r="J298" s="70">
        <v>0</v>
      </c>
      <c r="K298" s="70"/>
      <c r="L298" s="70">
        <v>0</v>
      </c>
    </row>
    <row r="299" spans="1:12" ht="39" x14ac:dyDescent="0.25">
      <c r="A299" s="33" t="s">
        <v>261</v>
      </c>
      <c r="B299" s="33"/>
      <c r="C299" s="34" t="s">
        <v>262</v>
      </c>
      <c r="D299" s="71">
        <f t="shared" ref="D299:J300" si="48">D300</f>
        <v>4000</v>
      </c>
      <c r="E299" s="71"/>
      <c r="F299" s="71">
        <f t="shared" si="48"/>
        <v>4000</v>
      </c>
      <c r="G299" s="71">
        <f t="shared" si="48"/>
        <v>0</v>
      </c>
      <c r="H299" s="71"/>
      <c r="I299" s="71">
        <f t="shared" si="48"/>
        <v>0</v>
      </c>
      <c r="J299" s="71">
        <f t="shared" si="48"/>
        <v>0</v>
      </c>
      <c r="K299" s="71"/>
      <c r="L299" s="71">
        <f>L300</f>
        <v>0</v>
      </c>
    </row>
    <row r="300" spans="1:12" ht="39" x14ac:dyDescent="0.25">
      <c r="A300" s="6" t="s">
        <v>263</v>
      </c>
      <c r="B300" s="6"/>
      <c r="C300" s="3" t="s">
        <v>264</v>
      </c>
      <c r="D300" s="70">
        <f t="shared" si="48"/>
        <v>4000</v>
      </c>
      <c r="E300" s="70"/>
      <c r="F300" s="70">
        <f t="shared" si="48"/>
        <v>4000</v>
      </c>
      <c r="G300" s="70">
        <f t="shared" si="48"/>
        <v>0</v>
      </c>
      <c r="H300" s="70"/>
      <c r="I300" s="70">
        <f t="shared" si="48"/>
        <v>0</v>
      </c>
      <c r="J300" s="70">
        <f t="shared" si="48"/>
        <v>0</v>
      </c>
      <c r="K300" s="70"/>
      <c r="L300" s="70">
        <f>L301</f>
        <v>0</v>
      </c>
    </row>
    <row r="301" spans="1:12" ht="26.25" x14ac:dyDescent="0.25">
      <c r="A301" s="6"/>
      <c r="B301" s="6" t="s">
        <v>470</v>
      </c>
      <c r="C301" s="3" t="s">
        <v>471</v>
      </c>
      <c r="D301" s="70">
        <f>D302+D303</f>
        <v>4000</v>
      </c>
      <c r="E301" s="70"/>
      <c r="F301" s="70">
        <f>F302+F303</f>
        <v>4000</v>
      </c>
      <c r="G301" s="70">
        <f>G302+G303</f>
        <v>0</v>
      </c>
      <c r="H301" s="70"/>
      <c r="I301" s="70">
        <f>I302+I303</f>
        <v>0</v>
      </c>
      <c r="J301" s="70">
        <v>0</v>
      </c>
      <c r="K301" s="70"/>
      <c r="L301" s="70">
        <v>0</v>
      </c>
    </row>
    <row r="302" spans="1:12" x14ac:dyDescent="0.25">
      <c r="A302" s="6"/>
      <c r="B302" s="6"/>
      <c r="C302" s="3" t="s">
        <v>152</v>
      </c>
      <c r="D302" s="80">
        <v>3000</v>
      </c>
      <c r="E302" s="70"/>
      <c r="F302" s="80">
        <v>3000</v>
      </c>
      <c r="G302" s="80">
        <v>0</v>
      </c>
      <c r="H302" s="80"/>
      <c r="I302" s="80">
        <v>0</v>
      </c>
      <c r="J302" s="80">
        <v>0</v>
      </c>
      <c r="K302" s="80"/>
      <c r="L302" s="80">
        <v>0</v>
      </c>
    </row>
    <row r="303" spans="1:12" s="91" customFormat="1" x14ac:dyDescent="0.25">
      <c r="A303" s="6"/>
      <c r="B303" s="6"/>
      <c r="C303" s="3" t="s">
        <v>105</v>
      </c>
      <c r="D303" s="70">
        <v>1000</v>
      </c>
      <c r="E303" s="70"/>
      <c r="F303" s="70">
        <v>1000</v>
      </c>
      <c r="G303" s="70">
        <v>0</v>
      </c>
      <c r="H303" s="70"/>
      <c r="I303" s="70">
        <v>0</v>
      </c>
      <c r="J303" s="70">
        <v>0</v>
      </c>
      <c r="K303" s="70"/>
      <c r="L303" s="70">
        <v>0</v>
      </c>
    </row>
    <row r="304" spans="1:12" ht="26.25" x14ac:dyDescent="0.25">
      <c r="A304" s="66" t="s">
        <v>440</v>
      </c>
      <c r="B304" s="66"/>
      <c r="C304" s="66" t="s">
        <v>441</v>
      </c>
      <c r="D304" s="71">
        <f>D305</f>
        <v>0</v>
      </c>
      <c r="E304" s="71"/>
      <c r="F304" s="71">
        <f>F305</f>
        <v>0</v>
      </c>
      <c r="G304" s="71">
        <f>G305</f>
        <v>0</v>
      </c>
      <c r="H304" s="71">
        <f>H305</f>
        <v>0</v>
      </c>
      <c r="I304" s="71">
        <f>I305</f>
        <v>0</v>
      </c>
      <c r="J304" s="71">
        <f>J305</f>
        <v>0</v>
      </c>
      <c r="K304" s="71"/>
      <c r="L304" s="71">
        <f>L305</f>
        <v>0</v>
      </c>
    </row>
    <row r="305" spans="1:12" ht="26.25" x14ac:dyDescent="0.25">
      <c r="A305" s="6" t="s">
        <v>442</v>
      </c>
      <c r="B305" s="6"/>
      <c r="C305" s="3" t="s">
        <v>265</v>
      </c>
      <c r="D305" s="70">
        <v>0</v>
      </c>
      <c r="E305" s="70"/>
      <c r="F305" s="70">
        <v>0</v>
      </c>
      <c r="G305" s="70">
        <f>G306</f>
        <v>0</v>
      </c>
      <c r="H305" s="70"/>
      <c r="I305" s="70">
        <f>I306</f>
        <v>0</v>
      </c>
      <c r="J305" s="70">
        <v>0</v>
      </c>
      <c r="K305" s="70"/>
      <c r="L305" s="70">
        <v>0</v>
      </c>
    </row>
    <row r="306" spans="1:12" ht="26.25" x14ac:dyDescent="0.25">
      <c r="A306" s="6"/>
      <c r="B306" s="6" t="s">
        <v>470</v>
      </c>
      <c r="C306" s="3" t="s">
        <v>471</v>
      </c>
      <c r="D306" s="70">
        <v>0</v>
      </c>
      <c r="E306" s="70"/>
      <c r="F306" s="70">
        <v>0</v>
      </c>
      <c r="G306" s="70">
        <f>G308</f>
        <v>0</v>
      </c>
      <c r="H306" s="70"/>
      <c r="I306" s="70">
        <f>I308</f>
        <v>0</v>
      </c>
      <c r="J306" s="70">
        <v>0</v>
      </c>
      <c r="K306" s="70"/>
      <c r="L306" s="70">
        <v>0</v>
      </c>
    </row>
    <row r="307" spans="1:12" x14ac:dyDescent="0.25">
      <c r="A307" s="6"/>
      <c r="B307" s="6"/>
      <c r="C307" s="3" t="s">
        <v>152</v>
      </c>
      <c r="D307" s="80">
        <v>0</v>
      </c>
      <c r="E307" s="80"/>
      <c r="F307" s="80">
        <v>0</v>
      </c>
      <c r="G307" s="80">
        <v>0</v>
      </c>
      <c r="H307" s="80"/>
      <c r="I307" s="80">
        <v>0</v>
      </c>
      <c r="J307" s="80">
        <v>0</v>
      </c>
      <c r="K307" s="80"/>
      <c r="L307" s="80">
        <v>0</v>
      </c>
    </row>
    <row r="308" spans="1:12" x14ac:dyDescent="0.25">
      <c r="A308" s="6"/>
      <c r="B308" s="6"/>
      <c r="C308" s="3" t="s">
        <v>105</v>
      </c>
      <c r="D308" s="70">
        <v>0</v>
      </c>
      <c r="E308" s="70"/>
      <c r="F308" s="70">
        <v>0</v>
      </c>
      <c r="G308" s="70">
        <v>0</v>
      </c>
      <c r="H308" s="70"/>
      <c r="I308" s="70">
        <v>0</v>
      </c>
      <c r="J308" s="70">
        <v>0</v>
      </c>
      <c r="K308" s="70"/>
      <c r="L308" s="70">
        <v>0</v>
      </c>
    </row>
    <row r="309" spans="1:12" ht="26.25" x14ac:dyDescent="0.25">
      <c r="A309" s="29" t="s">
        <v>266</v>
      </c>
      <c r="B309" s="29"/>
      <c r="C309" s="37" t="s">
        <v>267</v>
      </c>
      <c r="D309" s="72">
        <f>D310+D316</f>
        <v>956.09999999999991</v>
      </c>
      <c r="E309" s="72"/>
      <c r="F309" s="72">
        <f t="shared" ref="F309:L309" si="49">F310+F316</f>
        <v>956.09999999999991</v>
      </c>
      <c r="G309" s="72">
        <f t="shared" si="49"/>
        <v>905.7</v>
      </c>
      <c r="H309" s="72"/>
      <c r="I309" s="72">
        <f t="shared" si="49"/>
        <v>905.7</v>
      </c>
      <c r="J309" s="72">
        <f t="shared" si="49"/>
        <v>905.7</v>
      </c>
      <c r="K309" s="72"/>
      <c r="L309" s="72">
        <f t="shared" si="49"/>
        <v>905.7</v>
      </c>
    </row>
    <row r="310" spans="1:12" ht="26.25" x14ac:dyDescent="0.25">
      <c r="A310" s="31" t="s">
        <v>268</v>
      </c>
      <c r="B310" s="31"/>
      <c r="C310" s="32" t="s">
        <v>269</v>
      </c>
      <c r="D310" s="75">
        <f>D311</f>
        <v>562</v>
      </c>
      <c r="E310" s="75"/>
      <c r="F310" s="75">
        <f>F311</f>
        <v>562</v>
      </c>
      <c r="G310" s="75">
        <f>G311</f>
        <v>562</v>
      </c>
      <c r="H310" s="75"/>
      <c r="I310" s="75">
        <f>I311</f>
        <v>562</v>
      </c>
      <c r="J310" s="75">
        <f>J311</f>
        <v>562</v>
      </c>
      <c r="K310" s="75"/>
      <c r="L310" s="75">
        <f>L311</f>
        <v>562</v>
      </c>
    </row>
    <row r="311" spans="1:12" ht="39" x14ac:dyDescent="0.25">
      <c r="A311" s="33" t="s">
        <v>270</v>
      </c>
      <c r="B311" s="36"/>
      <c r="C311" s="34" t="s">
        <v>271</v>
      </c>
      <c r="D311" s="71">
        <f>D312+D314</f>
        <v>562</v>
      </c>
      <c r="E311" s="71"/>
      <c r="F311" s="71">
        <f>F312+F314</f>
        <v>562</v>
      </c>
      <c r="G311" s="71">
        <f>G312+G314</f>
        <v>562</v>
      </c>
      <c r="H311" s="71"/>
      <c r="I311" s="71">
        <f>I312+I314</f>
        <v>562</v>
      </c>
      <c r="J311" s="71">
        <f>J312+J314</f>
        <v>562</v>
      </c>
      <c r="K311" s="71"/>
      <c r="L311" s="71">
        <f>L312+L314</f>
        <v>562</v>
      </c>
    </row>
    <row r="312" spans="1:12" ht="39" x14ac:dyDescent="0.25">
      <c r="A312" s="6" t="s">
        <v>272</v>
      </c>
      <c r="B312" s="6"/>
      <c r="C312" s="3" t="s">
        <v>273</v>
      </c>
      <c r="D312" s="70">
        <v>10</v>
      </c>
      <c r="E312" s="70"/>
      <c r="F312" s="70">
        <v>10</v>
      </c>
      <c r="G312" s="70">
        <f>G313</f>
        <v>10</v>
      </c>
      <c r="H312" s="70"/>
      <c r="I312" s="70">
        <f>I313</f>
        <v>10</v>
      </c>
      <c r="J312" s="70">
        <f>J313</f>
        <v>10</v>
      </c>
      <c r="K312" s="70"/>
      <c r="L312" s="70">
        <f>L313</f>
        <v>10</v>
      </c>
    </row>
    <row r="313" spans="1:12" ht="26.25" x14ac:dyDescent="0.25">
      <c r="A313" s="6"/>
      <c r="B313" s="6" t="s">
        <v>280</v>
      </c>
      <c r="C313" s="3" t="s">
        <v>281</v>
      </c>
      <c r="D313" s="70">
        <v>10</v>
      </c>
      <c r="E313" s="70"/>
      <c r="F313" s="70">
        <v>10</v>
      </c>
      <c r="G313" s="70">
        <v>10</v>
      </c>
      <c r="H313" s="70"/>
      <c r="I313" s="70">
        <v>10</v>
      </c>
      <c r="J313" s="70">
        <v>10</v>
      </c>
      <c r="K313" s="70"/>
      <c r="L313" s="70">
        <v>10</v>
      </c>
    </row>
    <row r="314" spans="1:12" ht="51.75" x14ac:dyDescent="0.25">
      <c r="A314" s="6" t="s">
        <v>274</v>
      </c>
      <c r="B314" s="6"/>
      <c r="C314" s="3" t="s">
        <v>275</v>
      </c>
      <c r="D314" s="70">
        <f>D315</f>
        <v>552</v>
      </c>
      <c r="E314" s="70"/>
      <c r="F314" s="70">
        <f>F315</f>
        <v>552</v>
      </c>
      <c r="G314" s="70">
        <f>G315</f>
        <v>552</v>
      </c>
      <c r="H314" s="70"/>
      <c r="I314" s="70">
        <f>I315</f>
        <v>552</v>
      </c>
      <c r="J314" s="70">
        <f>J315</f>
        <v>552</v>
      </c>
      <c r="K314" s="70"/>
      <c r="L314" s="70">
        <f>L315</f>
        <v>552</v>
      </c>
    </row>
    <row r="315" spans="1:12" ht="26.25" x14ac:dyDescent="0.25">
      <c r="A315" s="6"/>
      <c r="B315" s="6" t="s">
        <v>280</v>
      </c>
      <c r="C315" s="3" t="s">
        <v>281</v>
      </c>
      <c r="D315" s="70">
        <v>552</v>
      </c>
      <c r="E315" s="70"/>
      <c r="F315" s="70">
        <v>552</v>
      </c>
      <c r="G315" s="70">
        <v>552</v>
      </c>
      <c r="H315" s="70"/>
      <c r="I315" s="70">
        <v>552</v>
      </c>
      <c r="J315" s="70">
        <v>552</v>
      </c>
      <c r="K315" s="70"/>
      <c r="L315" s="70">
        <v>552</v>
      </c>
    </row>
    <row r="316" spans="1:12" ht="26.25" x14ac:dyDescent="0.25">
      <c r="A316" s="31" t="s">
        <v>276</v>
      </c>
      <c r="B316" s="31"/>
      <c r="C316" s="32" t="s">
        <v>277</v>
      </c>
      <c r="D316" s="75">
        <f>D317</f>
        <v>394.09999999999997</v>
      </c>
      <c r="E316" s="75"/>
      <c r="F316" s="75">
        <f t="shared" ref="F316:L316" si="50">F317</f>
        <v>394.09999999999997</v>
      </c>
      <c r="G316" s="75">
        <f t="shared" si="50"/>
        <v>343.7</v>
      </c>
      <c r="H316" s="75"/>
      <c r="I316" s="75">
        <f t="shared" si="50"/>
        <v>343.7</v>
      </c>
      <c r="J316" s="75">
        <f t="shared" si="50"/>
        <v>343.7</v>
      </c>
      <c r="K316" s="75"/>
      <c r="L316" s="75">
        <f t="shared" si="50"/>
        <v>343.7</v>
      </c>
    </row>
    <row r="317" spans="1:12" ht="26.25" x14ac:dyDescent="0.25">
      <c r="A317" s="33" t="s">
        <v>444</v>
      </c>
      <c r="B317" s="36"/>
      <c r="C317" s="34" t="s">
        <v>278</v>
      </c>
      <c r="D317" s="71">
        <f>D318+D325+D322</f>
        <v>394.09999999999997</v>
      </c>
      <c r="E317" s="71"/>
      <c r="F317" s="71">
        <f t="shared" ref="F317:L317" si="51">F318+F325+F322</f>
        <v>394.09999999999997</v>
      </c>
      <c r="G317" s="71">
        <f t="shared" si="51"/>
        <v>343.7</v>
      </c>
      <c r="H317" s="71"/>
      <c r="I317" s="71">
        <f t="shared" si="51"/>
        <v>343.7</v>
      </c>
      <c r="J317" s="71">
        <f t="shared" si="51"/>
        <v>343.7</v>
      </c>
      <c r="K317" s="71"/>
      <c r="L317" s="71">
        <f t="shared" si="51"/>
        <v>343.7</v>
      </c>
    </row>
    <row r="318" spans="1:12" ht="39" x14ac:dyDescent="0.25">
      <c r="A318" s="6" t="s">
        <v>443</v>
      </c>
      <c r="B318" s="6"/>
      <c r="C318" s="45" t="s">
        <v>279</v>
      </c>
      <c r="D318" s="70">
        <f>D321+D320</f>
        <v>342.9</v>
      </c>
      <c r="E318" s="70"/>
      <c r="F318" s="70">
        <f>F321+F320</f>
        <v>342.9</v>
      </c>
      <c r="G318" s="70">
        <f>G321+G320</f>
        <v>292.5</v>
      </c>
      <c r="H318" s="70"/>
      <c r="I318" s="70">
        <f>I321+I320</f>
        <v>292.5</v>
      </c>
      <c r="J318" s="70">
        <f>J321+J320</f>
        <v>292.5</v>
      </c>
      <c r="K318" s="70"/>
      <c r="L318" s="70">
        <f>L321+L320</f>
        <v>292.5</v>
      </c>
    </row>
    <row r="319" spans="1:12" ht="26.25" x14ac:dyDescent="0.25">
      <c r="A319" s="6"/>
      <c r="B319" s="6" t="s">
        <v>280</v>
      </c>
      <c r="C319" s="3" t="s">
        <v>281</v>
      </c>
      <c r="D319" s="70">
        <f>D320+D321</f>
        <v>342.9</v>
      </c>
      <c r="E319" s="70"/>
      <c r="F319" s="70">
        <f>F320+F321</f>
        <v>342.9</v>
      </c>
      <c r="G319" s="70">
        <f>G320+G321</f>
        <v>292.5</v>
      </c>
      <c r="H319" s="70"/>
      <c r="I319" s="70">
        <f>I320+I321</f>
        <v>292.5</v>
      </c>
      <c r="J319" s="70">
        <f>J320+J321</f>
        <v>292.5</v>
      </c>
      <c r="K319" s="70"/>
      <c r="L319" s="70">
        <f>L320+L321</f>
        <v>292.5</v>
      </c>
    </row>
    <row r="320" spans="1:12" x14ac:dyDescent="0.25">
      <c r="A320" s="6"/>
      <c r="B320" s="6"/>
      <c r="C320" s="3" t="s">
        <v>152</v>
      </c>
      <c r="D320" s="70">
        <v>114.1</v>
      </c>
      <c r="E320" s="70"/>
      <c r="F320" s="70">
        <v>114.1</v>
      </c>
      <c r="G320" s="70">
        <v>114.1</v>
      </c>
      <c r="H320" s="70"/>
      <c r="I320" s="70">
        <v>114.1</v>
      </c>
      <c r="J320" s="70">
        <v>114.1</v>
      </c>
      <c r="K320" s="70"/>
      <c r="L320" s="70">
        <v>114.1</v>
      </c>
    </row>
    <row r="321" spans="1:12" x14ac:dyDescent="0.25">
      <c r="A321" s="6"/>
      <c r="B321" s="6"/>
      <c r="C321" s="3" t="s">
        <v>105</v>
      </c>
      <c r="D321" s="70">
        <v>228.8</v>
      </c>
      <c r="E321" s="70"/>
      <c r="F321" s="70">
        <v>228.8</v>
      </c>
      <c r="G321" s="70">
        <v>178.4</v>
      </c>
      <c r="H321" s="70"/>
      <c r="I321" s="70">
        <v>178.4</v>
      </c>
      <c r="J321" s="70">
        <v>178.4</v>
      </c>
      <c r="K321" s="70"/>
      <c r="L321" s="70">
        <v>178.4</v>
      </c>
    </row>
    <row r="322" spans="1:12" ht="39" x14ac:dyDescent="0.25">
      <c r="A322" s="6" t="s">
        <v>445</v>
      </c>
      <c r="B322" s="6"/>
      <c r="C322" s="3" t="s">
        <v>478</v>
      </c>
      <c r="D322" s="80">
        <f>D323+D324</f>
        <v>31.2</v>
      </c>
      <c r="E322" s="80"/>
      <c r="F322" s="80">
        <f>F323+F324</f>
        <v>31.2</v>
      </c>
      <c r="G322" s="80">
        <f>G323+G324</f>
        <v>31.2</v>
      </c>
      <c r="H322" s="80"/>
      <c r="I322" s="80">
        <f>I323+I324</f>
        <v>31.2</v>
      </c>
      <c r="J322" s="80">
        <f>J323+J324</f>
        <v>31.2</v>
      </c>
      <c r="K322" s="80"/>
      <c r="L322" s="80">
        <f>L323+L324</f>
        <v>31.2</v>
      </c>
    </row>
    <row r="323" spans="1:12" ht="26.25" x14ac:dyDescent="0.25">
      <c r="A323" s="6"/>
      <c r="B323" s="6" t="s">
        <v>280</v>
      </c>
      <c r="C323" s="3" t="s">
        <v>281</v>
      </c>
      <c r="D323" s="80">
        <v>27.4</v>
      </c>
      <c r="E323" s="80"/>
      <c r="F323" s="80">
        <v>27.4</v>
      </c>
      <c r="G323" s="80">
        <v>27.4</v>
      </c>
      <c r="H323" s="80"/>
      <c r="I323" s="80">
        <v>27.4</v>
      </c>
      <c r="J323" s="80">
        <v>27.4</v>
      </c>
      <c r="K323" s="80"/>
      <c r="L323" s="80">
        <v>27.4</v>
      </c>
    </row>
    <row r="324" spans="1:12" ht="26.25" x14ac:dyDescent="0.25">
      <c r="A324" s="6"/>
      <c r="B324" s="6" t="s">
        <v>470</v>
      </c>
      <c r="C324" s="3" t="s">
        <v>471</v>
      </c>
      <c r="D324" s="80">
        <v>3.8</v>
      </c>
      <c r="E324" s="80"/>
      <c r="F324" s="80">
        <v>3.8</v>
      </c>
      <c r="G324" s="80">
        <v>3.8</v>
      </c>
      <c r="H324" s="80"/>
      <c r="I324" s="80">
        <v>3.8</v>
      </c>
      <c r="J324" s="80">
        <v>3.8</v>
      </c>
      <c r="K324" s="80"/>
      <c r="L324" s="80">
        <v>3.8</v>
      </c>
    </row>
    <row r="325" spans="1:12" x14ac:dyDescent="0.25">
      <c r="A325" s="6" t="s">
        <v>446</v>
      </c>
      <c r="B325" s="6"/>
      <c r="C325" s="3" t="s">
        <v>479</v>
      </c>
      <c r="D325" s="80">
        <f>D326</f>
        <v>20</v>
      </c>
      <c r="E325" s="80"/>
      <c r="F325" s="80">
        <f>F326</f>
        <v>20</v>
      </c>
      <c r="G325" s="80">
        <f>G326</f>
        <v>20</v>
      </c>
      <c r="H325" s="80"/>
      <c r="I325" s="80">
        <f>I326</f>
        <v>20</v>
      </c>
      <c r="J325" s="80">
        <f>J326</f>
        <v>20</v>
      </c>
      <c r="K325" s="80"/>
      <c r="L325" s="80">
        <f>L326</f>
        <v>20</v>
      </c>
    </row>
    <row r="326" spans="1:12" ht="26.25" x14ac:dyDescent="0.25">
      <c r="A326" s="6"/>
      <c r="B326" s="6" t="s">
        <v>470</v>
      </c>
      <c r="C326" s="3" t="s">
        <v>471</v>
      </c>
      <c r="D326" s="80">
        <v>20</v>
      </c>
      <c r="E326" s="80"/>
      <c r="F326" s="80">
        <v>20</v>
      </c>
      <c r="G326" s="80">
        <v>20</v>
      </c>
      <c r="H326" s="80"/>
      <c r="I326" s="80">
        <v>20</v>
      </c>
      <c r="J326" s="80">
        <v>20</v>
      </c>
      <c r="K326" s="80"/>
      <c r="L326" s="80">
        <v>20</v>
      </c>
    </row>
    <row r="327" spans="1:12" ht="26.25" x14ac:dyDescent="0.25">
      <c r="A327" s="29" t="s">
        <v>282</v>
      </c>
      <c r="B327" s="29"/>
      <c r="C327" s="37" t="s">
        <v>283</v>
      </c>
      <c r="D327" s="72">
        <f>D328+D334</f>
        <v>277.10000000000002</v>
      </c>
      <c r="E327" s="72">
        <f>E328+E334</f>
        <v>-30</v>
      </c>
      <c r="F327" s="72">
        <f>F328+F334</f>
        <v>247.10000000000002</v>
      </c>
      <c r="G327" s="72">
        <f>G328+G334</f>
        <v>277.10000000000002</v>
      </c>
      <c r="H327" s="72"/>
      <c r="I327" s="72">
        <f>I328+I334</f>
        <v>277.10000000000002</v>
      </c>
      <c r="J327" s="72">
        <f>J328+J334</f>
        <v>277.10000000000002</v>
      </c>
      <c r="K327" s="72"/>
      <c r="L327" s="72">
        <f>L328+L334</f>
        <v>277.10000000000002</v>
      </c>
    </row>
    <row r="328" spans="1:12" ht="26.25" x14ac:dyDescent="0.25">
      <c r="A328" s="31" t="s">
        <v>447</v>
      </c>
      <c r="B328" s="31"/>
      <c r="C328" s="52" t="s">
        <v>448</v>
      </c>
      <c r="D328" s="75">
        <f>D329</f>
        <v>43.5</v>
      </c>
      <c r="E328" s="75">
        <f>E329</f>
        <v>-30</v>
      </c>
      <c r="F328" s="75">
        <f>F329</f>
        <v>13.5</v>
      </c>
      <c r="G328" s="75">
        <f>G329</f>
        <v>43.5</v>
      </c>
      <c r="H328" s="75"/>
      <c r="I328" s="75">
        <f>I329</f>
        <v>43.5</v>
      </c>
      <c r="J328" s="75">
        <f>J329</f>
        <v>43.5</v>
      </c>
      <c r="K328" s="75"/>
      <c r="L328" s="75">
        <f>L329</f>
        <v>43.5</v>
      </c>
    </row>
    <row r="329" spans="1:12" ht="26.25" x14ac:dyDescent="0.25">
      <c r="A329" s="33" t="s">
        <v>507</v>
      </c>
      <c r="B329" s="36"/>
      <c r="C329" s="20" t="s">
        <v>500</v>
      </c>
      <c r="D329" s="71">
        <f>D330+D332</f>
        <v>43.5</v>
      </c>
      <c r="E329" s="71">
        <f>E330+E332</f>
        <v>-30</v>
      </c>
      <c r="F329" s="71">
        <f>F330+F332</f>
        <v>13.5</v>
      </c>
      <c r="G329" s="71">
        <f>G330+G332</f>
        <v>43.5</v>
      </c>
      <c r="H329" s="71"/>
      <c r="I329" s="71">
        <f>I330+I332</f>
        <v>43.5</v>
      </c>
      <c r="J329" s="71">
        <f>J330+J332</f>
        <v>43.5</v>
      </c>
      <c r="K329" s="71"/>
      <c r="L329" s="71">
        <f>L330+L332</f>
        <v>43.5</v>
      </c>
    </row>
    <row r="330" spans="1:12" ht="26.25" x14ac:dyDescent="0.25">
      <c r="A330" s="6" t="s">
        <v>508</v>
      </c>
      <c r="B330" s="6"/>
      <c r="C330" s="19" t="s">
        <v>501</v>
      </c>
      <c r="D330" s="80">
        <f>D331</f>
        <v>13.5</v>
      </c>
      <c r="E330" s="80"/>
      <c r="F330" s="80">
        <f>F331</f>
        <v>13.5</v>
      </c>
      <c r="G330" s="80">
        <f>G331</f>
        <v>13.5</v>
      </c>
      <c r="H330" s="80"/>
      <c r="I330" s="80">
        <f>I331</f>
        <v>13.5</v>
      </c>
      <c r="J330" s="80">
        <f>J331</f>
        <v>13.5</v>
      </c>
      <c r="K330" s="80"/>
      <c r="L330" s="80">
        <f>L331</f>
        <v>13.5</v>
      </c>
    </row>
    <row r="331" spans="1:12" ht="26.25" x14ac:dyDescent="0.25">
      <c r="A331" s="6"/>
      <c r="B331" s="6" t="s">
        <v>280</v>
      </c>
      <c r="C331" s="3" t="s">
        <v>281</v>
      </c>
      <c r="D331" s="80">
        <v>13.5</v>
      </c>
      <c r="E331" s="80"/>
      <c r="F331" s="80">
        <v>13.5</v>
      </c>
      <c r="G331" s="80">
        <v>13.5</v>
      </c>
      <c r="H331" s="80"/>
      <c r="I331" s="80">
        <v>13.5</v>
      </c>
      <c r="J331" s="80">
        <v>13.5</v>
      </c>
      <c r="K331" s="80"/>
      <c r="L331" s="80">
        <v>13.5</v>
      </c>
    </row>
    <row r="332" spans="1:12" x14ac:dyDescent="0.25">
      <c r="A332" s="6" t="s">
        <v>509</v>
      </c>
      <c r="B332" s="6"/>
      <c r="C332" s="19" t="s">
        <v>685</v>
      </c>
      <c r="D332" s="80">
        <f>D333</f>
        <v>30</v>
      </c>
      <c r="E332" s="80">
        <f>E333</f>
        <v>-30</v>
      </c>
      <c r="F332" s="80">
        <f>F333</f>
        <v>0</v>
      </c>
      <c r="G332" s="80">
        <f>G333</f>
        <v>30</v>
      </c>
      <c r="H332" s="80"/>
      <c r="I332" s="80">
        <f>I333</f>
        <v>30</v>
      </c>
      <c r="J332" s="80">
        <f>J333</f>
        <v>30</v>
      </c>
      <c r="K332" s="80"/>
      <c r="L332" s="80">
        <f>L333</f>
        <v>30</v>
      </c>
    </row>
    <row r="333" spans="1:12" ht="26.25" x14ac:dyDescent="0.25">
      <c r="A333" s="6"/>
      <c r="B333" s="6" t="s">
        <v>280</v>
      </c>
      <c r="C333" s="3" t="s">
        <v>281</v>
      </c>
      <c r="D333" s="80">
        <v>30</v>
      </c>
      <c r="E333" s="80">
        <v>-30</v>
      </c>
      <c r="F333" s="80">
        <f>D333+E333</f>
        <v>0</v>
      </c>
      <c r="G333" s="80">
        <v>30</v>
      </c>
      <c r="H333" s="80"/>
      <c r="I333" s="80">
        <v>30</v>
      </c>
      <c r="J333" s="80">
        <v>30</v>
      </c>
      <c r="K333" s="80"/>
      <c r="L333" s="80">
        <v>30</v>
      </c>
    </row>
    <row r="334" spans="1:12" ht="26.25" x14ac:dyDescent="0.25">
      <c r="A334" s="31" t="s">
        <v>449</v>
      </c>
      <c r="B334" s="31"/>
      <c r="C334" s="52" t="s">
        <v>450</v>
      </c>
      <c r="D334" s="75">
        <f>D335+D338</f>
        <v>233.60000000000002</v>
      </c>
      <c r="E334" s="75"/>
      <c r="F334" s="75">
        <f>F335+F338</f>
        <v>233.60000000000002</v>
      </c>
      <c r="G334" s="75">
        <f>G335+G338</f>
        <v>233.60000000000002</v>
      </c>
      <c r="H334" s="75"/>
      <c r="I334" s="75">
        <f>I335+I338</f>
        <v>233.60000000000002</v>
      </c>
      <c r="J334" s="75">
        <f>J335+J338</f>
        <v>233.60000000000002</v>
      </c>
      <c r="K334" s="75"/>
      <c r="L334" s="75">
        <f>L335+L338</f>
        <v>233.60000000000002</v>
      </c>
    </row>
    <row r="335" spans="1:12" ht="26.25" x14ac:dyDescent="0.25">
      <c r="A335" s="33" t="s">
        <v>451</v>
      </c>
      <c r="B335" s="33"/>
      <c r="C335" s="20" t="s">
        <v>352</v>
      </c>
      <c r="D335" s="71">
        <f t="shared" ref="D335:J336" si="52">D336</f>
        <v>112.7</v>
      </c>
      <c r="E335" s="71"/>
      <c r="F335" s="71">
        <f t="shared" si="52"/>
        <v>112.7</v>
      </c>
      <c r="G335" s="71">
        <f t="shared" si="52"/>
        <v>112.7</v>
      </c>
      <c r="H335" s="71"/>
      <c r="I335" s="71">
        <f t="shared" si="52"/>
        <v>112.7</v>
      </c>
      <c r="J335" s="71">
        <f t="shared" si="52"/>
        <v>112.7</v>
      </c>
      <c r="K335" s="71"/>
      <c r="L335" s="71">
        <f>L336</f>
        <v>112.7</v>
      </c>
    </row>
    <row r="336" spans="1:12" x14ac:dyDescent="0.25">
      <c r="A336" s="6" t="s">
        <v>452</v>
      </c>
      <c r="B336" s="6"/>
      <c r="C336" s="19" t="s">
        <v>284</v>
      </c>
      <c r="D336" s="80">
        <f t="shared" si="52"/>
        <v>112.7</v>
      </c>
      <c r="E336" s="80"/>
      <c r="F336" s="80">
        <f t="shared" si="52"/>
        <v>112.7</v>
      </c>
      <c r="G336" s="80">
        <f t="shared" si="52"/>
        <v>112.7</v>
      </c>
      <c r="H336" s="80"/>
      <c r="I336" s="80">
        <f t="shared" si="52"/>
        <v>112.7</v>
      </c>
      <c r="J336" s="80">
        <f t="shared" si="52"/>
        <v>112.7</v>
      </c>
      <c r="K336" s="80"/>
      <c r="L336" s="80">
        <f>L337</f>
        <v>112.7</v>
      </c>
    </row>
    <row r="337" spans="1:12" ht="26.25" x14ac:dyDescent="0.25">
      <c r="A337" s="6"/>
      <c r="B337" s="6" t="s">
        <v>280</v>
      </c>
      <c r="C337" s="3" t="s">
        <v>281</v>
      </c>
      <c r="D337" s="80">
        <v>112.7</v>
      </c>
      <c r="E337" s="80"/>
      <c r="F337" s="80">
        <v>112.7</v>
      </c>
      <c r="G337" s="80">
        <v>112.7</v>
      </c>
      <c r="H337" s="80"/>
      <c r="I337" s="80">
        <v>112.7</v>
      </c>
      <c r="J337" s="80">
        <v>112.7</v>
      </c>
      <c r="K337" s="80"/>
      <c r="L337" s="80">
        <v>112.7</v>
      </c>
    </row>
    <row r="338" spans="1:12" x14ac:dyDescent="0.25">
      <c r="A338" s="33" t="s">
        <v>453</v>
      </c>
      <c r="B338" s="33"/>
      <c r="C338" s="20" t="s">
        <v>353</v>
      </c>
      <c r="D338" s="71">
        <f>D339+D341+D343+D345</f>
        <v>120.9</v>
      </c>
      <c r="E338" s="71"/>
      <c r="F338" s="71">
        <f>F339+F341+F343+F345</f>
        <v>120.9</v>
      </c>
      <c r="G338" s="71">
        <f>G339+G341+G343+G345</f>
        <v>120.9</v>
      </c>
      <c r="H338" s="71"/>
      <c r="I338" s="71">
        <f>I339+I341+I343+I345</f>
        <v>120.9</v>
      </c>
      <c r="J338" s="71">
        <f>J339+J341+J343+J345</f>
        <v>120.9</v>
      </c>
      <c r="K338" s="71"/>
      <c r="L338" s="71">
        <f>L339+L341+L343+L345</f>
        <v>120.9</v>
      </c>
    </row>
    <row r="339" spans="1:12" ht="26.25" x14ac:dyDescent="0.25">
      <c r="A339" s="6" t="s">
        <v>454</v>
      </c>
      <c r="B339" s="6"/>
      <c r="C339" s="19" t="s">
        <v>285</v>
      </c>
      <c r="D339" s="80">
        <f>D340</f>
        <v>32.6</v>
      </c>
      <c r="E339" s="80"/>
      <c r="F339" s="80">
        <f>F340</f>
        <v>32.6</v>
      </c>
      <c r="G339" s="80">
        <f>G340</f>
        <v>32.6</v>
      </c>
      <c r="H339" s="80"/>
      <c r="I339" s="80">
        <f>I340</f>
        <v>32.6</v>
      </c>
      <c r="J339" s="80">
        <f>J340</f>
        <v>32.6</v>
      </c>
      <c r="K339" s="80"/>
      <c r="L339" s="80">
        <f>L340</f>
        <v>32.6</v>
      </c>
    </row>
    <row r="340" spans="1:12" ht="26.25" x14ac:dyDescent="0.25">
      <c r="A340" s="6"/>
      <c r="B340" s="6" t="s">
        <v>280</v>
      </c>
      <c r="C340" s="3" t="s">
        <v>281</v>
      </c>
      <c r="D340" s="80">
        <v>32.6</v>
      </c>
      <c r="E340" s="80"/>
      <c r="F340" s="80">
        <v>32.6</v>
      </c>
      <c r="G340" s="80">
        <v>32.6</v>
      </c>
      <c r="H340" s="80"/>
      <c r="I340" s="80">
        <v>32.6</v>
      </c>
      <c r="J340" s="80">
        <v>32.6</v>
      </c>
      <c r="K340" s="80"/>
      <c r="L340" s="80">
        <v>32.6</v>
      </c>
    </row>
    <row r="341" spans="1:12" ht="26.25" x14ac:dyDescent="0.25">
      <c r="A341" s="6" t="s">
        <v>455</v>
      </c>
      <c r="B341" s="6"/>
      <c r="C341" s="19" t="s">
        <v>286</v>
      </c>
      <c r="D341" s="80">
        <v>40</v>
      </c>
      <c r="E341" s="80"/>
      <c r="F341" s="80">
        <v>40</v>
      </c>
      <c r="G341" s="80">
        <f>G342</f>
        <v>40</v>
      </c>
      <c r="H341" s="80"/>
      <c r="I341" s="80">
        <f>I342</f>
        <v>40</v>
      </c>
      <c r="J341" s="80">
        <f>J342</f>
        <v>40</v>
      </c>
      <c r="K341" s="80"/>
      <c r="L341" s="80">
        <f>L342</f>
        <v>40</v>
      </c>
    </row>
    <row r="342" spans="1:12" ht="26.25" x14ac:dyDescent="0.25">
      <c r="A342" s="6"/>
      <c r="B342" s="6" t="s">
        <v>280</v>
      </c>
      <c r="C342" s="3" t="s">
        <v>281</v>
      </c>
      <c r="D342" s="80">
        <v>40</v>
      </c>
      <c r="E342" s="80"/>
      <c r="F342" s="80">
        <v>40</v>
      </c>
      <c r="G342" s="80">
        <v>40</v>
      </c>
      <c r="H342" s="80"/>
      <c r="I342" s="80">
        <v>40</v>
      </c>
      <c r="J342" s="80">
        <v>40</v>
      </c>
      <c r="K342" s="80"/>
      <c r="L342" s="80">
        <v>40</v>
      </c>
    </row>
    <row r="343" spans="1:12" x14ac:dyDescent="0.25">
      <c r="A343" s="6" t="s">
        <v>456</v>
      </c>
      <c r="B343" s="6"/>
      <c r="C343" s="19" t="s">
        <v>287</v>
      </c>
      <c r="D343" s="80">
        <f>D344</f>
        <v>25.4</v>
      </c>
      <c r="E343" s="80"/>
      <c r="F343" s="80">
        <f>F344</f>
        <v>25.4</v>
      </c>
      <c r="G343" s="80">
        <f>G344</f>
        <v>25.4</v>
      </c>
      <c r="H343" s="80"/>
      <c r="I343" s="80">
        <f>I344</f>
        <v>25.4</v>
      </c>
      <c r="J343" s="80">
        <f>J344</f>
        <v>25.4</v>
      </c>
      <c r="K343" s="80"/>
      <c r="L343" s="80">
        <f>L344</f>
        <v>25.4</v>
      </c>
    </row>
    <row r="344" spans="1:12" ht="26.25" x14ac:dyDescent="0.25">
      <c r="A344" s="6"/>
      <c r="B344" s="6" t="s">
        <v>280</v>
      </c>
      <c r="C344" s="3" t="s">
        <v>281</v>
      </c>
      <c r="D344" s="80">
        <v>25.4</v>
      </c>
      <c r="E344" s="80"/>
      <c r="F344" s="80">
        <v>25.4</v>
      </c>
      <c r="G344" s="80">
        <v>25.4</v>
      </c>
      <c r="H344" s="80"/>
      <c r="I344" s="80">
        <v>25.4</v>
      </c>
      <c r="J344" s="80">
        <v>25.4</v>
      </c>
      <c r="K344" s="80"/>
      <c r="L344" s="80">
        <v>25.4</v>
      </c>
    </row>
    <row r="345" spans="1:12" x14ac:dyDescent="0.25">
      <c r="A345" s="6" t="s">
        <v>457</v>
      </c>
      <c r="B345" s="6"/>
      <c r="C345" s="19" t="s">
        <v>288</v>
      </c>
      <c r="D345" s="80">
        <f>D346</f>
        <v>22.9</v>
      </c>
      <c r="E345" s="80"/>
      <c r="F345" s="80">
        <f>F346</f>
        <v>22.9</v>
      </c>
      <c r="G345" s="80">
        <f>G346</f>
        <v>22.9</v>
      </c>
      <c r="H345" s="80"/>
      <c r="I345" s="80">
        <f>I346</f>
        <v>22.9</v>
      </c>
      <c r="J345" s="80">
        <f>J346</f>
        <v>22.9</v>
      </c>
      <c r="K345" s="80"/>
      <c r="L345" s="80">
        <f>L346</f>
        <v>22.9</v>
      </c>
    </row>
    <row r="346" spans="1:12" ht="26.25" x14ac:dyDescent="0.25">
      <c r="A346" s="6"/>
      <c r="B346" s="6" t="s">
        <v>280</v>
      </c>
      <c r="C346" s="3" t="s">
        <v>281</v>
      </c>
      <c r="D346" s="80">
        <v>22.9</v>
      </c>
      <c r="E346" s="80"/>
      <c r="F346" s="80">
        <v>22.9</v>
      </c>
      <c r="G346" s="80">
        <v>22.9</v>
      </c>
      <c r="H346" s="80"/>
      <c r="I346" s="80">
        <v>22.9</v>
      </c>
      <c r="J346" s="80">
        <v>22.9</v>
      </c>
      <c r="K346" s="80"/>
      <c r="L346" s="80">
        <v>22.9</v>
      </c>
    </row>
    <row r="347" spans="1:12" ht="26.25" x14ac:dyDescent="0.25">
      <c r="A347" s="29" t="s">
        <v>289</v>
      </c>
      <c r="B347" s="29"/>
      <c r="C347" s="37" t="s">
        <v>290</v>
      </c>
      <c r="D347" s="72">
        <f t="shared" ref="D347:L347" si="53">D348+D355+D393</f>
        <v>40720.754919999999</v>
      </c>
      <c r="E347" s="72">
        <f t="shared" si="53"/>
        <v>2413.6883799999996</v>
      </c>
      <c r="F347" s="72">
        <f t="shared" si="53"/>
        <v>43134.443299999999</v>
      </c>
      <c r="G347" s="72">
        <f t="shared" si="53"/>
        <v>50160.581510000004</v>
      </c>
      <c r="H347" s="72">
        <f t="shared" ref="H347" si="54">H348+H355+H393</f>
        <v>1462.38859</v>
      </c>
      <c r="I347" s="72">
        <f t="shared" si="53"/>
        <v>51622.970100000006</v>
      </c>
      <c r="J347" s="72">
        <f t="shared" si="53"/>
        <v>53461.233189999999</v>
      </c>
      <c r="K347" s="72">
        <f t="shared" ref="K347" si="55">K348+K355+K393</f>
        <v>2074.99892</v>
      </c>
      <c r="L347" s="72">
        <f t="shared" si="53"/>
        <v>55536.232110000004</v>
      </c>
    </row>
    <row r="348" spans="1:12" x14ac:dyDescent="0.25">
      <c r="A348" s="31" t="s">
        <v>291</v>
      </c>
      <c r="B348" s="31"/>
      <c r="C348" s="52" t="s">
        <v>292</v>
      </c>
      <c r="D348" s="75">
        <f>D349</f>
        <v>4104.9799899999998</v>
      </c>
      <c r="E348" s="75"/>
      <c r="F348" s="75">
        <f t="shared" ref="F348:L349" si="56">F349</f>
        <v>4104.9799899999998</v>
      </c>
      <c r="G348" s="75">
        <f t="shared" si="56"/>
        <v>18820.898359999999</v>
      </c>
      <c r="H348" s="75">
        <f t="shared" si="56"/>
        <v>1.91123</v>
      </c>
      <c r="I348" s="75">
        <f t="shared" si="56"/>
        <v>18822.809590000001</v>
      </c>
      <c r="J348" s="75">
        <f t="shared" si="56"/>
        <v>33906.13319</v>
      </c>
      <c r="K348" s="75">
        <f t="shared" si="56"/>
        <v>2074.99892</v>
      </c>
      <c r="L348" s="75">
        <f t="shared" si="56"/>
        <v>35981.132110000006</v>
      </c>
    </row>
    <row r="349" spans="1:12" ht="39" x14ac:dyDescent="0.25">
      <c r="A349" s="33" t="s">
        <v>293</v>
      </c>
      <c r="B349" s="33"/>
      <c r="C349" s="20" t="s">
        <v>294</v>
      </c>
      <c r="D349" s="71">
        <f>D350</f>
        <v>4104.9799899999998</v>
      </c>
      <c r="E349" s="71"/>
      <c r="F349" s="71">
        <f t="shared" si="56"/>
        <v>4104.9799899999998</v>
      </c>
      <c r="G349" s="71">
        <f t="shared" si="56"/>
        <v>18820.898359999999</v>
      </c>
      <c r="H349" s="71">
        <f t="shared" si="56"/>
        <v>1.91123</v>
      </c>
      <c r="I349" s="71">
        <f t="shared" si="56"/>
        <v>18822.809590000001</v>
      </c>
      <c r="J349" s="71">
        <f t="shared" si="56"/>
        <v>33906.13319</v>
      </c>
      <c r="K349" s="71">
        <f t="shared" si="56"/>
        <v>2074.99892</v>
      </c>
      <c r="L349" s="71">
        <f t="shared" si="56"/>
        <v>35981.132110000006</v>
      </c>
    </row>
    <row r="350" spans="1:12" ht="26.25" x14ac:dyDescent="0.25">
      <c r="A350" s="22" t="s">
        <v>296</v>
      </c>
      <c r="B350" s="6"/>
      <c r="C350" s="3" t="s">
        <v>297</v>
      </c>
      <c r="D350" s="70">
        <f>D352+D353+D354</f>
        <v>4104.9799899999998</v>
      </c>
      <c r="E350" s="70"/>
      <c r="F350" s="70">
        <f t="shared" ref="F350:L350" si="57">F352+F353+F354</f>
        <v>4104.9799899999998</v>
      </c>
      <c r="G350" s="70">
        <f t="shared" si="57"/>
        <v>18820.898359999999</v>
      </c>
      <c r="H350" s="70">
        <f t="shared" si="57"/>
        <v>1.91123</v>
      </c>
      <c r="I350" s="70">
        <f t="shared" si="57"/>
        <v>18822.809590000001</v>
      </c>
      <c r="J350" s="70">
        <f t="shared" si="57"/>
        <v>33906.13319</v>
      </c>
      <c r="K350" s="70">
        <f t="shared" si="57"/>
        <v>2074.99892</v>
      </c>
      <c r="L350" s="70">
        <f t="shared" si="57"/>
        <v>35981.132110000006</v>
      </c>
    </row>
    <row r="351" spans="1:12" ht="26.25" x14ac:dyDescent="0.25">
      <c r="A351" s="22"/>
      <c r="B351" s="22" t="s">
        <v>280</v>
      </c>
      <c r="C351" s="54" t="s">
        <v>281</v>
      </c>
      <c r="D351" s="70">
        <f>D352+D353+D354</f>
        <v>4104.9799899999998</v>
      </c>
      <c r="E351" s="70"/>
      <c r="F351" s="70">
        <f t="shared" ref="F351:L351" si="58">F352+F353+F354</f>
        <v>4104.9799899999998</v>
      </c>
      <c r="G351" s="70">
        <f t="shared" si="58"/>
        <v>18820.898359999999</v>
      </c>
      <c r="H351" s="70">
        <f t="shared" ref="H351" si="59">H352+H353+H354</f>
        <v>1.91123</v>
      </c>
      <c r="I351" s="70">
        <f t="shared" si="58"/>
        <v>18822.809590000001</v>
      </c>
      <c r="J351" s="70">
        <f t="shared" si="58"/>
        <v>33906.13319</v>
      </c>
      <c r="K351" s="70">
        <f t="shared" ref="K351" si="60">K352+K353+K354</f>
        <v>2074.99892</v>
      </c>
      <c r="L351" s="70">
        <f t="shared" si="58"/>
        <v>35981.132110000006</v>
      </c>
    </row>
    <row r="352" spans="1:12" x14ac:dyDescent="0.25">
      <c r="A352" s="22"/>
      <c r="B352" s="6"/>
      <c r="C352" s="53" t="s">
        <v>151</v>
      </c>
      <c r="D352" s="70">
        <v>2729.81169</v>
      </c>
      <c r="E352" s="70"/>
      <c r="F352" s="70">
        <v>2729.81169</v>
      </c>
      <c r="G352" s="70">
        <v>12515.89741</v>
      </c>
      <c r="H352" s="70"/>
      <c r="I352" s="70">
        <v>12515.897410000001</v>
      </c>
      <c r="J352" s="70">
        <v>22547.57863</v>
      </c>
      <c r="K352" s="70"/>
      <c r="L352" s="70">
        <v>22547.57863</v>
      </c>
    </row>
    <row r="353" spans="1:12" x14ac:dyDescent="0.25">
      <c r="A353" s="22"/>
      <c r="B353" s="6"/>
      <c r="C353" s="53" t="s">
        <v>209</v>
      </c>
      <c r="D353" s="70">
        <v>143.67429999999999</v>
      </c>
      <c r="E353" s="70"/>
      <c r="F353" s="70">
        <v>143.67429999999999</v>
      </c>
      <c r="G353" s="70">
        <v>658.73144000000002</v>
      </c>
      <c r="H353" s="70"/>
      <c r="I353" s="70">
        <v>658.73144000000002</v>
      </c>
      <c r="J353" s="70">
        <v>1186.7146600000001</v>
      </c>
      <c r="K353" s="70"/>
      <c r="L353" s="70">
        <v>1186.7146599999999</v>
      </c>
    </row>
    <row r="354" spans="1:12" s="91" customFormat="1" x14ac:dyDescent="0.25">
      <c r="A354" s="22"/>
      <c r="B354" s="6"/>
      <c r="C354" s="53" t="s">
        <v>295</v>
      </c>
      <c r="D354" s="70">
        <v>1231.4939999999999</v>
      </c>
      <c r="E354" s="70"/>
      <c r="F354" s="70">
        <v>1231.4939999999999</v>
      </c>
      <c r="G354" s="70">
        <v>5646.2695100000001</v>
      </c>
      <c r="H354" s="70">
        <v>1.91123</v>
      </c>
      <c r="I354" s="70">
        <f>SUM(G354:H354)</f>
        <v>5648.1807399999998</v>
      </c>
      <c r="J354" s="70">
        <v>10171.839900000001</v>
      </c>
      <c r="K354" s="70">
        <v>2074.99892</v>
      </c>
      <c r="L354" s="70">
        <f>SUM(J354:K354)</f>
        <v>12246.838820000001</v>
      </c>
    </row>
    <row r="355" spans="1:12" ht="26.25" x14ac:dyDescent="0.25">
      <c r="A355" s="31" t="s">
        <v>300</v>
      </c>
      <c r="B355" s="31"/>
      <c r="C355" s="52" t="s">
        <v>301</v>
      </c>
      <c r="D355" s="75">
        <f t="shared" ref="D355:K355" si="61">D356+D376+D387+D390</f>
        <v>24340.762699999999</v>
      </c>
      <c r="E355" s="75">
        <f t="shared" si="61"/>
        <v>1649.0883799999999</v>
      </c>
      <c r="F355" s="75">
        <f t="shared" si="61"/>
        <v>25989.85108</v>
      </c>
      <c r="G355" s="75">
        <f t="shared" si="61"/>
        <v>17931.5</v>
      </c>
      <c r="H355" s="75">
        <f t="shared" ref="H355" si="62">H356+H376+H387+H390</f>
        <v>627.34082000000001</v>
      </c>
      <c r="I355" s="75">
        <f t="shared" si="61"/>
        <v>18558.840819999998</v>
      </c>
      <c r="J355" s="75">
        <f t="shared" si="61"/>
        <v>19555.099999999999</v>
      </c>
      <c r="K355" s="75">
        <f t="shared" si="61"/>
        <v>0</v>
      </c>
      <c r="L355" s="75">
        <f>L356+L376+L387+L390</f>
        <v>19555.099999999999</v>
      </c>
    </row>
    <row r="356" spans="1:12" ht="26.25" x14ac:dyDescent="0.25">
      <c r="A356" s="33" t="s">
        <v>302</v>
      </c>
      <c r="B356" s="33"/>
      <c r="C356" s="20" t="s">
        <v>303</v>
      </c>
      <c r="D356" s="71">
        <f>D357+D361+D363+D365+D369+D371</f>
        <v>6504.1510799999996</v>
      </c>
      <c r="E356" s="71">
        <f>E357+E361+E363+E365+E369+E371+E374</f>
        <v>126.3</v>
      </c>
      <c r="F356" s="71">
        <f>F357+F361+F363+F365+F369+F371+F374</f>
        <v>6630.4510799999998</v>
      </c>
      <c r="G356" s="71">
        <f t="shared" ref="G356:L356" si="63">G361+G363+G365</f>
        <v>0</v>
      </c>
      <c r="H356" s="71">
        <f>H357+H361+H363+H365+H369+H371+H374</f>
        <v>627.34082000000001</v>
      </c>
      <c r="I356" s="71">
        <f>I361+I363+I365+I371</f>
        <v>627.34082000000001</v>
      </c>
      <c r="J356" s="71">
        <f t="shared" si="63"/>
        <v>0</v>
      </c>
      <c r="K356" s="71"/>
      <c r="L356" s="71">
        <f t="shared" si="63"/>
        <v>0</v>
      </c>
    </row>
    <row r="357" spans="1:12" x14ac:dyDescent="0.25">
      <c r="A357" s="6" t="s">
        <v>837</v>
      </c>
      <c r="B357" s="6"/>
      <c r="C357" s="19" t="s">
        <v>838</v>
      </c>
      <c r="D357" s="80">
        <f>D358</f>
        <v>462.50008000000003</v>
      </c>
      <c r="E357" s="80"/>
      <c r="F357" s="80">
        <f>F358</f>
        <v>462.50008000000003</v>
      </c>
      <c r="G357" s="80">
        <v>0</v>
      </c>
      <c r="H357" s="80"/>
      <c r="I357" s="80">
        <v>0</v>
      </c>
      <c r="J357" s="80">
        <v>0</v>
      </c>
      <c r="K357" s="80"/>
      <c r="L357" s="80">
        <v>0</v>
      </c>
    </row>
    <row r="358" spans="1:12" ht="26.25" x14ac:dyDescent="0.25">
      <c r="A358" s="6"/>
      <c r="B358" s="6" t="s">
        <v>280</v>
      </c>
      <c r="C358" s="3" t="s">
        <v>281</v>
      </c>
      <c r="D358" s="80">
        <f>D359+D360</f>
        <v>462.50008000000003</v>
      </c>
      <c r="E358" s="80"/>
      <c r="F358" s="80">
        <f>F359+F360</f>
        <v>462.50008000000003</v>
      </c>
      <c r="G358" s="80">
        <v>0</v>
      </c>
      <c r="H358" s="80"/>
      <c r="I358" s="80">
        <v>0</v>
      </c>
      <c r="J358" s="80">
        <v>0</v>
      </c>
      <c r="K358" s="80"/>
      <c r="L358" s="80">
        <v>0</v>
      </c>
    </row>
    <row r="359" spans="1:12" x14ac:dyDescent="0.25">
      <c r="A359" s="6"/>
      <c r="B359" s="6"/>
      <c r="C359" s="53" t="s">
        <v>295</v>
      </c>
      <c r="D359" s="80">
        <v>246.251</v>
      </c>
      <c r="E359" s="80"/>
      <c r="F359" s="80">
        <v>246.251</v>
      </c>
      <c r="G359" s="80">
        <v>0</v>
      </c>
      <c r="H359" s="80"/>
      <c r="I359" s="80">
        <v>0</v>
      </c>
      <c r="J359" s="80">
        <v>0</v>
      </c>
      <c r="K359" s="80"/>
      <c r="L359" s="80">
        <v>0</v>
      </c>
    </row>
    <row r="360" spans="1:12" x14ac:dyDescent="0.25">
      <c r="A360" s="6"/>
      <c r="B360" s="6"/>
      <c r="C360" s="53" t="s">
        <v>855</v>
      </c>
      <c r="D360" s="80">
        <v>216.24907999999999</v>
      </c>
      <c r="E360" s="80"/>
      <c r="F360" s="80">
        <f>91+125.24908</f>
        <v>216.24907999999999</v>
      </c>
      <c r="G360" s="80">
        <v>0</v>
      </c>
      <c r="H360" s="80"/>
      <c r="I360" s="80">
        <v>0</v>
      </c>
      <c r="J360" s="80">
        <v>0</v>
      </c>
      <c r="K360" s="80"/>
      <c r="L360" s="80">
        <v>0</v>
      </c>
    </row>
    <row r="361" spans="1:12" s="91" customFormat="1" ht="25.5" x14ac:dyDescent="0.25">
      <c r="A361" s="16" t="s">
        <v>304</v>
      </c>
      <c r="B361" s="16"/>
      <c r="C361" s="1" t="s">
        <v>458</v>
      </c>
      <c r="D361" s="80">
        <f>D362</f>
        <v>678.79999999999973</v>
      </c>
      <c r="E361" s="80"/>
      <c r="F361" s="80">
        <f t="shared" ref="F361:L361" si="64">F362</f>
        <v>678.79999999999973</v>
      </c>
      <c r="G361" s="80">
        <f t="shared" si="64"/>
        <v>0</v>
      </c>
      <c r="H361" s="80"/>
      <c r="I361" s="80">
        <f t="shared" si="64"/>
        <v>0</v>
      </c>
      <c r="J361" s="80">
        <f t="shared" si="64"/>
        <v>0</v>
      </c>
      <c r="K361" s="80"/>
      <c r="L361" s="80">
        <f t="shared" si="64"/>
        <v>0</v>
      </c>
    </row>
    <row r="362" spans="1:12" ht="26.25" x14ac:dyDescent="0.25">
      <c r="A362" s="16"/>
      <c r="B362" s="6" t="s">
        <v>280</v>
      </c>
      <c r="C362" s="3" t="s">
        <v>281</v>
      </c>
      <c r="D362" s="80">
        <f>3394.1-2715.3</f>
        <v>678.79999999999973</v>
      </c>
      <c r="E362" s="80"/>
      <c r="F362" s="80">
        <f>3394.1-2715.3</f>
        <v>678.79999999999973</v>
      </c>
      <c r="G362" s="80">
        <v>0</v>
      </c>
      <c r="H362" s="80"/>
      <c r="I362" s="80">
        <v>0</v>
      </c>
      <c r="J362" s="80">
        <v>0</v>
      </c>
      <c r="K362" s="80"/>
      <c r="L362" s="80">
        <v>0</v>
      </c>
    </row>
    <row r="363" spans="1:12" s="91" customFormat="1" ht="25.5" x14ac:dyDescent="0.25">
      <c r="A363" s="16" t="s">
        <v>305</v>
      </c>
      <c r="B363" s="16"/>
      <c r="C363" s="1" t="s">
        <v>306</v>
      </c>
      <c r="D363" s="80">
        <f>D364</f>
        <v>452.79999999999995</v>
      </c>
      <c r="E363" s="80"/>
      <c r="F363" s="80">
        <f>F364</f>
        <v>452.79999999999995</v>
      </c>
      <c r="G363" s="80">
        <f>G364</f>
        <v>0</v>
      </c>
      <c r="H363" s="80"/>
      <c r="I363" s="80">
        <f>I364</f>
        <v>0</v>
      </c>
      <c r="J363" s="80">
        <f>J364</f>
        <v>0</v>
      </c>
      <c r="K363" s="80"/>
      <c r="L363" s="80">
        <f>L364</f>
        <v>0</v>
      </c>
    </row>
    <row r="364" spans="1:12" ht="26.25" x14ac:dyDescent="0.25">
      <c r="A364" s="16"/>
      <c r="B364" s="6" t="s">
        <v>280</v>
      </c>
      <c r="C364" s="3" t="s">
        <v>281</v>
      </c>
      <c r="D364" s="80">
        <f>2264-1811.2</f>
        <v>452.79999999999995</v>
      </c>
      <c r="E364" s="80"/>
      <c r="F364" s="80">
        <f>2264-1811.2</f>
        <v>452.79999999999995</v>
      </c>
      <c r="G364" s="80">
        <v>0</v>
      </c>
      <c r="H364" s="80"/>
      <c r="I364" s="80">
        <v>0</v>
      </c>
      <c r="J364" s="80">
        <v>0</v>
      </c>
      <c r="K364" s="80"/>
      <c r="L364" s="80">
        <v>0</v>
      </c>
    </row>
    <row r="365" spans="1:12" ht="51" x14ac:dyDescent="0.25">
      <c r="A365" s="6" t="s">
        <v>510</v>
      </c>
      <c r="B365" s="6"/>
      <c r="C365" s="1" t="s">
        <v>545</v>
      </c>
      <c r="D365" s="80">
        <f>D366</f>
        <v>3572.0699999999997</v>
      </c>
      <c r="E365" s="80"/>
      <c r="F365" s="80">
        <f>F366</f>
        <v>3572.0699999999997</v>
      </c>
      <c r="G365" s="80">
        <v>0</v>
      </c>
      <c r="H365" s="80"/>
      <c r="I365" s="80">
        <v>0</v>
      </c>
      <c r="J365" s="80">
        <v>0</v>
      </c>
      <c r="K365" s="80"/>
      <c r="L365" s="80">
        <v>0</v>
      </c>
    </row>
    <row r="366" spans="1:12" ht="26.25" x14ac:dyDescent="0.25">
      <c r="A366" s="16"/>
      <c r="B366" s="6" t="s">
        <v>280</v>
      </c>
      <c r="C366" s="3" t="s">
        <v>281</v>
      </c>
      <c r="D366" s="80">
        <f>SUM(D367:D368)</f>
        <v>3572.0699999999997</v>
      </c>
      <c r="E366" s="80"/>
      <c r="F366" s="80">
        <f>SUM(F367:F368)</f>
        <v>3572.0699999999997</v>
      </c>
      <c r="G366" s="80">
        <v>0</v>
      </c>
      <c r="H366" s="80"/>
      <c r="I366" s="80">
        <v>0</v>
      </c>
      <c r="J366" s="80">
        <v>0</v>
      </c>
      <c r="K366" s="80"/>
      <c r="L366" s="80">
        <v>0</v>
      </c>
    </row>
    <row r="367" spans="1:12" x14ac:dyDescent="0.25">
      <c r="A367" s="16"/>
      <c r="B367" s="6"/>
      <c r="C367" s="53" t="s">
        <v>209</v>
      </c>
      <c r="D367" s="80">
        <v>3214.8629999999998</v>
      </c>
      <c r="E367" s="80"/>
      <c r="F367" s="80">
        <v>3214.8629999999998</v>
      </c>
      <c r="G367" s="80">
        <v>0</v>
      </c>
      <c r="H367" s="80"/>
      <c r="I367" s="80">
        <v>0</v>
      </c>
      <c r="J367" s="80">
        <v>0</v>
      </c>
      <c r="K367" s="80"/>
      <c r="L367" s="80">
        <v>0</v>
      </c>
    </row>
    <row r="368" spans="1:12" x14ac:dyDescent="0.25">
      <c r="A368" s="16"/>
      <c r="B368" s="6"/>
      <c r="C368" s="53" t="s">
        <v>295</v>
      </c>
      <c r="D368" s="80">
        <v>357.20699999999999</v>
      </c>
      <c r="E368" s="80"/>
      <c r="F368" s="80">
        <v>357.20699999999999</v>
      </c>
      <c r="G368" s="80">
        <v>0</v>
      </c>
      <c r="H368" s="80"/>
      <c r="I368" s="80">
        <v>0</v>
      </c>
      <c r="J368" s="80">
        <v>0</v>
      </c>
      <c r="K368" s="80"/>
      <c r="L368" s="80">
        <v>0</v>
      </c>
    </row>
    <row r="369" spans="1:12" x14ac:dyDescent="0.25">
      <c r="A369" s="16" t="s">
        <v>882</v>
      </c>
      <c r="B369" s="6"/>
      <c r="C369" s="53" t="s">
        <v>881</v>
      </c>
      <c r="D369" s="80">
        <v>591.70000000000005</v>
      </c>
      <c r="E369" s="80"/>
      <c r="F369" s="80">
        <f>F370</f>
        <v>591.70000000000005</v>
      </c>
      <c r="G369" s="80">
        <v>0</v>
      </c>
      <c r="H369" s="80"/>
      <c r="I369" s="80">
        <v>0</v>
      </c>
      <c r="J369" s="80">
        <v>0</v>
      </c>
      <c r="K369" s="80"/>
      <c r="L369" s="80">
        <v>0</v>
      </c>
    </row>
    <row r="370" spans="1:12" ht="26.25" x14ac:dyDescent="0.25">
      <c r="A370" s="16"/>
      <c r="B370" s="6" t="s">
        <v>470</v>
      </c>
      <c r="C370" s="3" t="s">
        <v>281</v>
      </c>
      <c r="D370" s="80">
        <v>591.70000000000005</v>
      </c>
      <c r="E370" s="80"/>
      <c r="F370" s="80">
        <v>591.70000000000005</v>
      </c>
      <c r="G370" s="80">
        <v>0</v>
      </c>
      <c r="H370" s="80"/>
      <c r="I370" s="80">
        <v>0</v>
      </c>
      <c r="J370" s="80">
        <v>0</v>
      </c>
      <c r="K370" s="80"/>
      <c r="L370" s="80">
        <v>0</v>
      </c>
    </row>
    <row r="371" spans="1:12" x14ac:dyDescent="0.25">
      <c r="A371" s="6" t="s">
        <v>892</v>
      </c>
      <c r="B371" s="6"/>
      <c r="C371" s="3" t="s">
        <v>886</v>
      </c>
      <c r="D371" s="80">
        <v>746.28099999999995</v>
      </c>
      <c r="E371" s="80"/>
      <c r="F371" s="80">
        <v>746.28099999999995</v>
      </c>
      <c r="G371" s="80">
        <v>0</v>
      </c>
      <c r="H371" s="80">
        <f>H372</f>
        <v>627.34082000000001</v>
      </c>
      <c r="I371" s="80">
        <f>I372</f>
        <v>627.34082000000001</v>
      </c>
      <c r="J371" s="80">
        <v>0</v>
      </c>
      <c r="K371" s="80"/>
      <c r="L371" s="80">
        <v>0</v>
      </c>
    </row>
    <row r="372" spans="1:12" ht="26.25" x14ac:dyDescent="0.25">
      <c r="A372" s="16"/>
      <c r="B372" s="6" t="s">
        <v>280</v>
      </c>
      <c r="C372" s="3" t="s">
        <v>281</v>
      </c>
      <c r="D372" s="80">
        <v>746.28099999999995</v>
      </c>
      <c r="E372" s="80"/>
      <c r="F372" s="80">
        <v>746.28099999999995</v>
      </c>
      <c r="G372" s="80">
        <v>0</v>
      </c>
      <c r="H372" s="80">
        <f>H373</f>
        <v>627.34082000000001</v>
      </c>
      <c r="I372" s="80">
        <f>I373</f>
        <v>627.34082000000001</v>
      </c>
      <c r="J372" s="80">
        <v>0</v>
      </c>
      <c r="K372" s="80"/>
      <c r="L372" s="80">
        <v>0</v>
      </c>
    </row>
    <row r="373" spans="1:12" x14ac:dyDescent="0.25">
      <c r="A373" s="16"/>
      <c r="B373" s="6"/>
      <c r="C373" s="53" t="s">
        <v>295</v>
      </c>
      <c r="D373" s="80">
        <v>746.28099999999995</v>
      </c>
      <c r="E373" s="80"/>
      <c r="F373" s="80">
        <v>746.28099999999995</v>
      </c>
      <c r="G373" s="80">
        <v>0</v>
      </c>
      <c r="H373" s="80">
        <v>627.34082000000001</v>
      </c>
      <c r="I373" s="80">
        <v>627.34082000000001</v>
      </c>
      <c r="J373" s="80">
        <v>0</v>
      </c>
      <c r="K373" s="80"/>
      <c r="L373" s="80">
        <v>0</v>
      </c>
    </row>
    <row r="374" spans="1:12" ht="26.25" x14ac:dyDescent="0.25">
      <c r="A374" s="16" t="s">
        <v>896</v>
      </c>
      <c r="B374" s="6"/>
      <c r="C374" s="53" t="s">
        <v>897</v>
      </c>
      <c r="D374" s="80">
        <v>0</v>
      </c>
      <c r="E374" s="80">
        <f>E375</f>
        <v>126.3</v>
      </c>
      <c r="F374" s="80">
        <f>F375</f>
        <v>126.3</v>
      </c>
      <c r="G374" s="80">
        <v>0</v>
      </c>
      <c r="H374" s="80"/>
      <c r="I374" s="80">
        <v>0</v>
      </c>
      <c r="J374" s="80">
        <v>0</v>
      </c>
      <c r="K374" s="80"/>
      <c r="L374" s="80">
        <v>0</v>
      </c>
    </row>
    <row r="375" spans="1:12" ht="26.25" x14ac:dyDescent="0.25">
      <c r="A375" s="16"/>
      <c r="B375" s="6" t="s">
        <v>280</v>
      </c>
      <c r="C375" s="3" t="s">
        <v>281</v>
      </c>
      <c r="D375" s="80">
        <v>0</v>
      </c>
      <c r="E375" s="80">
        <v>126.3</v>
      </c>
      <c r="F375" s="80">
        <v>126.3</v>
      </c>
      <c r="G375" s="80">
        <v>0</v>
      </c>
      <c r="H375" s="80"/>
      <c r="I375" s="80">
        <v>0</v>
      </c>
      <c r="J375" s="80">
        <v>0</v>
      </c>
      <c r="K375" s="80"/>
      <c r="L375" s="80">
        <v>0</v>
      </c>
    </row>
    <row r="376" spans="1:12" ht="30.75" customHeight="1" x14ac:dyDescent="0.25">
      <c r="A376" s="33" t="s">
        <v>307</v>
      </c>
      <c r="B376" s="36"/>
      <c r="C376" s="20" t="s">
        <v>308</v>
      </c>
      <c r="D376" s="71">
        <f>D377+D379+D383+D381</f>
        <v>995.90000000000009</v>
      </c>
      <c r="E376" s="71">
        <f>E377+E379+E383+E381+E385</f>
        <v>0</v>
      </c>
      <c r="F376" s="71">
        <f>F377+F379+F383+F381+F385</f>
        <v>995.9</v>
      </c>
      <c r="G376" s="71">
        <f>G377+G379+G383+G381</f>
        <v>589.4</v>
      </c>
      <c r="H376" s="71"/>
      <c r="I376" s="71">
        <f>I377+I379+I383+I381</f>
        <v>589.4</v>
      </c>
      <c r="J376" s="71">
        <f>J377+J379+J383+J381</f>
        <v>1191.5999999999999</v>
      </c>
      <c r="K376" s="71"/>
      <c r="L376" s="71">
        <f>L377+L379+L383+L381</f>
        <v>1191.5999999999999</v>
      </c>
    </row>
    <row r="377" spans="1:12" x14ac:dyDescent="0.25">
      <c r="A377" s="6" t="s">
        <v>309</v>
      </c>
      <c r="B377" s="55"/>
      <c r="C377" s="3" t="s">
        <v>546</v>
      </c>
      <c r="D377" s="80">
        <f>D378</f>
        <v>238.1</v>
      </c>
      <c r="E377" s="80">
        <f>E378</f>
        <v>-32.243760000000002</v>
      </c>
      <c r="F377" s="80">
        <f>F378</f>
        <v>205.85623999999999</v>
      </c>
      <c r="G377" s="80">
        <f>G378</f>
        <v>431.4</v>
      </c>
      <c r="H377" s="80"/>
      <c r="I377" s="80">
        <f>I378</f>
        <v>431.4</v>
      </c>
      <c r="J377" s="80">
        <f>J378</f>
        <v>1191.5999999999999</v>
      </c>
      <c r="K377" s="80"/>
      <c r="L377" s="80">
        <f>L378</f>
        <v>1191.5999999999999</v>
      </c>
    </row>
    <row r="378" spans="1:12" s="91" customFormat="1" ht="26.25" x14ac:dyDescent="0.25">
      <c r="A378" s="12"/>
      <c r="B378" s="6" t="s">
        <v>280</v>
      </c>
      <c r="C378" s="3" t="s">
        <v>281</v>
      </c>
      <c r="D378" s="80">
        <v>238.1</v>
      </c>
      <c r="E378" s="80">
        <v>-32.243760000000002</v>
      </c>
      <c r="F378" s="80">
        <f>SUM(D378:E378)</f>
        <v>205.85623999999999</v>
      </c>
      <c r="G378" s="80">
        <v>431.4</v>
      </c>
      <c r="H378" s="80"/>
      <c r="I378" s="80">
        <v>431.4</v>
      </c>
      <c r="J378" s="80">
        <v>1191.5999999999999</v>
      </c>
      <c r="K378" s="80"/>
      <c r="L378" s="80">
        <v>1191.5999999999999</v>
      </c>
    </row>
    <row r="379" spans="1:12" x14ac:dyDescent="0.25">
      <c r="A379" s="6" t="s">
        <v>310</v>
      </c>
      <c r="B379" s="22"/>
      <c r="C379" s="54" t="s">
        <v>311</v>
      </c>
      <c r="D379" s="80">
        <f>D380</f>
        <v>195</v>
      </c>
      <c r="E379" s="80"/>
      <c r="F379" s="80">
        <f>F380</f>
        <v>195</v>
      </c>
      <c r="G379" s="80">
        <f>G380</f>
        <v>158</v>
      </c>
      <c r="H379" s="80"/>
      <c r="I379" s="80">
        <f>I380</f>
        <v>158</v>
      </c>
      <c r="J379" s="80">
        <f>J380</f>
        <v>0</v>
      </c>
      <c r="K379" s="80"/>
      <c r="L379" s="80">
        <f>L380</f>
        <v>0</v>
      </c>
    </row>
    <row r="380" spans="1:12" ht="26.25" x14ac:dyDescent="0.25">
      <c r="A380" s="6"/>
      <c r="B380" s="6" t="s">
        <v>280</v>
      </c>
      <c r="C380" s="3" t="s">
        <v>281</v>
      </c>
      <c r="D380" s="80">
        <v>195</v>
      </c>
      <c r="E380" s="80"/>
      <c r="F380" s="80">
        <v>195</v>
      </c>
      <c r="G380" s="80">
        <v>158</v>
      </c>
      <c r="H380" s="80"/>
      <c r="I380" s="80">
        <v>158</v>
      </c>
      <c r="J380" s="80">
        <v>0</v>
      </c>
      <c r="K380" s="80"/>
      <c r="L380" s="80">
        <v>0</v>
      </c>
    </row>
    <row r="381" spans="1:12" ht="26.25" x14ac:dyDescent="0.25">
      <c r="A381" s="6" t="s">
        <v>312</v>
      </c>
      <c r="B381" s="6"/>
      <c r="C381" s="3" t="s">
        <v>313</v>
      </c>
      <c r="D381" s="80">
        <v>22.5</v>
      </c>
      <c r="E381" s="80"/>
      <c r="F381" s="80">
        <v>22.5</v>
      </c>
      <c r="G381" s="80">
        <v>0</v>
      </c>
      <c r="H381" s="80"/>
      <c r="I381" s="80">
        <v>0</v>
      </c>
      <c r="J381" s="80">
        <v>0</v>
      </c>
      <c r="K381" s="80"/>
      <c r="L381" s="80">
        <v>0</v>
      </c>
    </row>
    <row r="382" spans="1:12" ht="26.25" x14ac:dyDescent="0.25">
      <c r="A382" s="6"/>
      <c r="B382" s="6" t="s">
        <v>280</v>
      </c>
      <c r="C382" s="3" t="s">
        <v>281</v>
      </c>
      <c r="D382" s="80">
        <v>22.5</v>
      </c>
      <c r="E382" s="80"/>
      <c r="F382" s="80">
        <v>22.5</v>
      </c>
      <c r="G382" s="80">
        <v>0</v>
      </c>
      <c r="H382" s="80"/>
      <c r="I382" s="80">
        <v>0</v>
      </c>
      <c r="J382" s="80">
        <v>0</v>
      </c>
      <c r="K382" s="80"/>
      <c r="L382" s="80">
        <v>0</v>
      </c>
    </row>
    <row r="383" spans="1:12" ht="26.25" x14ac:dyDescent="0.25">
      <c r="A383" s="6" t="s">
        <v>314</v>
      </c>
      <c r="B383" s="22"/>
      <c r="C383" s="54" t="s">
        <v>315</v>
      </c>
      <c r="D383" s="80">
        <f>D384</f>
        <v>540.30000000000007</v>
      </c>
      <c r="E383" s="80"/>
      <c r="F383" s="80">
        <f>F384</f>
        <v>540.30000000000007</v>
      </c>
      <c r="G383" s="80">
        <v>0</v>
      </c>
      <c r="H383" s="80"/>
      <c r="I383" s="80">
        <v>0</v>
      </c>
      <c r="J383" s="80">
        <v>0</v>
      </c>
      <c r="K383" s="80"/>
      <c r="L383" s="80">
        <v>0</v>
      </c>
    </row>
    <row r="384" spans="1:12" s="91" customFormat="1" ht="26.25" x14ac:dyDescent="0.25">
      <c r="A384" s="18"/>
      <c r="B384" s="6" t="s">
        <v>280</v>
      </c>
      <c r="C384" s="3" t="s">
        <v>281</v>
      </c>
      <c r="D384" s="80">
        <f>1080.7-540.4</f>
        <v>540.30000000000007</v>
      </c>
      <c r="E384" s="80"/>
      <c r="F384" s="80">
        <f>1080.7-540.4</f>
        <v>540.30000000000007</v>
      </c>
      <c r="G384" s="80">
        <v>0</v>
      </c>
      <c r="H384" s="80"/>
      <c r="I384" s="80">
        <v>0</v>
      </c>
      <c r="J384" s="80">
        <v>0</v>
      </c>
      <c r="K384" s="80"/>
      <c r="L384" s="80">
        <v>0</v>
      </c>
    </row>
    <row r="385" spans="1:12" s="91" customFormat="1" ht="26.25" x14ac:dyDescent="0.25">
      <c r="A385" s="6" t="s">
        <v>899</v>
      </c>
      <c r="B385" s="6"/>
      <c r="C385" s="3" t="s">
        <v>898</v>
      </c>
      <c r="D385" s="80">
        <v>0</v>
      </c>
      <c r="E385" s="80">
        <f>E386</f>
        <v>32.243760000000002</v>
      </c>
      <c r="F385" s="80">
        <f>F386</f>
        <v>32.243760000000002</v>
      </c>
      <c r="G385" s="80">
        <v>0</v>
      </c>
      <c r="H385" s="80"/>
      <c r="I385" s="80">
        <v>0</v>
      </c>
      <c r="J385" s="80">
        <v>0</v>
      </c>
      <c r="K385" s="80"/>
      <c r="L385" s="80">
        <v>0</v>
      </c>
    </row>
    <row r="386" spans="1:12" s="91" customFormat="1" ht="26.25" x14ac:dyDescent="0.25">
      <c r="A386" s="18"/>
      <c r="B386" s="6" t="s">
        <v>280</v>
      </c>
      <c r="C386" s="3" t="s">
        <v>281</v>
      </c>
      <c r="D386" s="80">
        <v>0</v>
      </c>
      <c r="E386" s="80">
        <v>32.243760000000002</v>
      </c>
      <c r="F386" s="80">
        <v>32.243760000000002</v>
      </c>
      <c r="G386" s="80">
        <v>0</v>
      </c>
      <c r="H386" s="80"/>
      <c r="I386" s="80">
        <v>0</v>
      </c>
      <c r="J386" s="80">
        <v>0</v>
      </c>
      <c r="K386" s="80"/>
      <c r="L386" s="80">
        <v>0</v>
      </c>
    </row>
    <row r="387" spans="1:12" ht="39" x14ac:dyDescent="0.25">
      <c r="A387" s="33" t="s">
        <v>316</v>
      </c>
      <c r="B387" s="36"/>
      <c r="C387" s="20" t="s">
        <v>472</v>
      </c>
      <c r="D387" s="71">
        <f t="shared" ref="D387:J388" si="65">D388</f>
        <v>113</v>
      </c>
      <c r="E387" s="71"/>
      <c r="F387" s="71">
        <f t="shared" si="65"/>
        <v>113</v>
      </c>
      <c r="G387" s="71">
        <f t="shared" si="65"/>
        <v>113</v>
      </c>
      <c r="H387" s="71"/>
      <c r="I387" s="71">
        <f t="shared" si="65"/>
        <v>113</v>
      </c>
      <c r="J387" s="71">
        <f t="shared" si="65"/>
        <v>113</v>
      </c>
      <c r="K387" s="71"/>
      <c r="L387" s="71">
        <f>L388</f>
        <v>113</v>
      </c>
    </row>
    <row r="388" spans="1:12" ht="38.25" x14ac:dyDescent="0.25">
      <c r="A388" s="16" t="s">
        <v>511</v>
      </c>
      <c r="B388" s="16"/>
      <c r="C388" s="1" t="s">
        <v>547</v>
      </c>
      <c r="D388" s="80">
        <f t="shared" si="65"/>
        <v>113</v>
      </c>
      <c r="E388" s="80"/>
      <c r="F388" s="80">
        <f t="shared" si="65"/>
        <v>113</v>
      </c>
      <c r="G388" s="80">
        <f t="shared" si="65"/>
        <v>113</v>
      </c>
      <c r="H388" s="80"/>
      <c r="I388" s="80">
        <f t="shared" si="65"/>
        <v>113</v>
      </c>
      <c r="J388" s="80">
        <f t="shared" si="65"/>
        <v>113</v>
      </c>
      <c r="K388" s="80"/>
      <c r="L388" s="80">
        <f>L389</f>
        <v>113</v>
      </c>
    </row>
    <row r="389" spans="1:12" ht="26.25" x14ac:dyDescent="0.25">
      <c r="A389" s="16"/>
      <c r="B389" s="6" t="s">
        <v>280</v>
      </c>
      <c r="C389" s="3" t="s">
        <v>281</v>
      </c>
      <c r="D389" s="80">
        <v>113</v>
      </c>
      <c r="E389" s="80"/>
      <c r="F389" s="80">
        <v>113</v>
      </c>
      <c r="G389" s="80">
        <v>113</v>
      </c>
      <c r="H389" s="80"/>
      <c r="I389" s="80">
        <v>113</v>
      </c>
      <c r="J389" s="80">
        <v>113</v>
      </c>
      <c r="K389" s="80"/>
      <c r="L389" s="80">
        <v>113</v>
      </c>
    </row>
    <row r="390" spans="1:12" ht="26.25" x14ac:dyDescent="0.25">
      <c r="A390" s="33" t="s">
        <v>548</v>
      </c>
      <c r="B390" s="33"/>
      <c r="C390" s="20" t="s">
        <v>549</v>
      </c>
      <c r="D390" s="71">
        <f t="shared" ref="D390:F391" si="66">D391</f>
        <v>16727.711620000002</v>
      </c>
      <c r="E390" s="71">
        <f>E391</f>
        <v>1522.78838</v>
      </c>
      <c r="F390" s="71">
        <f t="shared" si="66"/>
        <v>18250.5</v>
      </c>
      <c r="G390" s="71">
        <f t="shared" ref="G390:I391" si="67">G391</f>
        <v>17229.099999999999</v>
      </c>
      <c r="H390" s="71"/>
      <c r="I390" s="71">
        <f t="shared" si="67"/>
        <v>17229.099999999999</v>
      </c>
      <c r="J390" s="71">
        <f t="shared" ref="J390:L391" si="68">J391</f>
        <v>18250.5</v>
      </c>
      <c r="K390" s="71"/>
      <c r="L390" s="71">
        <f t="shared" si="68"/>
        <v>18250.5</v>
      </c>
    </row>
    <row r="391" spans="1:12" ht="25.5" x14ac:dyDescent="0.25">
      <c r="A391" s="6" t="s">
        <v>550</v>
      </c>
      <c r="B391" s="6"/>
      <c r="C391" s="21" t="s">
        <v>673</v>
      </c>
      <c r="D391" s="70">
        <f t="shared" si="66"/>
        <v>16727.711620000002</v>
      </c>
      <c r="E391" s="70">
        <f>E392</f>
        <v>1522.78838</v>
      </c>
      <c r="F391" s="70">
        <f t="shared" si="66"/>
        <v>18250.5</v>
      </c>
      <c r="G391" s="70">
        <f t="shared" si="67"/>
        <v>17229.099999999999</v>
      </c>
      <c r="H391" s="70"/>
      <c r="I391" s="70">
        <f t="shared" si="67"/>
        <v>17229.099999999999</v>
      </c>
      <c r="J391" s="70">
        <f t="shared" si="68"/>
        <v>18250.5</v>
      </c>
      <c r="K391" s="70"/>
      <c r="L391" s="70">
        <f t="shared" si="68"/>
        <v>18250.5</v>
      </c>
    </row>
    <row r="392" spans="1:12" ht="25.5" x14ac:dyDescent="0.25">
      <c r="A392" s="6"/>
      <c r="B392" s="6" t="s">
        <v>470</v>
      </c>
      <c r="C392" s="1" t="s">
        <v>471</v>
      </c>
      <c r="D392" s="70">
        <v>16727.711620000002</v>
      </c>
      <c r="E392" s="70">
        <v>1522.78838</v>
      </c>
      <c r="F392" s="70">
        <f>SUM(D392:E392)</f>
        <v>18250.5</v>
      </c>
      <c r="G392" s="70">
        <v>17229.099999999999</v>
      </c>
      <c r="H392" s="70"/>
      <c r="I392" s="70">
        <v>17229.099999999999</v>
      </c>
      <c r="J392" s="70">
        <v>18250.5</v>
      </c>
      <c r="K392" s="70"/>
      <c r="L392" s="70">
        <v>18250.5</v>
      </c>
    </row>
    <row r="393" spans="1:12" ht="26.25" x14ac:dyDescent="0.25">
      <c r="A393" s="31" t="s">
        <v>317</v>
      </c>
      <c r="B393" s="31"/>
      <c r="C393" s="52" t="s">
        <v>318</v>
      </c>
      <c r="D393" s="75">
        <f t="shared" ref="D393:J393" si="69">D394+D408</f>
        <v>12275.012230000002</v>
      </c>
      <c r="E393" s="75">
        <f t="shared" ref="E393" si="70">E394+E408</f>
        <v>764.59999999999991</v>
      </c>
      <c r="F393" s="75">
        <f t="shared" si="69"/>
        <v>13039.612230000001</v>
      </c>
      <c r="G393" s="75">
        <f t="shared" si="69"/>
        <v>13408.183150000001</v>
      </c>
      <c r="H393" s="75">
        <f t="shared" ref="H393" si="71">H394+H408</f>
        <v>833.13653999999997</v>
      </c>
      <c r="I393" s="75">
        <f t="shared" si="69"/>
        <v>14241.31969</v>
      </c>
      <c r="J393" s="75">
        <f t="shared" si="69"/>
        <v>0</v>
      </c>
      <c r="K393" s="75"/>
      <c r="L393" s="75">
        <f>L394+L408</f>
        <v>0</v>
      </c>
    </row>
    <row r="394" spans="1:12" ht="39" x14ac:dyDescent="0.25">
      <c r="A394" s="33" t="s">
        <v>319</v>
      </c>
      <c r="B394" s="33"/>
      <c r="C394" s="20" t="s">
        <v>320</v>
      </c>
      <c r="D394" s="71">
        <f>D395+D398+D400+D402+D406</f>
        <v>11141.312230000001</v>
      </c>
      <c r="E394" s="71">
        <f>E395+E398+E400+E402+E406</f>
        <v>425.4</v>
      </c>
      <c r="F394" s="71">
        <f>F395+F398+F400+F402+F406</f>
        <v>11566.712230000001</v>
      </c>
      <c r="G394" s="71">
        <f>G395+G398+G400+G402</f>
        <v>5189.1831499999998</v>
      </c>
      <c r="H394" s="71">
        <f>H395+H398+H400+H402</f>
        <v>833.13653999999997</v>
      </c>
      <c r="I394" s="71">
        <f>I395+I398+I400+I402</f>
        <v>6022.3196900000003</v>
      </c>
      <c r="J394" s="71">
        <f>J395+J398+J400+J402</f>
        <v>0</v>
      </c>
      <c r="K394" s="71"/>
      <c r="L394" s="71">
        <f>L395+L398+L400+L402</f>
        <v>0</v>
      </c>
    </row>
    <row r="395" spans="1:12" s="91" customFormat="1" ht="26.25" x14ac:dyDescent="0.25">
      <c r="A395" s="6" t="s">
        <v>321</v>
      </c>
      <c r="B395" s="6"/>
      <c r="C395" s="54" t="s">
        <v>322</v>
      </c>
      <c r="D395" s="80">
        <f>D396+D397</f>
        <v>6314.3</v>
      </c>
      <c r="E395" s="80"/>
      <c r="F395" s="80">
        <f>F396+F397</f>
        <v>6314.3</v>
      </c>
      <c r="G395" s="80">
        <f>G396</f>
        <v>0</v>
      </c>
      <c r="H395" s="80"/>
      <c r="I395" s="80">
        <f>I396</f>
        <v>0</v>
      </c>
      <c r="J395" s="80">
        <f>J396</f>
        <v>0</v>
      </c>
      <c r="K395" s="80"/>
      <c r="L395" s="80">
        <f>L396</f>
        <v>0</v>
      </c>
    </row>
    <row r="396" spans="1:12" ht="26.25" x14ac:dyDescent="0.25">
      <c r="A396" s="12"/>
      <c r="B396" s="6" t="s">
        <v>280</v>
      </c>
      <c r="C396" s="3" t="s">
        <v>281</v>
      </c>
      <c r="D396" s="80">
        <v>6024.3</v>
      </c>
      <c r="E396" s="70"/>
      <c r="F396" s="80">
        <f>SUM(D396:E396)</f>
        <v>6024.3</v>
      </c>
      <c r="G396" s="80">
        <v>0</v>
      </c>
      <c r="H396" s="80"/>
      <c r="I396" s="80">
        <v>0</v>
      </c>
      <c r="J396" s="80">
        <f>3880.1-3880.1</f>
        <v>0</v>
      </c>
      <c r="K396" s="80"/>
      <c r="L396" s="80">
        <f>3880.1-3880.1</f>
        <v>0</v>
      </c>
    </row>
    <row r="397" spans="1:12" ht="25.5" x14ac:dyDescent="0.25">
      <c r="A397" s="12"/>
      <c r="B397" s="6" t="s">
        <v>470</v>
      </c>
      <c r="C397" s="1" t="s">
        <v>471</v>
      </c>
      <c r="D397" s="70">
        <v>290</v>
      </c>
      <c r="E397" s="70"/>
      <c r="F397" s="80">
        <v>290</v>
      </c>
      <c r="G397" s="80">
        <v>0</v>
      </c>
      <c r="H397" s="80"/>
      <c r="I397" s="80">
        <v>0</v>
      </c>
      <c r="J397" s="80">
        <v>0</v>
      </c>
      <c r="K397" s="80"/>
      <c r="L397" s="80">
        <v>0</v>
      </c>
    </row>
    <row r="398" spans="1:12" ht="39" x14ac:dyDescent="0.25">
      <c r="A398" s="6" t="s">
        <v>459</v>
      </c>
      <c r="B398" s="6"/>
      <c r="C398" s="3" t="s">
        <v>323</v>
      </c>
      <c r="D398" s="70">
        <f>D399</f>
        <v>598</v>
      </c>
      <c r="E398" s="70">
        <f>E399</f>
        <v>425.4</v>
      </c>
      <c r="F398" s="70">
        <f>F399</f>
        <v>1023.4</v>
      </c>
      <c r="G398" s="70">
        <f>G399</f>
        <v>0</v>
      </c>
      <c r="H398" s="70"/>
      <c r="I398" s="70">
        <f>I399</f>
        <v>0</v>
      </c>
      <c r="J398" s="70">
        <f>J399</f>
        <v>0</v>
      </c>
      <c r="K398" s="70"/>
      <c r="L398" s="70">
        <f>L399</f>
        <v>0</v>
      </c>
    </row>
    <row r="399" spans="1:12" ht="26.25" x14ac:dyDescent="0.25">
      <c r="A399" s="6"/>
      <c r="B399" s="6" t="s">
        <v>280</v>
      </c>
      <c r="C399" s="3" t="s">
        <v>281</v>
      </c>
      <c r="D399" s="70">
        <f>107.6+598-107.6</f>
        <v>598</v>
      </c>
      <c r="E399" s="70">
        <v>425.4</v>
      </c>
      <c r="F399" s="70">
        <f>SUM(D399:E399)</f>
        <v>1023.4</v>
      </c>
      <c r="G399" s="70">
        <v>0</v>
      </c>
      <c r="H399" s="70"/>
      <c r="I399" s="70">
        <v>0</v>
      </c>
      <c r="J399" s="70">
        <v>0</v>
      </c>
      <c r="K399" s="70"/>
      <c r="L399" s="70">
        <v>0</v>
      </c>
    </row>
    <row r="400" spans="1:12" x14ac:dyDescent="0.25">
      <c r="A400" s="16" t="s">
        <v>672</v>
      </c>
      <c r="B400" s="18"/>
      <c r="C400" s="1" t="s">
        <v>502</v>
      </c>
      <c r="D400" s="80">
        <f>D401</f>
        <v>356.8</v>
      </c>
      <c r="E400" s="80"/>
      <c r="F400" s="80">
        <f>F401</f>
        <v>356.8</v>
      </c>
      <c r="G400" s="80">
        <v>0</v>
      </c>
      <c r="H400" s="80"/>
      <c r="I400" s="80">
        <v>0</v>
      </c>
      <c r="J400" s="80">
        <v>0</v>
      </c>
      <c r="K400" s="80"/>
      <c r="L400" s="80">
        <v>0</v>
      </c>
    </row>
    <row r="401" spans="1:12" ht="26.25" x14ac:dyDescent="0.25">
      <c r="A401" s="16"/>
      <c r="B401" s="6" t="s">
        <v>280</v>
      </c>
      <c r="C401" s="3" t="s">
        <v>281</v>
      </c>
      <c r="D401" s="80">
        <v>356.8</v>
      </c>
      <c r="E401" s="80"/>
      <c r="F401" s="80">
        <f>SUM(D401:E401)</f>
        <v>356.8</v>
      </c>
      <c r="G401" s="80">
        <v>0</v>
      </c>
      <c r="H401" s="80"/>
      <c r="I401" s="80">
        <v>0</v>
      </c>
      <c r="J401" s="80">
        <v>0</v>
      </c>
      <c r="K401" s="80"/>
      <c r="L401" s="80">
        <v>0</v>
      </c>
    </row>
    <row r="402" spans="1:12" s="91" customFormat="1" ht="51" x14ac:dyDescent="0.25">
      <c r="A402" s="6" t="s">
        <v>917</v>
      </c>
      <c r="B402" s="6"/>
      <c r="C402" s="1" t="s">
        <v>503</v>
      </c>
      <c r="D402" s="80">
        <f>D403</f>
        <v>3615.5122299999998</v>
      </c>
      <c r="E402" s="80"/>
      <c r="F402" s="80">
        <f>F403</f>
        <v>3615.5122299999998</v>
      </c>
      <c r="G402" s="80">
        <f>G403</f>
        <v>5189.1831499999998</v>
      </c>
      <c r="H402" s="80">
        <f>H403</f>
        <v>833.13653999999997</v>
      </c>
      <c r="I402" s="80">
        <f>I403</f>
        <v>6022.3196900000003</v>
      </c>
      <c r="J402" s="80">
        <v>0</v>
      </c>
      <c r="K402" s="80"/>
      <c r="L402" s="80">
        <v>0</v>
      </c>
    </row>
    <row r="403" spans="1:12" ht="26.25" x14ac:dyDescent="0.25">
      <c r="A403" s="16"/>
      <c r="B403" s="6" t="s">
        <v>280</v>
      </c>
      <c r="C403" s="3" t="s">
        <v>281</v>
      </c>
      <c r="D403" s="80">
        <f>D404+D405</f>
        <v>3615.5122299999998</v>
      </c>
      <c r="E403" s="80"/>
      <c r="F403" s="80">
        <f>F404+F405</f>
        <v>3615.5122299999998</v>
      </c>
      <c r="G403" s="80">
        <f>G404+G405</f>
        <v>5189.1831499999998</v>
      </c>
      <c r="H403" s="80">
        <f>H405</f>
        <v>833.13653999999997</v>
      </c>
      <c r="I403" s="80">
        <f>I404+I405</f>
        <v>6022.3196900000003</v>
      </c>
      <c r="J403" s="80">
        <v>0</v>
      </c>
      <c r="K403" s="80"/>
      <c r="L403" s="80">
        <v>0</v>
      </c>
    </row>
    <row r="404" spans="1:12" x14ac:dyDescent="0.25">
      <c r="A404" s="16"/>
      <c r="B404" s="6"/>
      <c r="C404" s="3" t="s">
        <v>152</v>
      </c>
      <c r="D404" s="80">
        <v>2711.6341699999998</v>
      </c>
      <c r="E404" s="80"/>
      <c r="F404" s="80">
        <v>2711.6341699999998</v>
      </c>
      <c r="G404" s="80">
        <v>3891.8873600000002</v>
      </c>
      <c r="H404" s="80"/>
      <c r="I404" s="80">
        <v>3891.8873600000002</v>
      </c>
      <c r="J404" s="80">
        <v>0</v>
      </c>
      <c r="K404" s="80"/>
      <c r="L404" s="80">
        <v>0</v>
      </c>
    </row>
    <row r="405" spans="1:12" x14ac:dyDescent="0.25">
      <c r="A405" s="16"/>
      <c r="B405" s="6"/>
      <c r="C405" s="19" t="s">
        <v>105</v>
      </c>
      <c r="D405" s="80">
        <v>903.87806</v>
      </c>
      <c r="E405" s="80"/>
      <c r="F405" s="80">
        <v>903.87806</v>
      </c>
      <c r="G405" s="80">
        <v>1297.2957899999999</v>
      </c>
      <c r="H405" s="80">
        <v>833.13653999999997</v>
      </c>
      <c r="I405" s="80">
        <f>SUM(G405:H405)</f>
        <v>2130.4323299999996</v>
      </c>
      <c r="J405" s="80">
        <v>0</v>
      </c>
      <c r="K405" s="80"/>
      <c r="L405" s="80">
        <v>0</v>
      </c>
    </row>
    <row r="406" spans="1:12" ht="26.25" x14ac:dyDescent="0.25">
      <c r="A406" s="22" t="s">
        <v>839</v>
      </c>
      <c r="B406" s="22"/>
      <c r="C406" s="54" t="s">
        <v>885</v>
      </c>
      <c r="D406" s="80">
        <f>D407</f>
        <v>256.7</v>
      </c>
      <c r="E406" s="80"/>
      <c r="F406" s="80">
        <f>F407</f>
        <v>256.7</v>
      </c>
      <c r="G406" s="80">
        <f>G407</f>
        <v>0</v>
      </c>
      <c r="H406" s="80"/>
      <c r="I406" s="80">
        <f>I407</f>
        <v>0</v>
      </c>
      <c r="J406" s="80">
        <f>J407</f>
        <v>0</v>
      </c>
      <c r="K406" s="80"/>
      <c r="L406" s="80">
        <f>L407</f>
        <v>0</v>
      </c>
    </row>
    <row r="407" spans="1:12" ht="26.25" x14ac:dyDescent="0.25">
      <c r="A407" s="22"/>
      <c r="B407" s="22" t="s">
        <v>280</v>
      </c>
      <c r="C407" s="54" t="s">
        <v>281</v>
      </c>
      <c r="D407" s="80">
        <v>256.7</v>
      </c>
      <c r="E407" s="80"/>
      <c r="F407" s="80">
        <v>256.7</v>
      </c>
      <c r="G407" s="80">
        <v>0</v>
      </c>
      <c r="H407" s="80"/>
      <c r="I407" s="80">
        <v>0</v>
      </c>
      <c r="J407" s="80">
        <v>0</v>
      </c>
      <c r="K407" s="80"/>
      <c r="L407" s="80">
        <v>0</v>
      </c>
    </row>
    <row r="408" spans="1:12" ht="26.25" x14ac:dyDescent="0.25">
      <c r="A408" s="33" t="s">
        <v>324</v>
      </c>
      <c r="B408" s="33"/>
      <c r="C408" s="20" t="s">
        <v>325</v>
      </c>
      <c r="D408" s="71">
        <f>D409+D411</f>
        <v>1133.7</v>
      </c>
      <c r="E408" s="71">
        <f>E411</f>
        <v>339.2</v>
      </c>
      <c r="F408" s="71">
        <f t="shared" ref="F408:L408" si="72">F409+F411</f>
        <v>1472.9</v>
      </c>
      <c r="G408" s="71">
        <f t="shared" si="72"/>
        <v>8219</v>
      </c>
      <c r="H408" s="71"/>
      <c r="I408" s="71">
        <f t="shared" si="72"/>
        <v>8219</v>
      </c>
      <c r="J408" s="71">
        <f t="shared" si="72"/>
        <v>0</v>
      </c>
      <c r="K408" s="71"/>
      <c r="L408" s="71">
        <f t="shared" si="72"/>
        <v>0</v>
      </c>
    </row>
    <row r="409" spans="1:12" ht="25.5" x14ac:dyDescent="0.25">
      <c r="A409" s="6" t="s">
        <v>326</v>
      </c>
      <c r="B409" s="16"/>
      <c r="C409" s="1" t="s">
        <v>327</v>
      </c>
      <c r="D409" s="70">
        <f>D410</f>
        <v>1133.7</v>
      </c>
      <c r="E409" s="70"/>
      <c r="F409" s="70">
        <f>F410</f>
        <v>1133.7</v>
      </c>
      <c r="G409" s="70">
        <f>G410</f>
        <v>0</v>
      </c>
      <c r="H409" s="70"/>
      <c r="I409" s="70">
        <f>I410</f>
        <v>0</v>
      </c>
      <c r="J409" s="70">
        <f>J410</f>
        <v>0</v>
      </c>
      <c r="K409" s="70"/>
      <c r="L409" s="70">
        <f>L410</f>
        <v>0</v>
      </c>
    </row>
    <row r="410" spans="1:12" ht="26.25" x14ac:dyDescent="0.25">
      <c r="A410" s="6"/>
      <c r="B410" s="6" t="s">
        <v>280</v>
      </c>
      <c r="C410" s="3" t="s">
        <v>281</v>
      </c>
      <c r="D410" s="70">
        <v>1133.7</v>
      </c>
      <c r="E410" s="70"/>
      <c r="F410" s="70">
        <v>1133.7</v>
      </c>
      <c r="G410" s="70">
        <v>0</v>
      </c>
      <c r="H410" s="70"/>
      <c r="I410" s="70">
        <v>0</v>
      </c>
      <c r="J410" s="70">
        <v>0</v>
      </c>
      <c r="K410" s="70"/>
      <c r="L410" s="70">
        <v>0</v>
      </c>
    </row>
    <row r="411" spans="1:12" x14ac:dyDescent="0.25">
      <c r="A411" s="6" t="s">
        <v>865</v>
      </c>
      <c r="B411" s="4"/>
      <c r="C411" s="19" t="s">
        <v>866</v>
      </c>
      <c r="D411" s="70">
        <v>0</v>
      </c>
      <c r="E411" s="70">
        <f>E412</f>
        <v>339.2</v>
      </c>
      <c r="F411" s="70">
        <f>F412</f>
        <v>339.2</v>
      </c>
      <c r="G411" s="70">
        <f>G412</f>
        <v>8219</v>
      </c>
      <c r="H411" s="70"/>
      <c r="I411" s="70">
        <f>I412</f>
        <v>8219</v>
      </c>
      <c r="J411" s="70">
        <v>0</v>
      </c>
      <c r="K411" s="70"/>
      <c r="L411" s="70">
        <v>0</v>
      </c>
    </row>
    <row r="412" spans="1:12" ht="26.25" x14ac:dyDescent="0.25">
      <c r="A412" s="6"/>
      <c r="B412" s="6" t="s">
        <v>280</v>
      </c>
      <c r="C412" s="3" t="s">
        <v>281</v>
      </c>
      <c r="D412" s="70">
        <v>0</v>
      </c>
      <c r="E412" s="70">
        <v>339.2</v>
      </c>
      <c r="F412" s="70">
        <v>339.2</v>
      </c>
      <c r="G412" s="70">
        <v>8219</v>
      </c>
      <c r="H412" s="70"/>
      <c r="I412" s="70">
        <v>8219</v>
      </c>
      <c r="J412" s="70">
        <v>0</v>
      </c>
      <c r="K412" s="70"/>
      <c r="L412" s="70">
        <v>0</v>
      </c>
    </row>
    <row r="413" spans="1:12" ht="26.25" x14ac:dyDescent="0.25">
      <c r="A413" s="29" t="s">
        <v>328</v>
      </c>
      <c r="B413" s="29"/>
      <c r="C413" s="37" t="s">
        <v>329</v>
      </c>
      <c r="D413" s="72">
        <f t="shared" ref="D413:J413" si="73">D414+D444+D448</f>
        <v>112771.58245</v>
      </c>
      <c r="E413" s="72">
        <f t="shared" si="73"/>
        <v>949.7</v>
      </c>
      <c r="F413" s="72">
        <f t="shared" si="73"/>
        <v>113721.28245000001</v>
      </c>
      <c r="G413" s="72">
        <f t="shared" si="73"/>
        <v>108259.35175</v>
      </c>
      <c r="H413" s="72">
        <f t="shared" si="73"/>
        <v>660.7</v>
      </c>
      <c r="I413" s="72">
        <f t="shared" si="73"/>
        <v>108920.05175</v>
      </c>
      <c r="J413" s="72">
        <f t="shared" si="73"/>
        <v>58326.899999999994</v>
      </c>
      <c r="K413" s="72"/>
      <c r="L413" s="72">
        <f>L414+L444+L448</f>
        <v>58326.899999999994</v>
      </c>
    </row>
    <row r="414" spans="1:12" ht="26.25" x14ac:dyDescent="0.25">
      <c r="A414" s="31" t="s">
        <v>330</v>
      </c>
      <c r="B414" s="31"/>
      <c r="C414" s="32" t="s">
        <v>331</v>
      </c>
      <c r="D414" s="75">
        <f>D415+D418+D423+D426+D435+D438</f>
        <v>103480.07</v>
      </c>
      <c r="E414" s="75">
        <f t="shared" ref="E414:L414" si="74">E415+E418+E423+E426+E435+E438</f>
        <v>509.8</v>
      </c>
      <c r="F414" s="75">
        <f t="shared" si="74"/>
        <v>103989.87000000001</v>
      </c>
      <c r="G414" s="75">
        <f t="shared" si="74"/>
        <v>104452.15175</v>
      </c>
      <c r="H414" s="75"/>
      <c r="I414" s="75">
        <f t="shared" si="74"/>
        <v>104452.15175</v>
      </c>
      <c r="J414" s="75">
        <f t="shared" si="74"/>
        <v>58326.899999999994</v>
      </c>
      <c r="K414" s="75"/>
      <c r="L414" s="75">
        <f t="shared" si="74"/>
        <v>58326.899999999994</v>
      </c>
    </row>
    <row r="415" spans="1:12" x14ac:dyDescent="0.25">
      <c r="A415" s="33" t="s">
        <v>332</v>
      </c>
      <c r="B415" s="33"/>
      <c r="C415" s="34" t="s">
        <v>333</v>
      </c>
      <c r="D415" s="71">
        <f>D416</f>
        <v>516</v>
      </c>
      <c r="E415" s="71"/>
      <c r="F415" s="71">
        <f>F416</f>
        <v>516</v>
      </c>
      <c r="G415" s="71">
        <f>G416</f>
        <v>516</v>
      </c>
      <c r="H415" s="71"/>
      <c r="I415" s="71">
        <f>I416</f>
        <v>516</v>
      </c>
      <c r="J415" s="71">
        <f>J416</f>
        <v>0</v>
      </c>
      <c r="K415" s="71"/>
      <c r="L415" s="71">
        <f>L416</f>
        <v>0</v>
      </c>
    </row>
    <row r="416" spans="1:12" ht="26.25" x14ac:dyDescent="0.25">
      <c r="A416" s="6" t="s">
        <v>334</v>
      </c>
      <c r="B416" s="12"/>
      <c r="C416" s="3" t="s">
        <v>553</v>
      </c>
      <c r="D416" s="70">
        <f>D417</f>
        <v>516</v>
      </c>
      <c r="E416" s="70"/>
      <c r="F416" s="70">
        <f>F417</f>
        <v>516</v>
      </c>
      <c r="G416" s="70">
        <f>G417</f>
        <v>516</v>
      </c>
      <c r="H416" s="70"/>
      <c r="I416" s="70">
        <f>I417</f>
        <v>516</v>
      </c>
      <c r="J416" s="70">
        <f>J417</f>
        <v>0</v>
      </c>
      <c r="K416" s="70"/>
      <c r="L416" s="70">
        <f>L417</f>
        <v>0</v>
      </c>
    </row>
    <row r="417" spans="1:12" ht="26.25" x14ac:dyDescent="0.25">
      <c r="A417" s="6"/>
      <c r="B417" s="6" t="s">
        <v>280</v>
      </c>
      <c r="C417" s="3" t="s">
        <v>281</v>
      </c>
      <c r="D417" s="70">
        <v>516</v>
      </c>
      <c r="E417" s="70"/>
      <c r="F417" s="70">
        <v>516</v>
      </c>
      <c r="G417" s="70">
        <v>516</v>
      </c>
      <c r="H417" s="70"/>
      <c r="I417" s="70">
        <v>516</v>
      </c>
      <c r="J417" s="70">
        <v>0</v>
      </c>
      <c r="K417" s="70"/>
      <c r="L417" s="70">
        <v>0</v>
      </c>
    </row>
    <row r="418" spans="1:12" x14ac:dyDescent="0.25">
      <c r="A418" s="33" t="s">
        <v>851</v>
      </c>
      <c r="B418" s="33"/>
      <c r="C418" s="34" t="s">
        <v>852</v>
      </c>
      <c r="D418" s="71">
        <f>D419+D421</f>
        <v>3220.5</v>
      </c>
      <c r="E418" s="71">
        <f>E419+E421</f>
        <v>0</v>
      </c>
      <c r="F418" s="71">
        <f>F419+F421</f>
        <v>3220.5</v>
      </c>
      <c r="G418" s="71">
        <f>G419</f>
        <v>0</v>
      </c>
      <c r="H418" s="71"/>
      <c r="I418" s="71">
        <f>I419</f>
        <v>0</v>
      </c>
      <c r="J418" s="71">
        <f>J419</f>
        <v>0</v>
      </c>
      <c r="K418" s="71"/>
      <c r="L418" s="71">
        <f>L419</f>
        <v>0</v>
      </c>
    </row>
    <row r="419" spans="1:12" ht="26.25" x14ac:dyDescent="0.25">
      <c r="A419" s="6" t="s">
        <v>853</v>
      </c>
      <c r="B419" s="12"/>
      <c r="C419" s="3" t="s">
        <v>854</v>
      </c>
      <c r="D419" s="70">
        <f>D420</f>
        <v>3150</v>
      </c>
      <c r="E419" s="70"/>
      <c r="F419" s="70">
        <f>F420</f>
        <v>3150</v>
      </c>
      <c r="G419" s="70">
        <f>G420</f>
        <v>0</v>
      </c>
      <c r="H419" s="70"/>
      <c r="I419" s="70">
        <f>I420</f>
        <v>0</v>
      </c>
      <c r="J419" s="70">
        <f>J420</f>
        <v>0</v>
      </c>
      <c r="K419" s="70"/>
      <c r="L419" s="70">
        <f>L420</f>
        <v>0</v>
      </c>
    </row>
    <row r="420" spans="1:12" ht="26.25" x14ac:dyDescent="0.25">
      <c r="A420" s="6"/>
      <c r="B420" s="6" t="s">
        <v>280</v>
      </c>
      <c r="C420" s="3" t="s">
        <v>281</v>
      </c>
      <c r="D420" s="70">
        <v>3150</v>
      </c>
      <c r="E420" s="70"/>
      <c r="F420" s="70">
        <v>3150</v>
      </c>
      <c r="G420" s="70">
        <v>0</v>
      </c>
      <c r="H420" s="70"/>
      <c r="I420" s="70">
        <v>0</v>
      </c>
      <c r="J420" s="70">
        <v>0</v>
      </c>
      <c r="K420" s="70"/>
      <c r="L420" s="70">
        <v>0</v>
      </c>
    </row>
    <row r="421" spans="1:12" ht="51.75" x14ac:dyDescent="0.25">
      <c r="A421" s="6" t="s">
        <v>874</v>
      </c>
      <c r="B421" s="6"/>
      <c r="C421" s="3" t="s">
        <v>875</v>
      </c>
      <c r="D421" s="70">
        <f>D422</f>
        <v>70.5</v>
      </c>
      <c r="E421" s="70"/>
      <c r="F421" s="70">
        <f>F422</f>
        <v>70.5</v>
      </c>
      <c r="G421" s="70">
        <v>0</v>
      </c>
      <c r="H421" s="70"/>
      <c r="I421" s="70">
        <v>0</v>
      </c>
      <c r="J421" s="70">
        <v>0</v>
      </c>
      <c r="K421" s="70"/>
      <c r="L421" s="70">
        <v>0</v>
      </c>
    </row>
    <row r="422" spans="1:12" ht="26.25" x14ac:dyDescent="0.25">
      <c r="A422" s="6"/>
      <c r="B422" s="6" t="s">
        <v>280</v>
      </c>
      <c r="C422" s="3" t="s">
        <v>281</v>
      </c>
      <c r="D422" s="70">
        <v>70.5</v>
      </c>
      <c r="E422" s="70"/>
      <c r="F422" s="70">
        <v>70.5</v>
      </c>
      <c r="G422" s="70">
        <v>0</v>
      </c>
      <c r="H422" s="70"/>
      <c r="I422" s="70">
        <v>0</v>
      </c>
      <c r="J422" s="70">
        <v>0</v>
      </c>
      <c r="K422" s="70"/>
      <c r="L422" s="70">
        <v>0</v>
      </c>
    </row>
    <row r="423" spans="1:12" ht="26.25" x14ac:dyDescent="0.25">
      <c r="A423" s="33" t="s">
        <v>862</v>
      </c>
      <c r="B423" s="33"/>
      <c r="C423" s="34" t="s">
        <v>861</v>
      </c>
      <c r="D423" s="71">
        <f>D424</f>
        <v>974.9</v>
      </c>
      <c r="E423" s="71"/>
      <c r="F423" s="71">
        <f>F424</f>
        <v>974.9</v>
      </c>
      <c r="G423" s="71">
        <f>G424</f>
        <v>0</v>
      </c>
      <c r="H423" s="71"/>
      <c r="I423" s="71">
        <f>I424</f>
        <v>0</v>
      </c>
      <c r="J423" s="71">
        <f>J424</f>
        <v>0</v>
      </c>
      <c r="K423" s="71"/>
      <c r="L423" s="71">
        <f>L424</f>
        <v>0</v>
      </c>
    </row>
    <row r="424" spans="1:12" ht="25.5" x14ac:dyDescent="0.25">
      <c r="A424" s="4" t="s">
        <v>863</v>
      </c>
      <c r="B424" s="4"/>
      <c r="C424" s="5" t="s">
        <v>864</v>
      </c>
      <c r="D424" s="70">
        <f>D425</f>
        <v>974.9</v>
      </c>
      <c r="E424" s="70"/>
      <c r="F424" s="70">
        <f>F425</f>
        <v>974.9</v>
      </c>
      <c r="G424" s="70">
        <f>G425</f>
        <v>0</v>
      </c>
      <c r="H424" s="70"/>
      <c r="I424" s="70">
        <f>I425</f>
        <v>0</v>
      </c>
      <c r="J424" s="70">
        <f>J425</f>
        <v>0</v>
      </c>
      <c r="K424" s="70"/>
      <c r="L424" s="70">
        <f>L425</f>
        <v>0</v>
      </c>
    </row>
    <row r="425" spans="1:12" ht="26.25" x14ac:dyDescent="0.25">
      <c r="A425" s="6"/>
      <c r="B425" s="6" t="s">
        <v>280</v>
      </c>
      <c r="C425" s="3" t="s">
        <v>281</v>
      </c>
      <c r="D425" s="70">
        <v>974.9</v>
      </c>
      <c r="E425" s="70"/>
      <c r="F425" s="70">
        <v>974.9</v>
      </c>
      <c r="G425" s="70">
        <v>0</v>
      </c>
      <c r="H425" s="70"/>
      <c r="I425" s="70">
        <v>0</v>
      </c>
      <c r="J425" s="70">
        <v>0</v>
      </c>
      <c r="K425" s="70"/>
      <c r="L425" s="70">
        <v>0</v>
      </c>
    </row>
    <row r="426" spans="1:12" ht="26.25" x14ac:dyDescent="0.25">
      <c r="A426" s="33" t="s">
        <v>335</v>
      </c>
      <c r="B426" s="33"/>
      <c r="C426" s="34" t="s">
        <v>336</v>
      </c>
      <c r="D426" s="71">
        <f>D427+D431+D433</f>
        <v>34696</v>
      </c>
      <c r="E426" s="71">
        <f>E427+E431+E433</f>
        <v>0</v>
      </c>
      <c r="F426" s="71">
        <f>F427+F431+F433</f>
        <v>34696</v>
      </c>
      <c r="G426" s="71">
        <f>G427+G431+G433</f>
        <v>30690.3</v>
      </c>
      <c r="H426" s="71"/>
      <c r="I426" s="71">
        <f>I427+I431+I433</f>
        <v>30690.3</v>
      </c>
      <c r="J426" s="71">
        <f>J427+J431+J433</f>
        <v>29030.1</v>
      </c>
      <c r="K426" s="71"/>
      <c r="L426" s="71">
        <f>L427+L431+L433</f>
        <v>29030.1</v>
      </c>
    </row>
    <row r="427" spans="1:12" x14ac:dyDescent="0.25">
      <c r="A427" s="6" t="s">
        <v>337</v>
      </c>
      <c r="B427" s="12"/>
      <c r="C427" s="3" t="s">
        <v>554</v>
      </c>
      <c r="D427" s="70">
        <f>D429+D430</f>
        <v>29008.6</v>
      </c>
      <c r="E427" s="70"/>
      <c r="F427" s="70">
        <f>F429+F430</f>
        <v>29008.6</v>
      </c>
      <c r="G427" s="70">
        <f>G429+G430</f>
        <v>29030.1</v>
      </c>
      <c r="H427" s="70"/>
      <c r="I427" s="70">
        <f>I429+I430</f>
        <v>29030.1</v>
      </c>
      <c r="J427" s="70">
        <f>J429+J430</f>
        <v>29030.1</v>
      </c>
      <c r="K427" s="70"/>
      <c r="L427" s="70">
        <f>L429+L430</f>
        <v>29030.1</v>
      </c>
    </row>
    <row r="428" spans="1:12" ht="26.25" x14ac:dyDescent="0.25">
      <c r="A428" s="6"/>
      <c r="B428" s="6" t="s">
        <v>280</v>
      </c>
      <c r="C428" s="3" t="s">
        <v>281</v>
      </c>
      <c r="D428" s="70">
        <f>SUM(D429+D430)</f>
        <v>29008.6</v>
      </c>
      <c r="E428" s="70"/>
      <c r="F428" s="70">
        <f>SUM(F429+F430)</f>
        <v>29008.6</v>
      </c>
      <c r="G428" s="70">
        <f>G429+G430</f>
        <v>29030.1</v>
      </c>
      <c r="H428" s="70"/>
      <c r="I428" s="70">
        <f>I429+I430</f>
        <v>29030.1</v>
      </c>
      <c r="J428" s="70">
        <f>J429+J430</f>
        <v>29030.1</v>
      </c>
      <c r="K428" s="70"/>
      <c r="L428" s="70">
        <f>L429+L430</f>
        <v>29030.1</v>
      </c>
    </row>
    <row r="429" spans="1:12" x14ac:dyDescent="0.25">
      <c r="A429" s="6"/>
      <c r="B429" s="6"/>
      <c r="C429" s="3" t="s">
        <v>83</v>
      </c>
      <c r="D429" s="70">
        <v>26107.599999999999</v>
      </c>
      <c r="E429" s="70"/>
      <c r="F429" s="70">
        <v>26107.599999999999</v>
      </c>
      <c r="G429" s="70">
        <v>26127.1</v>
      </c>
      <c r="H429" s="70"/>
      <c r="I429" s="70">
        <v>26127.1</v>
      </c>
      <c r="J429" s="70">
        <v>26127.1</v>
      </c>
      <c r="K429" s="70"/>
      <c r="L429" s="70">
        <v>26127.1</v>
      </c>
    </row>
    <row r="430" spans="1:12" x14ac:dyDescent="0.25">
      <c r="A430" s="6"/>
      <c r="B430" s="6"/>
      <c r="C430" s="3" t="s">
        <v>150</v>
      </c>
      <c r="D430" s="70">
        <v>2901</v>
      </c>
      <c r="E430" s="70"/>
      <c r="F430" s="70">
        <v>2901</v>
      </c>
      <c r="G430" s="70">
        <v>2903</v>
      </c>
      <c r="H430" s="70"/>
      <c r="I430" s="70">
        <v>2903</v>
      </c>
      <c r="J430" s="70">
        <v>2903</v>
      </c>
      <c r="K430" s="70"/>
      <c r="L430" s="70">
        <v>2903</v>
      </c>
    </row>
    <row r="431" spans="1:12" x14ac:dyDescent="0.25">
      <c r="A431" s="6" t="s">
        <v>460</v>
      </c>
      <c r="B431" s="12"/>
      <c r="C431" s="3" t="s">
        <v>555</v>
      </c>
      <c r="D431" s="70">
        <f>D432</f>
        <v>4287.5</v>
      </c>
      <c r="E431" s="70"/>
      <c r="F431" s="70">
        <f>F432</f>
        <v>4287.5</v>
      </c>
      <c r="G431" s="70">
        <f>G432</f>
        <v>0</v>
      </c>
      <c r="H431" s="70"/>
      <c r="I431" s="70">
        <f>I432</f>
        <v>0</v>
      </c>
      <c r="J431" s="70">
        <f>J432</f>
        <v>0</v>
      </c>
      <c r="K431" s="70"/>
      <c r="L431" s="70">
        <f>L432</f>
        <v>0</v>
      </c>
    </row>
    <row r="432" spans="1:12" s="91" customFormat="1" ht="26.25" x14ac:dyDescent="0.25">
      <c r="A432" s="6"/>
      <c r="B432" s="6" t="s">
        <v>280</v>
      </c>
      <c r="C432" s="3" t="s">
        <v>281</v>
      </c>
      <c r="D432" s="70">
        <v>4287.5</v>
      </c>
      <c r="E432" s="70"/>
      <c r="F432" s="70">
        <v>4287.5</v>
      </c>
      <c r="G432" s="70">
        <v>0</v>
      </c>
      <c r="H432" s="70"/>
      <c r="I432" s="70">
        <v>0</v>
      </c>
      <c r="J432" s="70">
        <v>0</v>
      </c>
      <c r="K432" s="70"/>
      <c r="L432" s="70">
        <v>0</v>
      </c>
    </row>
    <row r="433" spans="1:12" x14ac:dyDescent="0.25">
      <c r="A433" s="6" t="s">
        <v>338</v>
      </c>
      <c r="B433" s="12"/>
      <c r="C433" s="3" t="s">
        <v>686</v>
      </c>
      <c r="D433" s="70">
        <f>D434</f>
        <v>1399.9</v>
      </c>
      <c r="E433" s="70"/>
      <c r="F433" s="70">
        <f>F434</f>
        <v>1399.9</v>
      </c>
      <c r="G433" s="70">
        <f>G434</f>
        <v>1660.2</v>
      </c>
      <c r="H433" s="70"/>
      <c r="I433" s="70">
        <f>I434</f>
        <v>1660.2</v>
      </c>
      <c r="J433" s="70">
        <v>0</v>
      </c>
      <c r="K433" s="70"/>
      <c r="L433" s="70">
        <v>0</v>
      </c>
    </row>
    <row r="434" spans="1:12" s="91" customFormat="1" ht="26.25" x14ac:dyDescent="0.25">
      <c r="A434" s="4"/>
      <c r="B434" s="6" t="s">
        <v>280</v>
      </c>
      <c r="C434" s="3" t="s">
        <v>281</v>
      </c>
      <c r="D434" s="70">
        <v>1399.9</v>
      </c>
      <c r="E434" s="70"/>
      <c r="F434" s="70">
        <f>SUM(D434:E434)</f>
        <v>1399.9</v>
      </c>
      <c r="G434" s="70">
        <v>1660.2</v>
      </c>
      <c r="H434" s="70"/>
      <c r="I434" s="70">
        <v>1660.2</v>
      </c>
      <c r="J434" s="70">
        <v>0</v>
      </c>
      <c r="K434" s="70"/>
      <c r="L434" s="70">
        <v>0</v>
      </c>
    </row>
    <row r="435" spans="1:12" x14ac:dyDescent="0.25">
      <c r="A435" s="33" t="s">
        <v>339</v>
      </c>
      <c r="B435" s="33"/>
      <c r="C435" s="34" t="s">
        <v>687</v>
      </c>
      <c r="D435" s="71">
        <f t="shared" ref="D435:J436" si="75">D436</f>
        <v>22207.9</v>
      </c>
      <c r="E435" s="71">
        <f t="shared" si="75"/>
        <v>509.8</v>
      </c>
      <c r="F435" s="71">
        <f t="shared" si="75"/>
        <v>22717.7</v>
      </c>
      <c r="G435" s="71">
        <f t="shared" si="75"/>
        <v>23096.2</v>
      </c>
      <c r="H435" s="71"/>
      <c r="I435" s="71">
        <f t="shared" si="75"/>
        <v>23096.2</v>
      </c>
      <c r="J435" s="71">
        <f t="shared" si="75"/>
        <v>29296.799999999996</v>
      </c>
      <c r="K435" s="71"/>
      <c r="L435" s="71">
        <f>L436</f>
        <v>29296.799999999996</v>
      </c>
    </row>
    <row r="436" spans="1:12" ht="39" x14ac:dyDescent="0.25">
      <c r="A436" s="6" t="s">
        <v>340</v>
      </c>
      <c r="B436" s="12"/>
      <c r="C436" s="3" t="s">
        <v>688</v>
      </c>
      <c r="D436" s="70">
        <f>D437</f>
        <v>22207.9</v>
      </c>
      <c r="E436" s="70">
        <v>509.8</v>
      </c>
      <c r="F436" s="70">
        <f>F437</f>
        <v>22717.7</v>
      </c>
      <c r="G436" s="70">
        <f t="shared" si="75"/>
        <v>23096.2</v>
      </c>
      <c r="H436" s="70"/>
      <c r="I436" s="70">
        <f t="shared" si="75"/>
        <v>23096.2</v>
      </c>
      <c r="J436" s="70">
        <f t="shared" si="75"/>
        <v>29296.799999999996</v>
      </c>
      <c r="K436" s="70"/>
      <c r="L436" s="70">
        <f>L437</f>
        <v>29296.799999999996</v>
      </c>
    </row>
    <row r="437" spans="1:12" ht="26.25" x14ac:dyDescent="0.25">
      <c r="A437" s="6"/>
      <c r="B437" s="6" t="s">
        <v>280</v>
      </c>
      <c r="C437" s="3" t="s">
        <v>281</v>
      </c>
      <c r="D437" s="70">
        <v>22207.9</v>
      </c>
      <c r="E437" s="70">
        <v>509.8</v>
      </c>
      <c r="F437" s="70">
        <f>SUM(D437:E437)</f>
        <v>22717.7</v>
      </c>
      <c r="G437" s="70">
        <v>23096.2</v>
      </c>
      <c r="H437" s="70"/>
      <c r="I437" s="70">
        <v>23096.2</v>
      </c>
      <c r="J437" s="70">
        <f>34650.2-5353.4</f>
        <v>29296.799999999996</v>
      </c>
      <c r="K437" s="70"/>
      <c r="L437" s="70">
        <f>34650.2-5353.4</f>
        <v>29296.799999999996</v>
      </c>
    </row>
    <row r="438" spans="1:12" ht="25.5" x14ac:dyDescent="0.25">
      <c r="A438" s="33" t="s">
        <v>512</v>
      </c>
      <c r="B438" s="33"/>
      <c r="C438" s="15" t="s">
        <v>513</v>
      </c>
      <c r="D438" s="71">
        <f>D439</f>
        <v>41864.770000000004</v>
      </c>
      <c r="E438" s="71"/>
      <c r="F438" s="71">
        <f>F439</f>
        <v>41864.770000000004</v>
      </c>
      <c r="G438" s="71">
        <f>G439</f>
        <v>50149.651750000005</v>
      </c>
      <c r="H438" s="71"/>
      <c r="I438" s="71">
        <f>I439</f>
        <v>50149.651750000005</v>
      </c>
      <c r="J438" s="71">
        <v>0</v>
      </c>
      <c r="K438" s="71"/>
      <c r="L438" s="71">
        <v>0</v>
      </c>
    </row>
    <row r="439" spans="1:12" ht="26.25" x14ac:dyDescent="0.25">
      <c r="A439" s="6" t="s">
        <v>514</v>
      </c>
      <c r="B439" s="6"/>
      <c r="C439" s="3" t="s">
        <v>515</v>
      </c>
      <c r="D439" s="70">
        <f>D440</f>
        <v>41864.770000000004</v>
      </c>
      <c r="E439" s="70"/>
      <c r="F439" s="70">
        <f>F440</f>
        <v>41864.770000000004</v>
      </c>
      <c r="G439" s="70">
        <f>G440</f>
        <v>50149.651750000005</v>
      </c>
      <c r="H439" s="70"/>
      <c r="I439" s="70">
        <f>I440</f>
        <v>50149.651750000005</v>
      </c>
      <c r="J439" s="70">
        <v>0</v>
      </c>
      <c r="K439" s="70"/>
      <c r="L439" s="70">
        <v>0</v>
      </c>
    </row>
    <row r="440" spans="1:12" ht="26.25" x14ac:dyDescent="0.25">
      <c r="A440" s="6"/>
      <c r="B440" s="6" t="s">
        <v>280</v>
      </c>
      <c r="C440" s="3" t="s">
        <v>281</v>
      </c>
      <c r="D440" s="70">
        <f>D441+D442+D443</f>
        <v>41864.770000000004</v>
      </c>
      <c r="E440" s="70"/>
      <c r="F440" s="70">
        <f>F441+F442+F443</f>
        <v>41864.770000000004</v>
      </c>
      <c r="G440" s="70">
        <f>G441+G442+G443</f>
        <v>50149.651750000005</v>
      </c>
      <c r="H440" s="70"/>
      <c r="I440" s="70">
        <f>I441+I442+I443</f>
        <v>50149.651750000005</v>
      </c>
      <c r="J440" s="70">
        <v>0</v>
      </c>
      <c r="K440" s="70"/>
      <c r="L440" s="70">
        <v>0</v>
      </c>
    </row>
    <row r="441" spans="1:12" x14ac:dyDescent="0.25">
      <c r="A441" s="6"/>
      <c r="B441" s="6"/>
      <c r="C441" s="3" t="s">
        <v>187</v>
      </c>
      <c r="D441" s="70">
        <v>39572.673840000003</v>
      </c>
      <c r="E441" s="70"/>
      <c r="F441" s="70">
        <v>39572.673840000003</v>
      </c>
      <c r="G441" s="70">
        <v>47403.956680000003</v>
      </c>
      <c r="H441" s="70"/>
      <c r="I441" s="70">
        <v>47403.956680000003</v>
      </c>
      <c r="J441" s="70">
        <v>0</v>
      </c>
      <c r="K441" s="70"/>
      <c r="L441" s="70">
        <v>0</v>
      </c>
    </row>
    <row r="442" spans="1:12" x14ac:dyDescent="0.25">
      <c r="A442" s="6"/>
      <c r="B442" s="6"/>
      <c r="C442" s="3" t="s">
        <v>185</v>
      </c>
      <c r="D442" s="70">
        <v>2082.7723099999998</v>
      </c>
      <c r="E442" s="70"/>
      <c r="F442" s="70">
        <v>2082.7723099999998</v>
      </c>
      <c r="G442" s="70">
        <v>2494.9450700000002</v>
      </c>
      <c r="H442" s="70"/>
      <c r="I442" s="70">
        <v>2494.9450700000002</v>
      </c>
      <c r="J442" s="70">
        <v>0</v>
      </c>
      <c r="K442" s="70"/>
      <c r="L442" s="70">
        <v>0</v>
      </c>
    </row>
    <row r="443" spans="1:12" x14ac:dyDescent="0.25">
      <c r="A443" s="6"/>
      <c r="B443" s="6"/>
      <c r="C443" s="3" t="s">
        <v>150</v>
      </c>
      <c r="D443" s="70">
        <v>209.32384999999999</v>
      </c>
      <c r="E443" s="70"/>
      <c r="F443" s="70">
        <v>209.32384999999999</v>
      </c>
      <c r="G443" s="70">
        <v>250.75</v>
      </c>
      <c r="H443" s="70"/>
      <c r="I443" s="70">
        <v>250.75</v>
      </c>
      <c r="J443" s="70">
        <v>0</v>
      </c>
      <c r="K443" s="70"/>
      <c r="L443" s="70">
        <v>0</v>
      </c>
    </row>
    <row r="444" spans="1:12" ht="26.25" x14ac:dyDescent="0.25">
      <c r="A444" s="31" t="s">
        <v>341</v>
      </c>
      <c r="B444" s="31"/>
      <c r="C444" s="32" t="s">
        <v>342</v>
      </c>
      <c r="D444" s="75">
        <f t="shared" ref="D444:L446" si="76">D445</f>
        <v>3807.2</v>
      </c>
      <c r="E444" s="75">
        <f t="shared" si="76"/>
        <v>439.9</v>
      </c>
      <c r="F444" s="75">
        <f t="shared" si="76"/>
        <v>4247.1000000000004</v>
      </c>
      <c r="G444" s="75">
        <f t="shared" si="76"/>
        <v>3807.2</v>
      </c>
      <c r="H444" s="75">
        <f t="shared" si="76"/>
        <v>660.7</v>
      </c>
      <c r="I444" s="75">
        <f t="shared" si="76"/>
        <v>4467.8999999999996</v>
      </c>
      <c r="J444" s="75">
        <f t="shared" si="76"/>
        <v>0</v>
      </c>
      <c r="K444" s="75"/>
      <c r="L444" s="75">
        <f t="shared" si="76"/>
        <v>0</v>
      </c>
    </row>
    <row r="445" spans="1:12" ht="26.25" x14ac:dyDescent="0.25">
      <c r="A445" s="33" t="s">
        <v>343</v>
      </c>
      <c r="B445" s="33"/>
      <c r="C445" s="34" t="s">
        <v>344</v>
      </c>
      <c r="D445" s="71">
        <f t="shared" si="76"/>
        <v>3807.2</v>
      </c>
      <c r="E445" s="71">
        <f t="shared" si="76"/>
        <v>439.9</v>
      </c>
      <c r="F445" s="71">
        <f t="shared" si="76"/>
        <v>4247.1000000000004</v>
      </c>
      <c r="G445" s="71">
        <f t="shared" si="76"/>
        <v>3807.2</v>
      </c>
      <c r="H445" s="71">
        <f t="shared" si="76"/>
        <v>660.7</v>
      </c>
      <c r="I445" s="71">
        <f t="shared" si="76"/>
        <v>4467.8999999999996</v>
      </c>
      <c r="J445" s="71">
        <f t="shared" si="76"/>
        <v>0</v>
      </c>
      <c r="K445" s="71"/>
      <c r="L445" s="71">
        <f t="shared" si="76"/>
        <v>0</v>
      </c>
    </row>
    <row r="446" spans="1:12" ht="39" x14ac:dyDescent="0.25">
      <c r="A446" s="6" t="s">
        <v>345</v>
      </c>
      <c r="B446" s="12"/>
      <c r="C446" s="3" t="s">
        <v>552</v>
      </c>
      <c r="D446" s="70">
        <f>D447</f>
        <v>3807.2</v>
      </c>
      <c r="E446" s="70">
        <f>E447</f>
        <v>439.9</v>
      </c>
      <c r="F446" s="70">
        <f>F447</f>
        <v>4247.1000000000004</v>
      </c>
      <c r="G446" s="70">
        <f t="shared" si="76"/>
        <v>3807.2</v>
      </c>
      <c r="H446" s="70">
        <f t="shared" si="76"/>
        <v>660.7</v>
      </c>
      <c r="I446" s="70">
        <f t="shared" si="76"/>
        <v>4467.8999999999996</v>
      </c>
      <c r="J446" s="70">
        <v>0</v>
      </c>
      <c r="K446" s="70"/>
      <c r="L446" s="70">
        <v>0</v>
      </c>
    </row>
    <row r="447" spans="1:12" ht="26.25" x14ac:dyDescent="0.25">
      <c r="A447" s="6"/>
      <c r="B447" s="6" t="s">
        <v>280</v>
      </c>
      <c r="C447" s="3" t="s">
        <v>281</v>
      </c>
      <c r="D447" s="70">
        <v>3807.2</v>
      </c>
      <c r="E447" s="70">
        <v>439.9</v>
      </c>
      <c r="F447" s="70">
        <v>4247.1000000000004</v>
      </c>
      <c r="G447" s="70">
        <f>3959.5-152.3</f>
        <v>3807.2</v>
      </c>
      <c r="H447" s="70">
        <v>660.7</v>
      </c>
      <c r="I447" s="70">
        <v>4467.8999999999996</v>
      </c>
      <c r="J447" s="70">
        <v>0</v>
      </c>
      <c r="K447" s="70"/>
      <c r="L447" s="70">
        <v>0</v>
      </c>
    </row>
    <row r="448" spans="1:12" ht="39" x14ac:dyDescent="0.25">
      <c r="A448" s="31" t="s">
        <v>347</v>
      </c>
      <c r="B448" s="31"/>
      <c r="C448" s="32" t="s">
        <v>348</v>
      </c>
      <c r="D448" s="75">
        <f>D449+D456</f>
        <v>5484.3124499999994</v>
      </c>
      <c r="E448" s="75"/>
      <c r="F448" s="75">
        <f>F449+F456</f>
        <v>5484.3124499999994</v>
      </c>
      <c r="G448" s="75">
        <f t="shared" ref="G448:L450" si="77">G449</f>
        <v>0</v>
      </c>
      <c r="H448" s="75"/>
      <c r="I448" s="75">
        <f t="shared" si="77"/>
        <v>0</v>
      </c>
      <c r="J448" s="75">
        <f t="shared" si="77"/>
        <v>0</v>
      </c>
      <c r="K448" s="75"/>
      <c r="L448" s="75">
        <f t="shared" si="77"/>
        <v>0</v>
      </c>
    </row>
    <row r="449" spans="1:12" ht="26.25" x14ac:dyDescent="0.25">
      <c r="A449" s="33" t="s">
        <v>349</v>
      </c>
      <c r="B449" s="33"/>
      <c r="C449" s="56" t="s">
        <v>551</v>
      </c>
      <c r="D449" s="71">
        <f>D450+D452</f>
        <v>4642.9124499999998</v>
      </c>
      <c r="E449" s="71"/>
      <c r="F449" s="71">
        <f>F450+F452</f>
        <v>4642.9124499999998</v>
      </c>
      <c r="G449" s="71">
        <f t="shared" si="77"/>
        <v>0</v>
      </c>
      <c r="H449" s="71"/>
      <c r="I449" s="71">
        <f t="shared" si="77"/>
        <v>0</v>
      </c>
      <c r="J449" s="71">
        <f t="shared" si="77"/>
        <v>0</v>
      </c>
      <c r="K449" s="71"/>
      <c r="L449" s="71">
        <f t="shared" si="77"/>
        <v>0</v>
      </c>
    </row>
    <row r="450" spans="1:12" ht="26.25" x14ac:dyDescent="0.25">
      <c r="A450" s="6" t="s">
        <v>350</v>
      </c>
      <c r="B450" s="6"/>
      <c r="C450" s="9" t="s">
        <v>799</v>
      </c>
      <c r="D450" s="70">
        <f>D451</f>
        <v>1663.8</v>
      </c>
      <c r="E450" s="70"/>
      <c r="F450" s="70">
        <f>F451</f>
        <v>1663.8</v>
      </c>
      <c r="G450" s="70">
        <f t="shared" si="77"/>
        <v>0</v>
      </c>
      <c r="H450" s="70"/>
      <c r="I450" s="70">
        <f t="shared" si="77"/>
        <v>0</v>
      </c>
      <c r="J450" s="70">
        <f t="shared" si="77"/>
        <v>0</v>
      </c>
      <c r="K450" s="70"/>
      <c r="L450" s="70">
        <f t="shared" si="77"/>
        <v>0</v>
      </c>
    </row>
    <row r="451" spans="1:12" ht="26.25" x14ac:dyDescent="0.25">
      <c r="A451" s="6"/>
      <c r="B451" s="6" t="s">
        <v>280</v>
      </c>
      <c r="C451" s="3" t="s">
        <v>281</v>
      </c>
      <c r="D451" s="70">
        <v>1663.8</v>
      </c>
      <c r="E451" s="70"/>
      <c r="F451" s="70">
        <v>1663.8</v>
      </c>
      <c r="G451" s="70">
        <v>0</v>
      </c>
      <c r="H451" s="70"/>
      <c r="I451" s="70">
        <v>0</v>
      </c>
      <c r="J451" s="70">
        <v>0</v>
      </c>
      <c r="K451" s="70"/>
      <c r="L451" s="70">
        <v>0</v>
      </c>
    </row>
    <row r="452" spans="1:12" ht="26.25" x14ac:dyDescent="0.25">
      <c r="A452" s="6" t="s">
        <v>794</v>
      </c>
      <c r="B452" s="6"/>
      <c r="C452" s="3" t="s">
        <v>795</v>
      </c>
      <c r="D452" s="70">
        <f>D453</f>
        <v>2979.1124500000001</v>
      </c>
      <c r="E452" s="70"/>
      <c r="F452" s="70">
        <f>F453</f>
        <v>2979.1124500000001</v>
      </c>
      <c r="G452" s="70">
        <v>0</v>
      </c>
      <c r="H452" s="70"/>
      <c r="I452" s="70">
        <v>0</v>
      </c>
      <c r="J452" s="70">
        <v>0</v>
      </c>
      <c r="K452" s="70"/>
      <c r="L452" s="70">
        <v>0</v>
      </c>
    </row>
    <row r="453" spans="1:12" ht="26.25" x14ac:dyDescent="0.25">
      <c r="A453" s="6"/>
      <c r="B453" s="6" t="s">
        <v>280</v>
      </c>
      <c r="C453" s="3" t="s">
        <v>281</v>
      </c>
      <c r="D453" s="70">
        <f>D454+D455</f>
        <v>2979.1124500000001</v>
      </c>
      <c r="E453" s="70"/>
      <c r="F453" s="70">
        <f>F454+F455</f>
        <v>2979.1124500000001</v>
      </c>
      <c r="G453" s="70">
        <v>0</v>
      </c>
      <c r="H453" s="70"/>
      <c r="I453" s="70">
        <v>0</v>
      </c>
      <c r="J453" s="70">
        <v>0</v>
      </c>
      <c r="K453" s="70"/>
      <c r="L453" s="70">
        <v>0</v>
      </c>
    </row>
    <row r="454" spans="1:12" x14ac:dyDescent="0.25">
      <c r="A454" s="6"/>
      <c r="B454" s="6"/>
      <c r="C454" s="3" t="s">
        <v>185</v>
      </c>
      <c r="D454" s="70">
        <v>2681.2012</v>
      </c>
      <c r="E454" s="70"/>
      <c r="F454" s="70">
        <v>2681.2012</v>
      </c>
      <c r="G454" s="70">
        <v>0</v>
      </c>
      <c r="H454" s="70"/>
      <c r="I454" s="70">
        <v>0</v>
      </c>
      <c r="J454" s="70">
        <v>0</v>
      </c>
      <c r="K454" s="70"/>
      <c r="L454" s="70">
        <v>0</v>
      </c>
    </row>
    <row r="455" spans="1:12" x14ac:dyDescent="0.25">
      <c r="A455" s="6"/>
      <c r="B455" s="6"/>
      <c r="C455" s="3" t="s">
        <v>150</v>
      </c>
      <c r="D455" s="70">
        <v>297.91125</v>
      </c>
      <c r="E455" s="70"/>
      <c r="F455" s="70">
        <v>297.91125</v>
      </c>
      <c r="G455" s="70">
        <v>0</v>
      </c>
      <c r="H455" s="70"/>
      <c r="I455" s="70">
        <v>0</v>
      </c>
      <c r="J455" s="70">
        <v>0</v>
      </c>
      <c r="K455" s="70"/>
      <c r="L455" s="70">
        <v>0</v>
      </c>
    </row>
    <row r="456" spans="1:12" ht="26.25" x14ac:dyDescent="0.25">
      <c r="A456" s="33" t="s">
        <v>516</v>
      </c>
      <c r="B456" s="33"/>
      <c r="C456" s="56" t="s">
        <v>497</v>
      </c>
      <c r="D456" s="71">
        <f>D457+D459</f>
        <v>841.4</v>
      </c>
      <c r="E456" s="71"/>
      <c r="F456" s="71">
        <f>F457+F459</f>
        <v>841.4</v>
      </c>
      <c r="G456" s="71">
        <f>G457+G459</f>
        <v>0</v>
      </c>
      <c r="H456" s="71"/>
      <c r="I456" s="71">
        <f>I457+I459</f>
        <v>0</v>
      </c>
      <c r="J456" s="71">
        <f>J457+J459</f>
        <v>0</v>
      </c>
      <c r="K456" s="71"/>
      <c r="L456" s="71">
        <f>L457+L459</f>
        <v>0</v>
      </c>
    </row>
    <row r="457" spans="1:12" x14ac:dyDescent="0.25">
      <c r="A457" s="6" t="s">
        <v>517</v>
      </c>
      <c r="B457" s="6"/>
      <c r="C457" s="9" t="s">
        <v>498</v>
      </c>
      <c r="D457" s="70">
        <f>D458</f>
        <v>361.7</v>
      </c>
      <c r="E457" s="70"/>
      <c r="F457" s="70">
        <f>F458</f>
        <v>361.7</v>
      </c>
      <c r="G457" s="70">
        <v>0</v>
      </c>
      <c r="H457" s="70"/>
      <c r="I457" s="70">
        <v>0</v>
      </c>
      <c r="J457" s="70">
        <v>0</v>
      </c>
      <c r="K457" s="70"/>
      <c r="L457" s="70">
        <v>0</v>
      </c>
    </row>
    <row r="458" spans="1:12" ht="26.25" x14ac:dyDescent="0.25">
      <c r="A458" s="6"/>
      <c r="B458" s="6" t="s">
        <v>280</v>
      </c>
      <c r="C458" s="3" t="s">
        <v>281</v>
      </c>
      <c r="D458" s="70">
        <v>361.7</v>
      </c>
      <c r="E458" s="70"/>
      <c r="F458" s="70">
        <v>361.7</v>
      </c>
      <c r="G458" s="70">
        <v>0</v>
      </c>
      <c r="H458" s="70"/>
      <c r="I458" s="70">
        <v>0</v>
      </c>
      <c r="J458" s="70">
        <v>0</v>
      </c>
      <c r="K458" s="70"/>
      <c r="L458" s="70">
        <v>0</v>
      </c>
    </row>
    <row r="459" spans="1:12" ht="26.25" x14ac:dyDescent="0.25">
      <c r="A459" s="6" t="s">
        <v>518</v>
      </c>
      <c r="B459" s="6"/>
      <c r="C459" s="9" t="s">
        <v>499</v>
      </c>
      <c r="D459" s="70">
        <f>D460</f>
        <v>479.7</v>
      </c>
      <c r="E459" s="70"/>
      <c r="F459" s="70">
        <f>F460</f>
        <v>479.7</v>
      </c>
      <c r="G459" s="70">
        <v>0</v>
      </c>
      <c r="H459" s="70"/>
      <c r="I459" s="70">
        <v>0</v>
      </c>
      <c r="J459" s="70">
        <v>0</v>
      </c>
      <c r="K459" s="70"/>
      <c r="L459" s="70">
        <v>0</v>
      </c>
    </row>
    <row r="460" spans="1:12" ht="26.25" x14ac:dyDescent="0.25">
      <c r="A460" s="6"/>
      <c r="B460" s="6" t="s">
        <v>280</v>
      </c>
      <c r="C460" s="3" t="s">
        <v>281</v>
      </c>
      <c r="D460" s="70">
        <v>479.7</v>
      </c>
      <c r="E460" s="70"/>
      <c r="F460" s="70">
        <v>479.7</v>
      </c>
      <c r="G460" s="70">
        <v>0</v>
      </c>
      <c r="H460" s="70"/>
      <c r="I460" s="70">
        <v>0</v>
      </c>
      <c r="J460" s="70">
        <v>0</v>
      </c>
      <c r="K460" s="70"/>
      <c r="L460" s="70">
        <v>0</v>
      </c>
    </row>
    <row r="461" spans="1:12" ht="39" x14ac:dyDescent="0.25">
      <c r="A461" s="29" t="s">
        <v>351</v>
      </c>
      <c r="B461" s="29"/>
      <c r="C461" s="37" t="s">
        <v>390</v>
      </c>
      <c r="D461" s="72">
        <f>D462+D465+D471</f>
        <v>10182.070810000001</v>
      </c>
      <c r="E461" s="72"/>
      <c r="F461" s="72">
        <f t="shared" ref="F461:L461" si="78">F462+F465+F471</f>
        <v>10182.070810000001</v>
      </c>
      <c r="G461" s="72">
        <f t="shared" si="78"/>
        <v>2397.8554800000002</v>
      </c>
      <c r="H461" s="72">
        <f t="shared" si="78"/>
        <v>0</v>
      </c>
      <c r="I461" s="72">
        <f t="shared" si="78"/>
        <v>2397.8554800000002</v>
      </c>
      <c r="J461" s="72">
        <f t="shared" si="78"/>
        <v>2397.8554800000002</v>
      </c>
      <c r="K461" s="72">
        <f t="shared" si="78"/>
        <v>0</v>
      </c>
      <c r="L461" s="72">
        <f t="shared" si="78"/>
        <v>2397.8554800000002</v>
      </c>
    </row>
    <row r="462" spans="1:12" ht="26.25" x14ac:dyDescent="0.25">
      <c r="A462" s="33" t="s">
        <v>461</v>
      </c>
      <c r="B462" s="36"/>
      <c r="C462" s="34" t="s">
        <v>556</v>
      </c>
      <c r="D462" s="71">
        <f>D463</f>
        <v>237.1</v>
      </c>
      <c r="E462" s="71"/>
      <c r="F462" s="71">
        <f>F463</f>
        <v>237.1</v>
      </c>
      <c r="G462" s="71">
        <f>G463</f>
        <v>0</v>
      </c>
      <c r="H462" s="71"/>
      <c r="I462" s="71">
        <f>I463</f>
        <v>0</v>
      </c>
      <c r="J462" s="71">
        <f>J463</f>
        <v>0</v>
      </c>
      <c r="K462" s="71"/>
      <c r="L462" s="71">
        <f>L463</f>
        <v>0</v>
      </c>
    </row>
    <row r="463" spans="1:12" x14ac:dyDescent="0.25">
      <c r="A463" s="4" t="s">
        <v>462</v>
      </c>
      <c r="B463" s="16"/>
      <c r="C463" s="1" t="s">
        <v>391</v>
      </c>
      <c r="D463" s="70">
        <f>D464</f>
        <v>237.1</v>
      </c>
      <c r="E463" s="70"/>
      <c r="F463" s="70">
        <f>F464</f>
        <v>237.1</v>
      </c>
      <c r="G463" s="70">
        <v>0</v>
      </c>
      <c r="H463" s="70"/>
      <c r="I463" s="70">
        <v>0</v>
      </c>
      <c r="J463" s="70">
        <v>0</v>
      </c>
      <c r="K463" s="70"/>
      <c r="L463" s="70">
        <v>0</v>
      </c>
    </row>
    <row r="464" spans="1:12" ht="26.25" x14ac:dyDescent="0.25">
      <c r="A464" s="4"/>
      <c r="B464" s="6" t="s">
        <v>280</v>
      </c>
      <c r="C464" s="3" t="s">
        <v>281</v>
      </c>
      <c r="D464" s="70">
        <v>237.1</v>
      </c>
      <c r="E464" s="70"/>
      <c r="F464" s="70">
        <v>237.1</v>
      </c>
      <c r="G464" s="70">
        <v>0</v>
      </c>
      <c r="H464" s="70"/>
      <c r="I464" s="70">
        <v>0</v>
      </c>
      <c r="J464" s="70">
        <v>0</v>
      </c>
      <c r="K464" s="70"/>
      <c r="L464" s="70">
        <v>0</v>
      </c>
    </row>
    <row r="465" spans="1:12" ht="26.25" x14ac:dyDescent="0.25">
      <c r="A465" s="33" t="s">
        <v>463</v>
      </c>
      <c r="B465" s="36"/>
      <c r="C465" s="34" t="s">
        <v>721</v>
      </c>
      <c r="D465" s="71">
        <f>D466</f>
        <v>7528.3618699999997</v>
      </c>
      <c r="E465" s="71"/>
      <c r="F465" s="71">
        <f>F466</f>
        <v>7528.3618699999997</v>
      </c>
      <c r="G465" s="71">
        <f>G466</f>
        <v>0</v>
      </c>
      <c r="H465" s="71"/>
      <c r="I465" s="71">
        <f>I466</f>
        <v>0</v>
      </c>
      <c r="J465" s="71">
        <f>J466</f>
        <v>0</v>
      </c>
      <c r="K465" s="71"/>
      <c r="L465" s="71">
        <f>L466</f>
        <v>0</v>
      </c>
    </row>
    <row r="466" spans="1:12" ht="25.5" x14ac:dyDescent="0.25">
      <c r="A466" s="4" t="s">
        <v>464</v>
      </c>
      <c r="B466" s="16"/>
      <c r="C466" s="1" t="s">
        <v>392</v>
      </c>
      <c r="D466" s="70">
        <f>D468+D469+D470</f>
        <v>7528.3618699999997</v>
      </c>
      <c r="E466" s="70"/>
      <c r="F466" s="70">
        <f>F468+F469+F470</f>
        <v>7528.3618699999997</v>
      </c>
      <c r="G466" s="70">
        <f>G468+G469+G470</f>
        <v>0</v>
      </c>
      <c r="H466" s="70"/>
      <c r="I466" s="70">
        <f>I468+I469+I470</f>
        <v>0</v>
      </c>
      <c r="J466" s="70">
        <f>J468+J469+J470</f>
        <v>0</v>
      </c>
      <c r="K466" s="70"/>
      <c r="L466" s="70">
        <f>L468+L469+L470</f>
        <v>0</v>
      </c>
    </row>
    <row r="467" spans="1:12" ht="26.25" x14ac:dyDescent="0.25">
      <c r="A467" s="4"/>
      <c r="B467" s="6" t="s">
        <v>280</v>
      </c>
      <c r="C467" s="3" t="s">
        <v>281</v>
      </c>
      <c r="D467" s="80">
        <f>D468+D469+D470</f>
        <v>7528.3618699999997</v>
      </c>
      <c r="E467" s="80"/>
      <c r="F467" s="80">
        <f>F468+F469+F470</f>
        <v>7528.3618699999997</v>
      </c>
      <c r="G467" s="80">
        <f>G468+G469+G470</f>
        <v>0</v>
      </c>
      <c r="H467" s="80"/>
      <c r="I467" s="80">
        <f>I468+I469+I470</f>
        <v>0</v>
      </c>
      <c r="J467" s="80">
        <f>J468+J469+J470</f>
        <v>0</v>
      </c>
      <c r="K467" s="80"/>
      <c r="L467" s="80">
        <f>L468+L469+L470</f>
        <v>0</v>
      </c>
    </row>
    <row r="468" spans="1:12" x14ac:dyDescent="0.25">
      <c r="A468" s="4"/>
      <c r="B468" s="6"/>
      <c r="C468" s="3" t="s">
        <v>187</v>
      </c>
      <c r="D468" s="70">
        <v>6436.7493999999997</v>
      </c>
      <c r="E468" s="70"/>
      <c r="F468" s="70">
        <v>6436.7493999999997</v>
      </c>
      <c r="G468" s="80">
        <v>0</v>
      </c>
      <c r="H468" s="80"/>
      <c r="I468" s="80">
        <v>0</v>
      </c>
      <c r="J468" s="80">
        <v>0</v>
      </c>
      <c r="K468" s="80"/>
      <c r="L468" s="80">
        <v>0</v>
      </c>
    </row>
    <row r="469" spans="1:12" x14ac:dyDescent="0.25">
      <c r="A469" s="4"/>
      <c r="B469" s="6"/>
      <c r="C469" s="3" t="s">
        <v>185</v>
      </c>
      <c r="D469" s="70">
        <v>338.77627999999999</v>
      </c>
      <c r="E469" s="70"/>
      <c r="F469" s="70">
        <v>338.77627999999999</v>
      </c>
      <c r="G469" s="80">
        <v>0</v>
      </c>
      <c r="H469" s="80"/>
      <c r="I469" s="80">
        <v>0</v>
      </c>
      <c r="J469" s="80">
        <v>0</v>
      </c>
      <c r="K469" s="80"/>
      <c r="L469" s="80">
        <v>0</v>
      </c>
    </row>
    <row r="470" spans="1:12" x14ac:dyDescent="0.25">
      <c r="A470" s="4"/>
      <c r="B470" s="6"/>
      <c r="C470" s="3" t="s">
        <v>150</v>
      </c>
      <c r="D470" s="70">
        <v>752.83618999999999</v>
      </c>
      <c r="E470" s="70"/>
      <c r="F470" s="70">
        <v>752.83618999999999</v>
      </c>
      <c r="G470" s="80">
        <v>0</v>
      </c>
      <c r="H470" s="80"/>
      <c r="I470" s="80">
        <v>0</v>
      </c>
      <c r="J470" s="80">
        <v>0</v>
      </c>
      <c r="K470" s="80"/>
      <c r="L470" s="80">
        <v>0</v>
      </c>
    </row>
    <row r="471" spans="1:12" ht="26.25" x14ac:dyDescent="0.25">
      <c r="A471" s="33" t="s">
        <v>465</v>
      </c>
      <c r="B471" s="36"/>
      <c r="C471" s="34" t="s">
        <v>722</v>
      </c>
      <c r="D471" s="71">
        <f>D472</f>
        <v>2416.6089400000001</v>
      </c>
      <c r="E471" s="71"/>
      <c r="F471" s="71">
        <f t="shared" ref="F471:L471" si="79">F472</f>
        <v>2416.6089400000001</v>
      </c>
      <c r="G471" s="71">
        <f t="shared" si="79"/>
        <v>2397.8554800000002</v>
      </c>
      <c r="H471" s="71"/>
      <c r="I471" s="71">
        <f t="shared" si="79"/>
        <v>2397.8554800000002</v>
      </c>
      <c r="J471" s="71">
        <f t="shared" si="79"/>
        <v>2397.8554800000002</v>
      </c>
      <c r="K471" s="71"/>
      <c r="L471" s="71">
        <f t="shared" si="79"/>
        <v>2397.8554800000002</v>
      </c>
    </row>
    <row r="472" spans="1:12" ht="38.25" x14ac:dyDescent="0.25">
      <c r="A472" s="4" t="s">
        <v>466</v>
      </c>
      <c r="B472" s="16"/>
      <c r="C472" s="1" t="s">
        <v>557</v>
      </c>
      <c r="D472" s="70">
        <f>D474+D475</f>
        <v>2416.6089400000001</v>
      </c>
      <c r="E472" s="70"/>
      <c r="F472" s="70">
        <f>F474+F475</f>
        <v>2416.6089400000001</v>
      </c>
      <c r="G472" s="70">
        <f>G474+G475</f>
        <v>2397.8554800000002</v>
      </c>
      <c r="H472" s="70"/>
      <c r="I472" s="70">
        <f>I474+I475</f>
        <v>2397.8554800000002</v>
      </c>
      <c r="J472" s="70">
        <f>J474+J475</f>
        <v>2397.8554800000002</v>
      </c>
      <c r="K472" s="70"/>
      <c r="L472" s="70">
        <f>L474+L475</f>
        <v>2397.8554800000002</v>
      </c>
    </row>
    <row r="473" spans="1:12" ht="26.25" x14ac:dyDescent="0.25">
      <c r="A473" s="4"/>
      <c r="B473" s="6" t="s">
        <v>280</v>
      </c>
      <c r="C473" s="3" t="s">
        <v>281</v>
      </c>
      <c r="D473" s="70">
        <f>D474+D475</f>
        <v>2416.6089400000001</v>
      </c>
      <c r="E473" s="70"/>
      <c r="F473" s="70">
        <f t="shared" ref="F473:L473" si="80">F474+F475</f>
        <v>2416.6089400000001</v>
      </c>
      <c r="G473" s="70">
        <f t="shared" si="80"/>
        <v>2397.8554800000002</v>
      </c>
      <c r="H473" s="70"/>
      <c r="I473" s="70">
        <f t="shared" si="80"/>
        <v>2397.8554800000002</v>
      </c>
      <c r="J473" s="70">
        <f t="shared" si="80"/>
        <v>2397.8554800000002</v>
      </c>
      <c r="K473" s="70"/>
      <c r="L473" s="70">
        <f t="shared" si="80"/>
        <v>2397.8554800000002</v>
      </c>
    </row>
    <row r="474" spans="1:12" x14ac:dyDescent="0.25">
      <c r="A474" s="4"/>
      <c r="B474" s="6"/>
      <c r="C474" s="3" t="s">
        <v>185</v>
      </c>
      <c r="D474" s="70">
        <v>2174.94805</v>
      </c>
      <c r="E474" s="70"/>
      <c r="F474" s="70">
        <v>2174.94805</v>
      </c>
      <c r="G474" s="70">
        <v>2158.0699300000001</v>
      </c>
      <c r="H474" s="70"/>
      <c r="I474" s="70">
        <v>2158.0699300000001</v>
      </c>
      <c r="J474" s="70">
        <v>2158.0699300000001</v>
      </c>
      <c r="K474" s="70"/>
      <c r="L474" s="70">
        <v>2158.0699300000001</v>
      </c>
    </row>
    <row r="475" spans="1:12" x14ac:dyDescent="0.25">
      <c r="A475" s="4"/>
      <c r="B475" s="6"/>
      <c r="C475" s="3" t="s">
        <v>150</v>
      </c>
      <c r="D475" s="70">
        <v>241.66088999999999</v>
      </c>
      <c r="E475" s="70"/>
      <c r="F475" s="70">
        <v>241.66088999999999</v>
      </c>
      <c r="G475" s="70">
        <v>239.78555</v>
      </c>
      <c r="H475" s="70"/>
      <c r="I475" s="70">
        <f>SUM(G475:H475)</f>
        <v>239.78555</v>
      </c>
      <c r="J475" s="70">
        <v>239.78555</v>
      </c>
      <c r="K475" s="70"/>
      <c r="L475" s="70">
        <v>239.78555</v>
      </c>
    </row>
    <row r="476" spans="1:12" ht="51.75" x14ac:dyDescent="0.25">
      <c r="A476" s="29" t="s">
        <v>354</v>
      </c>
      <c r="B476" s="29"/>
      <c r="C476" s="37" t="s">
        <v>355</v>
      </c>
      <c r="D476" s="72">
        <f>D477+D485+D495</f>
        <v>21445.999999999996</v>
      </c>
      <c r="E476" s="72"/>
      <c r="F476" s="72">
        <f>F477+F485+F495</f>
        <v>21445.999999999996</v>
      </c>
      <c r="G476" s="72">
        <f>G477+G485+G495</f>
        <v>24599.399999999998</v>
      </c>
      <c r="H476" s="72"/>
      <c r="I476" s="72">
        <f>I477+I485+I495</f>
        <v>24599.399999999998</v>
      </c>
      <c r="J476" s="72">
        <f>J477+J485+J495</f>
        <v>19587.299999999996</v>
      </c>
      <c r="K476" s="72"/>
      <c r="L476" s="72">
        <f>L477+L485+L495</f>
        <v>19587.299999999996</v>
      </c>
    </row>
    <row r="477" spans="1:12" ht="39" x14ac:dyDescent="0.25">
      <c r="A477" s="33" t="s">
        <v>356</v>
      </c>
      <c r="B477" s="33"/>
      <c r="C477" s="20" t="s">
        <v>357</v>
      </c>
      <c r="D477" s="71">
        <f>D478+D480+D482</f>
        <v>17905.899999999998</v>
      </c>
      <c r="E477" s="71"/>
      <c r="F477" s="71">
        <f>F478+F480+F482</f>
        <v>17905.899999999998</v>
      </c>
      <c r="G477" s="71">
        <f>G478+G480+G482</f>
        <v>18496.499999999996</v>
      </c>
      <c r="H477" s="71"/>
      <c r="I477" s="71">
        <f>I478+I480+I482</f>
        <v>18496.499999999996</v>
      </c>
      <c r="J477" s="71">
        <f>J478+J480+J482</f>
        <v>18496.499999999996</v>
      </c>
      <c r="K477" s="71"/>
      <c r="L477" s="71">
        <f>L478+L480+L482</f>
        <v>18496.499999999996</v>
      </c>
    </row>
    <row r="478" spans="1:12" x14ac:dyDescent="0.25">
      <c r="A478" s="6" t="s">
        <v>358</v>
      </c>
      <c r="B478" s="6"/>
      <c r="C478" s="1" t="s">
        <v>359</v>
      </c>
      <c r="D478" s="70">
        <f>D479</f>
        <v>24.2</v>
      </c>
      <c r="E478" s="70"/>
      <c r="F478" s="70">
        <f>F479</f>
        <v>24.2</v>
      </c>
      <c r="G478" s="70">
        <f>G479</f>
        <v>24.2</v>
      </c>
      <c r="H478" s="70"/>
      <c r="I478" s="70">
        <f>I479</f>
        <v>24.2</v>
      </c>
      <c r="J478" s="70">
        <f>J479</f>
        <v>24.2</v>
      </c>
      <c r="K478" s="70"/>
      <c r="L478" s="70">
        <f>L479</f>
        <v>24.2</v>
      </c>
    </row>
    <row r="479" spans="1:12" ht="26.25" x14ac:dyDescent="0.25">
      <c r="A479" s="6"/>
      <c r="B479" s="6" t="s">
        <v>280</v>
      </c>
      <c r="C479" s="3" t="s">
        <v>281</v>
      </c>
      <c r="D479" s="70">
        <v>24.2</v>
      </c>
      <c r="E479" s="70"/>
      <c r="F479" s="70">
        <v>24.2</v>
      </c>
      <c r="G479" s="70">
        <v>24.2</v>
      </c>
      <c r="H479" s="70"/>
      <c r="I479" s="70">
        <v>24.2</v>
      </c>
      <c r="J479" s="70">
        <v>24.2</v>
      </c>
      <c r="K479" s="70"/>
      <c r="L479" s="70">
        <v>24.2</v>
      </c>
    </row>
    <row r="480" spans="1:12" ht="51.75" x14ac:dyDescent="0.25">
      <c r="A480" s="6" t="s">
        <v>360</v>
      </c>
      <c r="B480" s="6"/>
      <c r="C480" s="3" t="s">
        <v>558</v>
      </c>
      <c r="D480" s="70">
        <f>D481</f>
        <v>140.59999999999991</v>
      </c>
      <c r="E480" s="70"/>
      <c r="F480" s="70">
        <f>F481</f>
        <v>140.59999999999991</v>
      </c>
      <c r="G480" s="70">
        <f>G481</f>
        <v>140.60000000000002</v>
      </c>
      <c r="H480" s="70"/>
      <c r="I480" s="70">
        <f>I481</f>
        <v>140.60000000000002</v>
      </c>
      <c r="J480" s="70">
        <f>J481</f>
        <v>140.60000000000002</v>
      </c>
      <c r="K480" s="70"/>
      <c r="L480" s="70">
        <f>L481</f>
        <v>140.60000000000002</v>
      </c>
    </row>
    <row r="481" spans="1:12" ht="26.25" x14ac:dyDescent="0.25">
      <c r="A481" s="6"/>
      <c r="B481" s="6" t="s">
        <v>280</v>
      </c>
      <c r="C481" s="3" t="s">
        <v>281</v>
      </c>
      <c r="D481" s="70">
        <f>815.3-674.7</f>
        <v>140.59999999999991</v>
      </c>
      <c r="E481" s="70"/>
      <c r="F481" s="70">
        <f>815.3-674.7</f>
        <v>140.59999999999991</v>
      </c>
      <c r="G481" s="70">
        <f>847.9-707.3</f>
        <v>140.60000000000002</v>
      </c>
      <c r="H481" s="70"/>
      <c r="I481" s="70">
        <f>847.9-707.3</f>
        <v>140.60000000000002</v>
      </c>
      <c r="J481" s="70">
        <f>881.9-741.3</f>
        <v>140.60000000000002</v>
      </c>
      <c r="K481" s="70"/>
      <c r="L481" s="70">
        <f>881.9-741.3</f>
        <v>140.60000000000002</v>
      </c>
    </row>
    <row r="482" spans="1:12" ht="26.25" x14ac:dyDescent="0.25">
      <c r="A482" s="6" t="s">
        <v>362</v>
      </c>
      <c r="B482" s="6"/>
      <c r="C482" s="57" t="s">
        <v>482</v>
      </c>
      <c r="D482" s="70">
        <f>D483+D484</f>
        <v>17741.099999999999</v>
      </c>
      <c r="E482" s="70"/>
      <c r="F482" s="70">
        <f>F483+F484</f>
        <v>17741.099999999999</v>
      </c>
      <c r="G482" s="70">
        <f>G483+G484</f>
        <v>18331.699999999997</v>
      </c>
      <c r="H482" s="70"/>
      <c r="I482" s="70">
        <f>I483+I484</f>
        <v>18331.699999999997</v>
      </c>
      <c r="J482" s="70">
        <f>J483+J484</f>
        <v>18331.699999999997</v>
      </c>
      <c r="K482" s="70"/>
      <c r="L482" s="70">
        <f>L483+L484</f>
        <v>18331.699999999997</v>
      </c>
    </row>
    <row r="483" spans="1:12" ht="51.75" x14ac:dyDescent="0.25">
      <c r="A483" s="6"/>
      <c r="B483" s="6" t="s">
        <v>398</v>
      </c>
      <c r="C483" s="3" t="s">
        <v>399</v>
      </c>
      <c r="D483" s="79">
        <v>16220.5</v>
      </c>
      <c r="E483" s="79"/>
      <c r="F483" s="79">
        <v>16220.5</v>
      </c>
      <c r="G483" s="79">
        <v>16811.099999999999</v>
      </c>
      <c r="H483" s="79"/>
      <c r="I483" s="79">
        <v>16811.099999999999</v>
      </c>
      <c r="J483" s="79">
        <v>16811.099999999999</v>
      </c>
      <c r="K483" s="79"/>
      <c r="L483" s="79">
        <v>16811.099999999999</v>
      </c>
    </row>
    <row r="484" spans="1:12" ht="26.25" x14ac:dyDescent="0.25">
      <c r="A484" s="6"/>
      <c r="B484" s="6" t="s">
        <v>280</v>
      </c>
      <c r="C484" s="3" t="s">
        <v>281</v>
      </c>
      <c r="D484" s="70">
        <v>1520.6</v>
      </c>
      <c r="E484" s="70"/>
      <c r="F484" s="70">
        <v>1520.6</v>
      </c>
      <c r="G484" s="70">
        <v>1520.6</v>
      </c>
      <c r="H484" s="70"/>
      <c r="I484" s="70">
        <v>1520.6</v>
      </c>
      <c r="J484" s="70">
        <v>1520.6</v>
      </c>
      <c r="K484" s="70"/>
      <c r="L484" s="70">
        <v>1520.6</v>
      </c>
    </row>
    <row r="485" spans="1:12" ht="26.25" x14ac:dyDescent="0.25">
      <c r="A485" s="33" t="s">
        <v>363</v>
      </c>
      <c r="B485" s="33"/>
      <c r="C485" s="20" t="s">
        <v>364</v>
      </c>
      <c r="D485" s="71">
        <f>D486+D488+D493+D491</f>
        <v>3394.8999999999996</v>
      </c>
      <c r="E485" s="71"/>
      <c r="F485" s="71">
        <f>F486+F488+F493+F491</f>
        <v>3394.8999999999996</v>
      </c>
      <c r="G485" s="71">
        <f>G486+G488+G493+G491</f>
        <v>5957.7000000000007</v>
      </c>
      <c r="H485" s="71"/>
      <c r="I485" s="71">
        <f>I486+I488+I493+I491</f>
        <v>5957.7000000000007</v>
      </c>
      <c r="J485" s="71">
        <f>J486+J488+J493+J491</f>
        <v>1090.8000000000002</v>
      </c>
      <c r="K485" s="71"/>
      <c r="L485" s="71">
        <f>L486+L488+L493+L491</f>
        <v>1090.8000000000002</v>
      </c>
    </row>
    <row r="486" spans="1:12" x14ac:dyDescent="0.25">
      <c r="A486" s="6" t="s">
        <v>365</v>
      </c>
      <c r="B486" s="6"/>
      <c r="C486" s="53" t="s">
        <v>689</v>
      </c>
      <c r="D486" s="70">
        <f>D487</f>
        <v>110.29999999999973</v>
      </c>
      <c r="E486" s="70"/>
      <c r="F486" s="70">
        <f>F487</f>
        <v>110.29999999999973</v>
      </c>
      <c r="G486" s="70">
        <f>G487</f>
        <v>2602.6999999999998</v>
      </c>
      <c r="H486" s="70"/>
      <c r="I486" s="70">
        <f>I487</f>
        <v>2602.6999999999998</v>
      </c>
      <c r="J486" s="70">
        <f>J487</f>
        <v>110.30000000000018</v>
      </c>
      <c r="K486" s="70"/>
      <c r="L486" s="70">
        <f>L487</f>
        <v>110.30000000000018</v>
      </c>
    </row>
    <row r="487" spans="1:12" s="91" customFormat="1" ht="26.25" x14ac:dyDescent="0.25">
      <c r="A487" s="6"/>
      <c r="B487" s="6" t="s">
        <v>280</v>
      </c>
      <c r="C487" s="3" t="s">
        <v>281</v>
      </c>
      <c r="D487" s="70">
        <f>4060.2-3949.9</f>
        <v>110.29999999999973</v>
      </c>
      <c r="E487" s="70"/>
      <c r="F487" s="70">
        <f>4060.2-3949.9</f>
        <v>110.29999999999973</v>
      </c>
      <c r="G487" s="70">
        <f>2607.1-4.4</f>
        <v>2602.6999999999998</v>
      </c>
      <c r="H487" s="70"/>
      <c r="I487" s="70">
        <f>2607.1-4.4</f>
        <v>2602.6999999999998</v>
      </c>
      <c r="J487" s="70">
        <f>2614.4-2504.1</f>
        <v>110.30000000000018</v>
      </c>
      <c r="K487" s="70"/>
      <c r="L487" s="70">
        <f>2614.4-2504.1</f>
        <v>110.30000000000018</v>
      </c>
    </row>
    <row r="488" spans="1:12" ht="26.25" x14ac:dyDescent="0.25">
      <c r="A488" s="6" t="s">
        <v>366</v>
      </c>
      <c r="B488" s="6"/>
      <c r="C488" s="54" t="s">
        <v>801</v>
      </c>
      <c r="D488" s="70">
        <f>D489+D490</f>
        <v>981.49999999999977</v>
      </c>
      <c r="E488" s="70"/>
      <c r="F488" s="70">
        <f>F489+F490</f>
        <v>981.49999999999977</v>
      </c>
      <c r="G488" s="70">
        <f>G489+G490</f>
        <v>980.50000000000023</v>
      </c>
      <c r="H488" s="70"/>
      <c r="I488" s="70">
        <f>I489+I490</f>
        <v>980.50000000000023</v>
      </c>
      <c r="J488" s="70">
        <f>J489+J490</f>
        <v>980.5</v>
      </c>
      <c r="K488" s="70"/>
      <c r="L488" s="70">
        <f>L489+L490</f>
        <v>980.5</v>
      </c>
    </row>
    <row r="489" spans="1:12" s="91" customFormat="1" ht="26.25" x14ac:dyDescent="0.25">
      <c r="A489" s="6"/>
      <c r="B489" s="6" t="s">
        <v>280</v>
      </c>
      <c r="C489" s="3" t="s">
        <v>281</v>
      </c>
      <c r="D489" s="70">
        <f>2792.1-1844.9</f>
        <v>947.19999999999982</v>
      </c>
      <c r="E489" s="70"/>
      <c r="F489" s="70">
        <f>2792.1-1844.9</f>
        <v>947.19999999999982</v>
      </c>
      <c r="G489" s="70">
        <f>2735.8-1789.6</f>
        <v>946.20000000000027</v>
      </c>
      <c r="H489" s="70"/>
      <c r="I489" s="70">
        <f>2735.8-1789.6</f>
        <v>946.20000000000027</v>
      </c>
      <c r="J489" s="70">
        <f>1545.2-599</f>
        <v>946.2</v>
      </c>
      <c r="K489" s="70"/>
      <c r="L489" s="70">
        <f>1545.2-599</f>
        <v>946.2</v>
      </c>
    </row>
    <row r="490" spans="1:12" s="91" customFormat="1" ht="26.25" x14ac:dyDescent="0.25">
      <c r="A490" s="6"/>
      <c r="B490" s="6" t="s">
        <v>470</v>
      </c>
      <c r="C490" s="3" t="s">
        <v>471</v>
      </c>
      <c r="D490" s="70">
        <v>34.299999999999997</v>
      </c>
      <c r="E490" s="70"/>
      <c r="F490" s="70">
        <v>34.299999999999997</v>
      </c>
      <c r="G490" s="70">
        <v>34.299999999999997</v>
      </c>
      <c r="H490" s="70"/>
      <c r="I490" s="70">
        <v>34.299999999999997</v>
      </c>
      <c r="J490" s="70">
        <v>34.299999999999997</v>
      </c>
      <c r="K490" s="70"/>
      <c r="L490" s="70">
        <v>34.299999999999997</v>
      </c>
    </row>
    <row r="491" spans="1:12" ht="26.25" x14ac:dyDescent="0.25">
      <c r="A491" s="6" t="s">
        <v>367</v>
      </c>
      <c r="B491" s="6"/>
      <c r="C491" s="3" t="s">
        <v>560</v>
      </c>
      <c r="D491" s="70">
        <f>D492</f>
        <v>1785</v>
      </c>
      <c r="E491" s="70"/>
      <c r="F491" s="70">
        <f>F492</f>
        <v>1785</v>
      </c>
      <c r="G491" s="70">
        <f>G492</f>
        <v>1856.4</v>
      </c>
      <c r="H491" s="70"/>
      <c r="I491" s="70">
        <f>I492</f>
        <v>1856.4</v>
      </c>
      <c r="J491" s="70">
        <f>J492</f>
        <v>0</v>
      </c>
      <c r="K491" s="70"/>
      <c r="L491" s="70">
        <f>L492</f>
        <v>0</v>
      </c>
    </row>
    <row r="492" spans="1:12" ht="26.25" x14ac:dyDescent="0.25">
      <c r="A492" s="6"/>
      <c r="B492" s="6" t="s">
        <v>280</v>
      </c>
      <c r="C492" s="3" t="s">
        <v>281</v>
      </c>
      <c r="D492" s="70">
        <v>1785</v>
      </c>
      <c r="E492" s="70"/>
      <c r="F492" s="70">
        <v>1785</v>
      </c>
      <c r="G492" s="70">
        <v>1856.4</v>
      </c>
      <c r="H492" s="70"/>
      <c r="I492" s="70">
        <v>1856.4</v>
      </c>
      <c r="J492" s="70">
        <v>0</v>
      </c>
      <c r="K492" s="70"/>
      <c r="L492" s="70">
        <v>0</v>
      </c>
    </row>
    <row r="493" spans="1:12" ht="26.25" x14ac:dyDescent="0.25">
      <c r="A493" s="6" t="s">
        <v>369</v>
      </c>
      <c r="B493" s="6"/>
      <c r="C493" s="67" t="s">
        <v>559</v>
      </c>
      <c r="D493" s="70">
        <f>D494</f>
        <v>518.1</v>
      </c>
      <c r="E493" s="70"/>
      <c r="F493" s="70">
        <f>F494</f>
        <v>518.1</v>
      </c>
      <c r="G493" s="70">
        <f>G494</f>
        <v>518.1</v>
      </c>
      <c r="H493" s="70"/>
      <c r="I493" s="70">
        <f>I494</f>
        <v>518.1</v>
      </c>
      <c r="J493" s="70">
        <f>J494</f>
        <v>0</v>
      </c>
      <c r="K493" s="70"/>
      <c r="L493" s="70">
        <f>L494</f>
        <v>0</v>
      </c>
    </row>
    <row r="494" spans="1:12" ht="26.25" x14ac:dyDescent="0.25">
      <c r="A494" s="6"/>
      <c r="B494" s="6" t="s">
        <v>398</v>
      </c>
      <c r="C494" s="3" t="s">
        <v>281</v>
      </c>
      <c r="D494" s="70">
        <v>518.1</v>
      </c>
      <c r="E494" s="70"/>
      <c r="F494" s="70">
        <v>518.1</v>
      </c>
      <c r="G494" s="70">
        <v>518.1</v>
      </c>
      <c r="H494" s="70"/>
      <c r="I494" s="70">
        <v>518.1</v>
      </c>
      <c r="J494" s="70">
        <v>0</v>
      </c>
      <c r="K494" s="70"/>
      <c r="L494" s="70">
        <v>0</v>
      </c>
    </row>
    <row r="495" spans="1:12" ht="26.25" x14ac:dyDescent="0.25">
      <c r="A495" s="33" t="s">
        <v>370</v>
      </c>
      <c r="B495" s="33"/>
      <c r="C495" s="20" t="s">
        <v>371</v>
      </c>
      <c r="D495" s="71">
        <f t="shared" ref="D495:J496" si="81">D496</f>
        <v>145.19999999999999</v>
      </c>
      <c r="E495" s="71"/>
      <c r="F495" s="71">
        <f t="shared" si="81"/>
        <v>145.19999999999999</v>
      </c>
      <c r="G495" s="71">
        <f t="shared" si="81"/>
        <v>145.19999999999999</v>
      </c>
      <c r="H495" s="71"/>
      <c r="I495" s="71">
        <f t="shared" si="81"/>
        <v>145.19999999999999</v>
      </c>
      <c r="J495" s="71">
        <f t="shared" si="81"/>
        <v>0</v>
      </c>
      <c r="K495" s="71"/>
      <c r="L495" s="71">
        <f>L496</f>
        <v>0</v>
      </c>
    </row>
    <row r="496" spans="1:12" x14ac:dyDescent="0.25">
      <c r="A496" s="6" t="s">
        <v>372</v>
      </c>
      <c r="B496" s="6"/>
      <c r="C496" s="57" t="s">
        <v>480</v>
      </c>
      <c r="D496" s="70">
        <f t="shared" si="81"/>
        <v>145.19999999999999</v>
      </c>
      <c r="E496" s="70"/>
      <c r="F496" s="70">
        <f t="shared" si="81"/>
        <v>145.19999999999999</v>
      </c>
      <c r="G496" s="70">
        <f t="shared" si="81"/>
        <v>145.19999999999999</v>
      </c>
      <c r="H496" s="70"/>
      <c r="I496" s="70">
        <f t="shared" si="81"/>
        <v>145.19999999999999</v>
      </c>
      <c r="J496" s="70">
        <f t="shared" si="81"/>
        <v>0</v>
      </c>
      <c r="K496" s="70"/>
      <c r="L496" s="70">
        <f>L497</f>
        <v>0</v>
      </c>
    </row>
    <row r="497" spans="1:12" ht="26.25" x14ac:dyDescent="0.25">
      <c r="A497" s="6"/>
      <c r="B497" s="6" t="s">
        <v>280</v>
      </c>
      <c r="C497" s="3" t="s">
        <v>281</v>
      </c>
      <c r="D497" s="70">
        <v>145.19999999999999</v>
      </c>
      <c r="E497" s="70"/>
      <c r="F497" s="70">
        <v>145.19999999999999</v>
      </c>
      <c r="G497" s="70">
        <v>145.19999999999999</v>
      </c>
      <c r="H497" s="70"/>
      <c r="I497" s="70">
        <v>145.19999999999999</v>
      </c>
      <c r="J497" s="70">
        <v>0</v>
      </c>
      <c r="K497" s="70"/>
      <c r="L497" s="70">
        <v>0</v>
      </c>
    </row>
    <row r="498" spans="1:12" ht="39" x14ac:dyDescent="0.25">
      <c r="A498" s="29" t="s">
        <v>373</v>
      </c>
      <c r="B498" s="29"/>
      <c r="C498" s="37" t="s">
        <v>374</v>
      </c>
      <c r="D498" s="72">
        <f>D499</f>
        <v>0</v>
      </c>
      <c r="E498" s="72"/>
      <c r="F498" s="72">
        <f t="shared" ref="F498:L498" si="82">F499</f>
        <v>0</v>
      </c>
      <c r="G498" s="72">
        <f t="shared" si="82"/>
        <v>11217.055329999999</v>
      </c>
      <c r="H498" s="72">
        <f t="shared" si="82"/>
        <v>-11217.055329999999</v>
      </c>
      <c r="I498" s="72">
        <f t="shared" si="82"/>
        <v>0</v>
      </c>
      <c r="J498" s="72">
        <f t="shared" si="82"/>
        <v>0</v>
      </c>
      <c r="K498" s="72">
        <f t="shared" si="82"/>
        <v>1632.7214799999999</v>
      </c>
      <c r="L498" s="72">
        <f t="shared" si="82"/>
        <v>1632.7214799999999</v>
      </c>
    </row>
    <row r="499" spans="1:12" ht="39" x14ac:dyDescent="0.25">
      <c r="A499" s="31" t="s">
        <v>375</v>
      </c>
      <c r="B499" s="43"/>
      <c r="C499" s="32" t="s">
        <v>376</v>
      </c>
      <c r="D499" s="75">
        <f t="shared" ref="D499:L500" si="83">D500</f>
        <v>0</v>
      </c>
      <c r="E499" s="75"/>
      <c r="F499" s="75">
        <f t="shared" si="83"/>
        <v>0</v>
      </c>
      <c r="G499" s="75">
        <f t="shared" si="83"/>
        <v>11217.055329999999</v>
      </c>
      <c r="H499" s="75">
        <f t="shared" si="83"/>
        <v>-11217.055329999999</v>
      </c>
      <c r="I499" s="75">
        <f t="shared" si="83"/>
        <v>0</v>
      </c>
      <c r="J499" s="75">
        <f t="shared" si="83"/>
        <v>0</v>
      </c>
      <c r="K499" s="75">
        <f t="shared" si="83"/>
        <v>1632.7214799999999</v>
      </c>
      <c r="L499" s="75">
        <f t="shared" si="83"/>
        <v>1632.7214799999999</v>
      </c>
    </row>
    <row r="500" spans="1:12" ht="53.25" customHeight="1" x14ac:dyDescent="0.25">
      <c r="A500" s="33" t="s">
        <v>469</v>
      </c>
      <c r="B500" s="36"/>
      <c r="C500" s="34" t="s">
        <v>377</v>
      </c>
      <c r="D500" s="82">
        <f t="shared" si="83"/>
        <v>0</v>
      </c>
      <c r="E500" s="82"/>
      <c r="F500" s="82">
        <f t="shared" si="83"/>
        <v>0</v>
      </c>
      <c r="G500" s="82">
        <f t="shared" si="83"/>
        <v>11217.055329999999</v>
      </c>
      <c r="H500" s="82">
        <f t="shared" si="83"/>
        <v>-11217.055329999999</v>
      </c>
      <c r="I500" s="82">
        <f t="shared" si="83"/>
        <v>0</v>
      </c>
      <c r="J500" s="82">
        <f>J501</f>
        <v>0</v>
      </c>
      <c r="K500" s="82">
        <f>K501</f>
        <v>1632.7214799999999</v>
      </c>
      <c r="L500" s="82">
        <f>L501</f>
        <v>1632.7214799999999</v>
      </c>
    </row>
    <row r="501" spans="1:12" ht="39" x14ac:dyDescent="0.25">
      <c r="A501" s="6" t="s">
        <v>468</v>
      </c>
      <c r="B501" s="6"/>
      <c r="C501" s="3" t="s">
        <v>378</v>
      </c>
      <c r="D501" s="70">
        <v>0</v>
      </c>
      <c r="E501" s="70"/>
      <c r="F501" s="70">
        <v>0</v>
      </c>
      <c r="G501" s="70">
        <f t="shared" ref="G501:L501" si="84">G503</f>
        <v>11217.055329999999</v>
      </c>
      <c r="H501" s="70">
        <f t="shared" si="84"/>
        <v>-11217.055329999999</v>
      </c>
      <c r="I501" s="70">
        <f t="shared" si="84"/>
        <v>0</v>
      </c>
      <c r="J501" s="70">
        <f t="shared" si="84"/>
        <v>0</v>
      </c>
      <c r="K501" s="70">
        <f t="shared" si="84"/>
        <v>1632.7214799999999</v>
      </c>
      <c r="L501" s="70">
        <f t="shared" si="84"/>
        <v>1632.7214799999999</v>
      </c>
    </row>
    <row r="502" spans="1:12" x14ac:dyDescent="0.25">
      <c r="A502" s="6"/>
      <c r="B502" s="6" t="s">
        <v>423</v>
      </c>
      <c r="C502" s="3" t="s">
        <v>424</v>
      </c>
      <c r="D502" s="70">
        <v>0</v>
      </c>
      <c r="E502" s="70"/>
      <c r="F502" s="70">
        <v>0</v>
      </c>
      <c r="G502" s="70">
        <f>G503</f>
        <v>11217.055329999999</v>
      </c>
      <c r="H502" s="70">
        <f>H503</f>
        <v>-11217.055329999999</v>
      </c>
      <c r="I502" s="70">
        <v>0</v>
      </c>
      <c r="J502" s="70">
        <v>0</v>
      </c>
      <c r="K502" s="70">
        <f>K503</f>
        <v>1632.7214799999999</v>
      </c>
      <c r="L502" s="70">
        <f>L503</f>
        <v>1632.7214799999999</v>
      </c>
    </row>
    <row r="503" spans="1:12" s="91" customFormat="1" x14ac:dyDescent="0.25">
      <c r="A503" s="6"/>
      <c r="B503" s="6"/>
      <c r="C503" s="9" t="s">
        <v>105</v>
      </c>
      <c r="D503" s="70">
        <v>0</v>
      </c>
      <c r="E503" s="70"/>
      <c r="F503" s="70">
        <v>0</v>
      </c>
      <c r="G503" s="70">
        <v>11217.055329999999</v>
      </c>
      <c r="H503" s="70">
        <v>-11217.055329999999</v>
      </c>
      <c r="I503" s="70">
        <v>0</v>
      </c>
      <c r="J503" s="70">
        <v>0</v>
      </c>
      <c r="K503" s="70">
        <v>1632.7214799999999</v>
      </c>
      <c r="L503" s="70">
        <v>1632.7214799999999</v>
      </c>
    </row>
    <row r="504" spans="1:12" ht="39" x14ac:dyDescent="0.25">
      <c r="A504" s="29" t="s">
        <v>379</v>
      </c>
      <c r="B504" s="58"/>
      <c r="C504" s="37" t="s">
        <v>495</v>
      </c>
      <c r="D504" s="72">
        <f>D505+D512</f>
        <v>5917.7224000000006</v>
      </c>
      <c r="E504" s="72"/>
      <c r="F504" s="72">
        <f>F505+F512</f>
        <v>5917.7224000000006</v>
      </c>
      <c r="G504" s="72">
        <f>G505+G512</f>
        <v>1412.7</v>
      </c>
      <c r="H504" s="72"/>
      <c r="I504" s="72">
        <f>I505+I512</f>
        <v>1412.7</v>
      </c>
      <c r="J504" s="72">
        <f>J505+J512</f>
        <v>0</v>
      </c>
      <c r="K504" s="72"/>
      <c r="L504" s="72">
        <f>L505+L512</f>
        <v>0</v>
      </c>
    </row>
    <row r="505" spans="1:12" x14ac:dyDescent="0.25">
      <c r="A505" s="33" t="s">
        <v>380</v>
      </c>
      <c r="B505" s="36"/>
      <c r="C505" s="34" t="s">
        <v>381</v>
      </c>
      <c r="D505" s="71">
        <f>D506+D508</f>
        <v>5717.7224000000006</v>
      </c>
      <c r="E505" s="71"/>
      <c r="F505" s="71">
        <f>F506+F508</f>
        <v>5717.7224000000006</v>
      </c>
      <c r="G505" s="71">
        <f>G506+G508</f>
        <v>1412.7</v>
      </c>
      <c r="H505" s="71"/>
      <c r="I505" s="71">
        <f>I506+I508</f>
        <v>1412.7</v>
      </c>
      <c r="J505" s="71">
        <f>J506+J508</f>
        <v>0</v>
      </c>
      <c r="K505" s="71"/>
      <c r="L505" s="71">
        <f>L506+L508</f>
        <v>0</v>
      </c>
    </row>
    <row r="506" spans="1:12" x14ac:dyDescent="0.25">
      <c r="A506" s="6" t="s">
        <v>382</v>
      </c>
      <c r="B506" s="6"/>
      <c r="C506" s="3" t="s">
        <v>383</v>
      </c>
      <c r="D506" s="70">
        <f>D507</f>
        <v>300</v>
      </c>
      <c r="E506" s="70"/>
      <c r="F506" s="70">
        <f>F507</f>
        <v>300</v>
      </c>
      <c r="G506" s="70">
        <f>G507</f>
        <v>600</v>
      </c>
      <c r="H506" s="70"/>
      <c r="I506" s="70">
        <f>I507</f>
        <v>600</v>
      </c>
      <c r="J506" s="70">
        <f>J507</f>
        <v>0</v>
      </c>
      <c r="K506" s="70"/>
      <c r="L506" s="70">
        <f>L507</f>
        <v>0</v>
      </c>
    </row>
    <row r="507" spans="1:12" ht="26.25" x14ac:dyDescent="0.25">
      <c r="A507" s="6"/>
      <c r="B507" s="6" t="s">
        <v>280</v>
      </c>
      <c r="C507" s="3" t="s">
        <v>281</v>
      </c>
      <c r="D507" s="70">
        <v>300</v>
      </c>
      <c r="E507" s="70"/>
      <c r="F507" s="70">
        <v>300</v>
      </c>
      <c r="G507" s="70">
        <v>600</v>
      </c>
      <c r="H507" s="70"/>
      <c r="I507" s="70">
        <v>600</v>
      </c>
      <c r="J507" s="70">
        <v>0</v>
      </c>
      <c r="K507" s="70"/>
      <c r="L507" s="70">
        <v>0</v>
      </c>
    </row>
    <row r="508" spans="1:12" ht="25.5" x14ac:dyDescent="0.25">
      <c r="A508" s="6" t="s">
        <v>385</v>
      </c>
      <c r="B508" s="6"/>
      <c r="C508" s="1" t="s">
        <v>481</v>
      </c>
      <c r="D508" s="70">
        <f>D509</f>
        <v>5417.7224000000006</v>
      </c>
      <c r="E508" s="70"/>
      <c r="F508" s="70">
        <f>F509</f>
        <v>5417.7224000000006</v>
      </c>
      <c r="G508" s="70">
        <f>G510+G511</f>
        <v>812.7</v>
      </c>
      <c r="H508" s="70"/>
      <c r="I508" s="70">
        <f>I510+I511</f>
        <v>812.7</v>
      </c>
      <c r="J508" s="70">
        <f>J510+J511</f>
        <v>0</v>
      </c>
      <c r="K508" s="70"/>
      <c r="L508" s="70">
        <f>L510+L511</f>
        <v>0</v>
      </c>
    </row>
    <row r="509" spans="1:12" ht="26.25" x14ac:dyDescent="0.25">
      <c r="A509" s="6"/>
      <c r="B509" s="6" t="s">
        <v>280</v>
      </c>
      <c r="C509" s="3" t="s">
        <v>281</v>
      </c>
      <c r="D509" s="70">
        <f>D510+D511</f>
        <v>5417.7224000000006</v>
      </c>
      <c r="E509" s="70"/>
      <c r="F509" s="70">
        <f>F510+F511</f>
        <v>5417.7224000000006</v>
      </c>
      <c r="G509" s="70">
        <f>G511</f>
        <v>812.7</v>
      </c>
      <c r="H509" s="70"/>
      <c r="I509" s="70">
        <f>I511</f>
        <v>812.7</v>
      </c>
      <c r="J509" s="70">
        <f>J511</f>
        <v>0</v>
      </c>
      <c r="K509" s="70"/>
      <c r="L509" s="70">
        <f>L511</f>
        <v>0</v>
      </c>
    </row>
    <row r="510" spans="1:12" x14ac:dyDescent="0.25">
      <c r="A510" s="6"/>
      <c r="B510" s="6"/>
      <c r="C510" s="9" t="s">
        <v>209</v>
      </c>
      <c r="D510" s="70">
        <v>4605.0640400000002</v>
      </c>
      <c r="E510" s="70"/>
      <c r="F510" s="70">
        <v>4605.0640400000002</v>
      </c>
      <c r="G510" s="70">
        <v>0</v>
      </c>
      <c r="H510" s="70"/>
      <c r="I510" s="70">
        <v>0</v>
      </c>
      <c r="J510" s="70">
        <v>0</v>
      </c>
      <c r="K510" s="70"/>
      <c r="L510" s="70">
        <v>0</v>
      </c>
    </row>
    <row r="511" spans="1:12" x14ac:dyDescent="0.25">
      <c r="A511" s="6"/>
      <c r="B511" s="6"/>
      <c r="C511" s="3" t="s">
        <v>384</v>
      </c>
      <c r="D511" s="70">
        <v>812.65836000000002</v>
      </c>
      <c r="E511" s="70"/>
      <c r="F511" s="70">
        <v>812.65836000000002</v>
      </c>
      <c r="G511" s="70">
        <v>812.7</v>
      </c>
      <c r="H511" s="70"/>
      <c r="I511" s="70">
        <v>812.7</v>
      </c>
      <c r="J511" s="70">
        <v>0</v>
      </c>
      <c r="K511" s="70"/>
      <c r="L511" s="70">
        <v>0</v>
      </c>
    </row>
    <row r="512" spans="1:12" ht="39" x14ac:dyDescent="0.25">
      <c r="A512" s="33" t="s">
        <v>386</v>
      </c>
      <c r="B512" s="36"/>
      <c r="C512" s="34" t="s">
        <v>387</v>
      </c>
      <c r="D512" s="71">
        <f>D513</f>
        <v>200</v>
      </c>
      <c r="E512" s="71"/>
      <c r="F512" s="71">
        <f>F513</f>
        <v>200</v>
      </c>
      <c r="G512" s="71">
        <f>G513</f>
        <v>0</v>
      </c>
      <c r="H512" s="71"/>
      <c r="I512" s="71">
        <f>I513</f>
        <v>0</v>
      </c>
      <c r="J512" s="71">
        <f>J513</f>
        <v>0</v>
      </c>
      <c r="K512" s="71"/>
      <c r="L512" s="71">
        <f>L513</f>
        <v>0</v>
      </c>
    </row>
    <row r="513" spans="1:12" ht="39" x14ac:dyDescent="0.25">
      <c r="A513" s="6" t="s">
        <v>388</v>
      </c>
      <c r="B513" s="6"/>
      <c r="C513" s="3" t="s">
        <v>389</v>
      </c>
      <c r="D513" s="70">
        <f>D514</f>
        <v>200</v>
      </c>
      <c r="E513" s="70"/>
      <c r="F513" s="70">
        <f>F514</f>
        <v>200</v>
      </c>
      <c r="G513" s="70">
        <v>0</v>
      </c>
      <c r="H513" s="70"/>
      <c r="I513" s="70">
        <v>0</v>
      </c>
      <c r="J513" s="70">
        <v>0</v>
      </c>
      <c r="K513" s="70"/>
      <c r="L513" s="70">
        <v>0</v>
      </c>
    </row>
    <row r="514" spans="1:12" ht="26.25" x14ac:dyDescent="0.25">
      <c r="A514" s="6"/>
      <c r="B514" s="6" t="s">
        <v>280</v>
      </c>
      <c r="C514" s="3" t="s">
        <v>281</v>
      </c>
      <c r="D514" s="70">
        <v>200</v>
      </c>
      <c r="E514" s="70"/>
      <c r="F514" s="70">
        <v>200</v>
      </c>
      <c r="G514" s="70">
        <v>0</v>
      </c>
      <c r="H514" s="70"/>
      <c r="I514" s="70">
        <v>0</v>
      </c>
      <c r="J514" s="70">
        <v>0</v>
      </c>
      <c r="K514" s="70"/>
      <c r="L514" s="70">
        <v>0</v>
      </c>
    </row>
    <row r="515" spans="1:12" x14ac:dyDescent="0.25">
      <c r="A515" s="59" t="s">
        <v>393</v>
      </c>
      <c r="B515" s="59"/>
      <c r="C515" s="60" t="s">
        <v>394</v>
      </c>
      <c r="D515" s="83">
        <f t="shared" ref="D515:L515" si="85">D516+D522</f>
        <v>71486.619300000006</v>
      </c>
      <c r="E515" s="83">
        <f>E516+E522</f>
        <v>4331.9699999999993</v>
      </c>
      <c r="F515" s="83">
        <f t="shared" si="85"/>
        <v>75818.589300000007</v>
      </c>
      <c r="G515" s="83">
        <f t="shared" si="85"/>
        <v>65434.757700000009</v>
      </c>
      <c r="H515" s="83">
        <f t="shared" si="85"/>
        <v>0</v>
      </c>
      <c r="I515" s="83">
        <f t="shared" si="85"/>
        <v>65434.757700000009</v>
      </c>
      <c r="J515" s="83">
        <f t="shared" si="85"/>
        <v>64707.417300000008</v>
      </c>
      <c r="K515" s="83">
        <f t="shared" si="85"/>
        <v>0</v>
      </c>
      <c r="L515" s="83">
        <f t="shared" si="85"/>
        <v>64707.417300000008</v>
      </c>
    </row>
    <row r="516" spans="1:12" ht="26.25" x14ac:dyDescent="0.25">
      <c r="A516" s="61" t="s">
        <v>395</v>
      </c>
      <c r="B516" s="62"/>
      <c r="C516" s="63" t="s">
        <v>396</v>
      </c>
      <c r="D516" s="84">
        <f>D517+D519</f>
        <v>2909.7</v>
      </c>
      <c r="E516" s="84"/>
      <c r="F516" s="84">
        <f>F517+F519</f>
        <v>2909.7</v>
      </c>
      <c r="G516" s="84">
        <f>G517+G519</f>
        <v>2971.3</v>
      </c>
      <c r="H516" s="84"/>
      <c r="I516" s="84">
        <f>I517+I519</f>
        <v>2971.3</v>
      </c>
      <c r="J516" s="84">
        <f>J517+J519</f>
        <v>2737.3</v>
      </c>
      <c r="K516" s="84"/>
      <c r="L516" s="84">
        <f>L517+L519</f>
        <v>2737.3</v>
      </c>
    </row>
    <row r="517" spans="1:12" ht="26.25" x14ac:dyDescent="0.25">
      <c r="A517" s="6" t="s">
        <v>397</v>
      </c>
      <c r="B517" s="6"/>
      <c r="C517" s="3" t="s">
        <v>486</v>
      </c>
      <c r="D517" s="70">
        <v>1164</v>
      </c>
      <c r="E517" s="70"/>
      <c r="F517" s="70">
        <v>1164</v>
      </c>
      <c r="G517" s="70">
        <v>1164</v>
      </c>
      <c r="H517" s="70"/>
      <c r="I517" s="70">
        <v>1164</v>
      </c>
      <c r="J517" s="70">
        <f>J518</f>
        <v>939.8</v>
      </c>
      <c r="K517" s="70"/>
      <c r="L517" s="70">
        <f>L518</f>
        <v>939.8</v>
      </c>
    </row>
    <row r="518" spans="1:12" ht="51.75" x14ac:dyDescent="0.25">
      <c r="A518" s="6"/>
      <c r="B518" s="6" t="s">
        <v>398</v>
      </c>
      <c r="C518" s="3" t="s">
        <v>399</v>
      </c>
      <c r="D518" s="70">
        <v>1164</v>
      </c>
      <c r="E518" s="70"/>
      <c r="F518" s="70">
        <v>1164</v>
      </c>
      <c r="G518" s="70">
        <v>1164</v>
      </c>
      <c r="H518" s="70"/>
      <c r="I518" s="70">
        <v>1164</v>
      </c>
      <c r="J518" s="70">
        <f>1164-224.2</f>
        <v>939.8</v>
      </c>
      <c r="K518" s="70"/>
      <c r="L518" s="70">
        <f>1164-224.2</f>
        <v>939.8</v>
      </c>
    </row>
    <row r="519" spans="1:12" ht="26.25" x14ac:dyDescent="0.25">
      <c r="A519" s="6" t="s">
        <v>400</v>
      </c>
      <c r="B519" s="6"/>
      <c r="C519" s="54" t="s">
        <v>796</v>
      </c>
      <c r="D519" s="70">
        <f>D520+D521</f>
        <v>1745.7</v>
      </c>
      <c r="E519" s="70"/>
      <c r="F519" s="70">
        <f>F520+F521</f>
        <v>1745.7</v>
      </c>
      <c r="G519" s="70">
        <f>G520+G521</f>
        <v>1807.3</v>
      </c>
      <c r="H519" s="70"/>
      <c r="I519" s="70">
        <f>I520+I521</f>
        <v>1807.3</v>
      </c>
      <c r="J519" s="70">
        <f>J520+J521</f>
        <v>1797.5</v>
      </c>
      <c r="K519" s="70"/>
      <c r="L519" s="70">
        <f>L520+L521</f>
        <v>1797.5</v>
      </c>
    </row>
    <row r="520" spans="1:12" ht="51.75" x14ac:dyDescent="0.25">
      <c r="A520" s="6"/>
      <c r="B520" s="6" t="s">
        <v>398</v>
      </c>
      <c r="C520" s="3" t="s">
        <v>399</v>
      </c>
      <c r="D520" s="70">
        <v>1695</v>
      </c>
      <c r="E520" s="70"/>
      <c r="F520" s="70">
        <v>1695</v>
      </c>
      <c r="G520" s="70">
        <v>1756.6</v>
      </c>
      <c r="H520" s="70"/>
      <c r="I520" s="70">
        <v>1756.6</v>
      </c>
      <c r="J520" s="70">
        <v>1756.6</v>
      </c>
      <c r="K520" s="70"/>
      <c r="L520" s="70">
        <v>1756.6</v>
      </c>
    </row>
    <row r="521" spans="1:12" ht="26.25" x14ac:dyDescent="0.25">
      <c r="A521" s="6"/>
      <c r="B521" s="6" t="s">
        <v>280</v>
      </c>
      <c r="C521" s="3" t="s">
        <v>281</v>
      </c>
      <c r="D521" s="70">
        <v>50.7</v>
      </c>
      <c r="E521" s="70"/>
      <c r="F521" s="70">
        <v>50.7</v>
      </c>
      <c r="G521" s="70">
        <v>50.7</v>
      </c>
      <c r="H521" s="70"/>
      <c r="I521" s="70">
        <v>50.7</v>
      </c>
      <c r="J521" s="70">
        <f>50.7-9.8</f>
        <v>40.900000000000006</v>
      </c>
      <c r="K521" s="70"/>
      <c r="L521" s="70">
        <f>50.7-9.8</f>
        <v>40.900000000000006</v>
      </c>
    </row>
    <row r="522" spans="1:12" ht="39" x14ac:dyDescent="0.25">
      <c r="A522" s="61" t="s">
        <v>401</v>
      </c>
      <c r="B522" s="61"/>
      <c r="C522" s="63" t="s">
        <v>402</v>
      </c>
      <c r="D522" s="84">
        <f>D525+D529+D536+D538+D540+D544+D549+D551+D553+D555+D557+D559+D532+D561+D547+D523+D563+D565</f>
        <v>68576.919300000009</v>
      </c>
      <c r="E522" s="84">
        <f t="shared" ref="E522:F522" si="86">E525+E529+E536+E538+E540+E544+E549+E551+E553+E555+E557+E559+E532+E561+E547+E523+E563+E565</f>
        <v>4331.9699999999993</v>
      </c>
      <c r="F522" s="84">
        <f t="shared" si="86"/>
        <v>72908.88930000001</v>
      </c>
      <c r="G522" s="84">
        <f t="shared" ref="G522:L522" si="87">G525+G529+G536+G538+G540+G544+G549+G551+G553+G555+G557+G559+G532+G561+G547+G523</f>
        <v>62463.457700000006</v>
      </c>
      <c r="H522" s="84">
        <f t="shared" si="87"/>
        <v>0</v>
      </c>
      <c r="I522" s="84">
        <f t="shared" si="87"/>
        <v>62463.457700000006</v>
      </c>
      <c r="J522" s="84">
        <f t="shared" si="87"/>
        <v>61970.117300000005</v>
      </c>
      <c r="K522" s="84">
        <f t="shared" si="87"/>
        <v>0</v>
      </c>
      <c r="L522" s="84">
        <f t="shared" si="87"/>
        <v>61970.117300000005</v>
      </c>
    </row>
    <row r="523" spans="1:12" x14ac:dyDescent="0.25">
      <c r="A523" s="4" t="s">
        <v>561</v>
      </c>
      <c r="B523" s="12"/>
      <c r="C523" s="3" t="s">
        <v>691</v>
      </c>
      <c r="D523" s="70">
        <f t="shared" ref="D523:L523" si="88">D524</f>
        <v>0</v>
      </c>
      <c r="E523" s="70"/>
      <c r="F523" s="70">
        <f t="shared" si="88"/>
        <v>0</v>
      </c>
      <c r="G523" s="70">
        <f t="shared" si="88"/>
        <v>0</v>
      </c>
      <c r="H523" s="70"/>
      <c r="I523" s="70">
        <f t="shared" si="88"/>
        <v>0</v>
      </c>
      <c r="J523" s="70">
        <f t="shared" si="88"/>
        <v>0</v>
      </c>
      <c r="K523" s="70"/>
      <c r="L523" s="70">
        <f t="shared" si="88"/>
        <v>0</v>
      </c>
    </row>
    <row r="524" spans="1:12" ht="26.25" x14ac:dyDescent="0.25">
      <c r="A524" s="12"/>
      <c r="B524" s="16" t="s">
        <v>470</v>
      </c>
      <c r="C524" s="3" t="s">
        <v>471</v>
      </c>
      <c r="D524" s="70">
        <v>0</v>
      </c>
      <c r="E524" s="70"/>
      <c r="F524" s="70">
        <v>0</v>
      </c>
      <c r="G524" s="70">
        <v>0</v>
      </c>
      <c r="H524" s="70"/>
      <c r="I524" s="70">
        <v>0</v>
      </c>
      <c r="J524" s="70">
        <v>0</v>
      </c>
      <c r="K524" s="70"/>
      <c r="L524" s="70">
        <v>0</v>
      </c>
    </row>
    <row r="525" spans="1:12" ht="26.25" x14ac:dyDescent="0.25">
      <c r="A525" s="6" t="s">
        <v>403</v>
      </c>
      <c r="B525" s="6"/>
      <c r="C525" s="3" t="s">
        <v>404</v>
      </c>
      <c r="D525" s="70">
        <f>D526+D527+D528</f>
        <v>2670.7999999999997</v>
      </c>
      <c r="E525" s="70">
        <f>E526+E527+E528</f>
        <v>-83.5</v>
      </c>
      <c r="F525" s="70">
        <f>F526+F527+F528</f>
        <v>2587.2999999999997</v>
      </c>
      <c r="G525" s="70">
        <f>G526+G527+G528</f>
        <v>3380.1</v>
      </c>
      <c r="H525" s="70"/>
      <c r="I525" s="70">
        <f>I526+I527+I528</f>
        <v>3380.1</v>
      </c>
      <c r="J525" s="70">
        <f>J526+J527+J528</f>
        <v>3380.1</v>
      </c>
      <c r="K525" s="70"/>
      <c r="L525" s="70">
        <f>L526+L527+L528</f>
        <v>3380.1</v>
      </c>
    </row>
    <row r="526" spans="1:12" ht="51.75" x14ac:dyDescent="0.25">
      <c r="A526" s="12"/>
      <c r="B526" s="6" t="s">
        <v>398</v>
      </c>
      <c r="C526" s="3" t="s">
        <v>399</v>
      </c>
      <c r="D526" s="70">
        <v>2447.6999999999998</v>
      </c>
      <c r="E526" s="70"/>
      <c r="F526" s="70">
        <f>SUM(D526:E526)</f>
        <v>2447.6999999999998</v>
      </c>
      <c r="G526" s="70">
        <v>3157</v>
      </c>
      <c r="H526" s="70"/>
      <c r="I526" s="70">
        <v>3157</v>
      </c>
      <c r="J526" s="70">
        <v>3157</v>
      </c>
      <c r="K526" s="70"/>
      <c r="L526" s="70">
        <v>3157</v>
      </c>
    </row>
    <row r="527" spans="1:12" ht="26.25" x14ac:dyDescent="0.25">
      <c r="A527" s="12"/>
      <c r="B527" s="6" t="s">
        <v>280</v>
      </c>
      <c r="C527" s="3" t="s">
        <v>281</v>
      </c>
      <c r="D527" s="70">
        <f>105.6-2.1</f>
        <v>103.5</v>
      </c>
      <c r="E527" s="70"/>
      <c r="F527" s="70">
        <f>105.6-2.1</f>
        <v>103.5</v>
      </c>
      <c r="G527" s="70">
        <f>105.6-2.1</f>
        <v>103.5</v>
      </c>
      <c r="H527" s="70"/>
      <c r="I527" s="70">
        <f>105.6-2.1</f>
        <v>103.5</v>
      </c>
      <c r="J527" s="70">
        <f>105.6-2.1</f>
        <v>103.5</v>
      </c>
      <c r="K527" s="70"/>
      <c r="L527" s="70">
        <f>105.6-2.1</f>
        <v>103.5</v>
      </c>
    </row>
    <row r="528" spans="1:12" x14ac:dyDescent="0.25">
      <c r="A528" s="12"/>
      <c r="B528" s="16" t="s">
        <v>405</v>
      </c>
      <c r="C528" s="7" t="s">
        <v>406</v>
      </c>
      <c r="D528" s="70">
        <v>119.6</v>
      </c>
      <c r="E528" s="70">
        <v>-83.5</v>
      </c>
      <c r="F528" s="70">
        <f>119.6-83.5</f>
        <v>36.099999999999994</v>
      </c>
      <c r="G528" s="70">
        <v>119.6</v>
      </c>
      <c r="H528" s="70"/>
      <c r="I528" s="70">
        <v>119.6</v>
      </c>
      <c r="J528" s="70">
        <v>119.6</v>
      </c>
      <c r="K528" s="70"/>
      <c r="L528" s="70">
        <v>119.6</v>
      </c>
    </row>
    <row r="529" spans="1:12" ht="26.25" x14ac:dyDescent="0.25">
      <c r="A529" s="6" t="s">
        <v>407</v>
      </c>
      <c r="B529" s="6"/>
      <c r="C529" s="54" t="s">
        <v>797</v>
      </c>
      <c r="D529" s="70">
        <f>D530+D531</f>
        <v>18081.100000000002</v>
      </c>
      <c r="E529" s="70">
        <f>E530+E531</f>
        <v>156.80000000000001</v>
      </c>
      <c r="F529" s="70">
        <f>F530+F531</f>
        <v>18237.900000000001</v>
      </c>
      <c r="G529" s="70">
        <f>G530+G531</f>
        <v>18453.300000000003</v>
      </c>
      <c r="H529" s="70"/>
      <c r="I529" s="70">
        <f>I530+I531</f>
        <v>18453.300000000003</v>
      </c>
      <c r="J529" s="70">
        <f>J530+J531</f>
        <v>18453.300000000003</v>
      </c>
      <c r="K529" s="70">
        <f>K530</f>
        <v>0</v>
      </c>
      <c r="L529" s="70">
        <f>L530+L531</f>
        <v>18453.300000000003</v>
      </c>
    </row>
    <row r="530" spans="1:12" ht="51.75" x14ac:dyDescent="0.25">
      <c r="A530" s="6"/>
      <c r="B530" s="6" t="s">
        <v>398</v>
      </c>
      <c r="C530" s="3" t="s">
        <v>399</v>
      </c>
      <c r="D530" s="85">
        <v>17114.7</v>
      </c>
      <c r="E530" s="85">
        <v>156.80000000000001</v>
      </c>
      <c r="F530" s="85">
        <v>17271.5</v>
      </c>
      <c r="G530" s="85">
        <v>17486.900000000001</v>
      </c>
      <c r="H530" s="85"/>
      <c r="I530" s="85">
        <f>18235-748.1</f>
        <v>17486.900000000001</v>
      </c>
      <c r="J530" s="85">
        <v>17486.900000000001</v>
      </c>
      <c r="K530" s="85"/>
      <c r="L530" s="85">
        <f>18235-748.1</f>
        <v>17486.900000000001</v>
      </c>
    </row>
    <row r="531" spans="1:12" ht="26.25" x14ac:dyDescent="0.25">
      <c r="A531" s="6"/>
      <c r="B531" s="6" t="s">
        <v>280</v>
      </c>
      <c r="C531" s="3" t="s">
        <v>281</v>
      </c>
      <c r="D531" s="70">
        <f>986.1-19.7</f>
        <v>966.4</v>
      </c>
      <c r="E531" s="70"/>
      <c r="F531" s="70">
        <f>986.1-19.7</f>
        <v>966.4</v>
      </c>
      <c r="G531" s="70">
        <f>986.1-19.7</f>
        <v>966.4</v>
      </c>
      <c r="H531" s="70"/>
      <c r="I531" s="70">
        <f>986.1-19.7</f>
        <v>966.4</v>
      </c>
      <c r="J531" s="70">
        <f>986.1-19.7</f>
        <v>966.4</v>
      </c>
      <c r="K531" s="70"/>
      <c r="L531" s="70">
        <f>986.1-19.7</f>
        <v>966.4</v>
      </c>
    </row>
    <row r="532" spans="1:12" ht="39" x14ac:dyDescent="0.25">
      <c r="A532" s="6" t="s">
        <v>408</v>
      </c>
      <c r="B532" s="6"/>
      <c r="C532" s="3" t="s">
        <v>68</v>
      </c>
      <c r="D532" s="70">
        <f>D533</f>
        <v>0</v>
      </c>
      <c r="E532" s="70"/>
      <c r="F532" s="70">
        <f>F533</f>
        <v>0</v>
      </c>
      <c r="G532" s="70">
        <f>G533</f>
        <v>0</v>
      </c>
      <c r="H532" s="70"/>
      <c r="I532" s="70">
        <f>I533</f>
        <v>0</v>
      </c>
      <c r="J532" s="70">
        <f>J533</f>
        <v>0</v>
      </c>
      <c r="K532" s="70"/>
      <c r="L532" s="70">
        <f>L533</f>
        <v>0</v>
      </c>
    </row>
    <row r="533" spans="1:12" ht="51.75" x14ac:dyDescent="0.25">
      <c r="A533" s="6"/>
      <c r="B533" s="6" t="s">
        <v>398</v>
      </c>
      <c r="C533" s="3" t="s">
        <v>399</v>
      </c>
      <c r="D533" s="70">
        <v>0</v>
      </c>
      <c r="E533" s="70"/>
      <c r="F533" s="70">
        <v>0</v>
      </c>
      <c r="G533" s="70">
        <v>0</v>
      </c>
      <c r="H533" s="70"/>
      <c r="I533" s="70">
        <v>0</v>
      </c>
      <c r="J533" s="70">
        <v>0</v>
      </c>
      <c r="K533" s="70"/>
      <c r="L533" s="70">
        <v>0</v>
      </c>
    </row>
    <row r="534" spans="1:12" ht="25.5" x14ac:dyDescent="0.25">
      <c r="A534" s="6" t="s">
        <v>409</v>
      </c>
      <c r="B534" s="6"/>
      <c r="C534" s="1" t="s">
        <v>410</v>
      </c>
      <c r="D534" s="70">
        <f>D535</f>
        <v>0</v>
      </c>
      <c r="E534" s="70"/>
      <c r="F534" s="70">
        <f>F535</f>
        <v>0</v>
      </c>
      <c r="G534" s="70">
        <f>G535</f>
        <v>0</v>
      </c>
      <c r="H534" s="70"/>
      <c r="I534" s="70">
        <f>I535</f>
        <v>0</v>
      </c>
      <c r="J534" s="70">
        <f>J535</f>
        <v>0</v>
      </c>
      <c r="K534" s="70"/>
      <c r="L534" s="70">
        <f>L535</f>
        <v>0</v>
      </c>
    </row>
    <row r="535" spans="1:12" ht="51.75" x14ac:dyDescent="0.25">
      <c r="A535" s="6"/>
      <c r="B535" s="6" t="s">
        <v>398</v>
      </c>
      <c r="C535" s="3" t="s">
        <v>399</v>
      </c>
      <c r="D535" s="70">
        <v>0</v>
      </c>
      <c r="E535" s="70"/>
      <c r="F535" s="70">
        <v>0</v>
      </c>
      <c r="G535" s="70">
        <v>0</v>
      </c>
      <c r="H535" s="70"/>
      <c r="I535" s="70">
        <v>0</v>
      </c>
      <c r="J535" s="70">
        <v>0</v>
      </c>
      <c r="K535" s="70"/>
      <c r="L535" s="70">
        <v>0</v>
      </c>
    </row>
    <row r="536" spans="1:12" ht="51.75" x14ac:dyDescent="0.25">
      <c r="A536" s="6" t="s">
        <v>411</v>
      </c>
      <c r="B536" s="6"/>
      <c r="C536" s="3" t="s">
        <v>412</v>
      </c>
      <c r="D536" s="70">
        <f>D537</f>
        <v>6137.6347999999998</v>
      </c>
      <c r="E536" s="70"/>
      <c r="F536" s="70">
        <f>F537</f>
        <v>6137.6347999999998</v>
      </c>
      <c r="G536" s="70">
        <f>G537</f>
        <v>6005.0562</v>
      </c>
      <c r="H536" s="70"/>
      <c r="I536" s="70">
        <f>I537</f>
        <v>6005.0562</v>
      </c>
      <c r="J536" s="70">
        <f>J537</f>
        <v>5811.7157999999999</v>
      </c>
      <c r="K536" s="70"/>
      <c r="L536" s="70">
        <f>L537</f>
        <v>5811.7157999999999</v>
      </c>
    </row>
    <row r="537" spans="1:12" ht="51.75" x14ac:dyDescent="0.25">
      <c r="A537" s="6"/>
      <c r="B537" s="6" t="s">
        <v>398</v>
      </c>
      <c r="C537" s="3" t="s">
        <v>399</v>
      </c>
      <c r="D537" s="70">
        <v>6137.6347999999998</v>
      </c>
      <c r="E537" s="80"/>
      <c r="F537" s="80">
        <f>D537+E537</f>
        <v>6137.6347999999998</v>
      </c>
      <c r="G537" s="80">
        <v>6005.0562</v>
      </c>
      <c r="H537" s="80"/>
      <c r="I537" s="80">
        <f>G537+H537</f>
        <v>6005.0562</v>
      </c>
      <c r="J537" s="80">
        <v>5811.7157999999999</v>
      </c>
      <c r="K537" s="80"/>
      <c r="L537" s="70">
        <f>J537+K537</f>
        <v>5811.7157999999999</v>
      </c>
    </row>
    <row r="538" spans="1:12" ht="64.5" x14ac:dyDescent="0.25">
      <c r="A538" s="6" t="s">
        <v>849</v>
      </c>
      <c r="B538" s="6"/>
      <c r="C538" s="3" t="s">
        <v>850</v>
      </c>
      <c r="D538" s="70">
        <f t="shared" ref="D538:L538" si="89">D539</f>
        <v>198.4845</v>
      </c>
      <c r="E538" s="70"/>
      <c r="F538" s="70">
        <f t="shared" si="89"/>
        <v>198.4845</v>
      </c>
      <c r="G538" s="70">
        <f t="shared" si="89"/>
        <v>200.10149999999999</v>
      </c>
      <c r="H538" s="70"/>
      <c r="I538" s="70">
        <f t="shared" si="89"/>
        <v>200.10149999999999</v>
      </c>
      <c r="J538" s="70">
        <f t="shared" si="89"/>
        <v>200.10149999999999</v>
      </c>
      <c r="K538" s="70"/>
      <c r="L538" s="70">
        <f t="shared" si="89"/>
        <v>200.10149999999999</v>
      </c>
    </row>
    <row r="539" spans="1:12" ht="51.75" x14ac:dyDescent="0.25">
      <c r="A539" s="6"/>
      <c r="B539" s="6" t="s">
        <v>398</v>
      </c>
      <c r="C539" s="3" t="s">
        <v>399</v>
      </c>
      <c r="D539" s="80">
        <v>198.4845</v>
      </c>
      <c r="E539" s="80"/>
      <c r="F539" s="80">
        <v>198.4845</v>
      </c>
      <c r="G539" s="80">
        <v>200.10149999999999</v>
      </c>
      <c r="H539" s="80"/>
      <c r="I539" s="80">
        <v>200.10149999999999</v>
      </c>
      <c r="J539" s="80">
        <v>200.10149999999999</v>
      </c>
      <c r="K539" s="80"/>
      <c r="L539" s="70">
        <v>200.10149999999999</v>
      </c>
    </row>
    <row r="540" spans="1:12" ht="26.25" x14ac:dyDescent="0.25">
      <c r="A540" s="6" t="s">
        <v>413</v>
      </c>
      <c r="B540" s="6"/>
      <c r="C540" s="3" t="s">
        <v>414</v>
      </c>
      <c r="D540" s="70">
        <f>D541+D542+D543</f>
        <v>33317.199999999997</v>
      </c>
      <c r="E540" s="70">
        <f>E541+E542+E543</f>
        <v>1980.8</v>
      </c>
      <c r="F540" s="70">
        <f>F541+F542+F543</f>
        <v>35298</v>
      </c>
      <c r="G540" s="70">
        <f>G541+G542+G543</f>
        <v>32613.8</v>
      </c>
      <c r="H540" s="70"/>
      <c r="I540" s="70">
        <f>I541+I542+I543</f>
        <v>32613.8</v>
      </c>
      <c r="J540" s="70">
        <f>J541+J542+J543</f>
        <v>32613.8</v>
      </c>
      <c r="K540" s="70"/>
      <c r="L540" s="70">
        <f>L541+L542+L543</f>
        <v>32613.8</v>
      </c>
    </row>
    <row r="541" spans="1:12" ht="51.75" x14ac:dyDescent="0.25">
      <c r="A541" s="6"/>
      <c r="B541" s="6" t="s">
        <v>398</v>
      </c>
      <c r="C541" s="3" t="s">
        <v>399</v>
      </c>
      <c r="D541" s="70">
        <v>17730.599999999999</v>
      </c>
      <c r="E541" s="70"/>
      <c r="F541" s="70">
        <f>SUM(D541:E541)</f>
        <v>17730.599999999999</v>
      </c>
      <c r="G541" s="70">
        <v>17484.099999999999</v>
      </c>
      <c r="H541" s="70"/>
      <c r="I541" s="70">
        <v>17484.099999999999</v>
      </c>
      <c r="J541" s="70">
        <v>17484.099999999999</v>
      </c>
      <c r="K541" s="70"/>
      <c r="L541" s="70">
        <v>17484.099999999999</v>
      </c>
    </row>
    <row r="542" spans="1:12" ht="26.25" x14ac:dyDescent="0.25">
      <c r="A542" s="6"/>
      <c r="B542" s="6" t="s">
        <v>280</v>
      </c>
      <c r="C542" s="3" t="s">
        <v>281</v>
      </c>
      <c r="D542" s="70">
        <v>15147.4</v>
      </c>
      <c r="E542" s="70">
        <f>103.1+1810.5+67.2</f>
        <v>1980.8</v>
      </c>
      <c r="F542" s="70">
        <f>SUM(D542:E542)</f>
        <v>17128.2</v>
      </c>
      <c r="G542" s="70">
        <v>14690.5</v>
      </c>
      <c r="H542" s="70"/>
      <c r="I542" s="70">
        <v>14690.5</v>
      </c>
      <c r="J542" s="70">
        <v>14690.5</v>
      </c>
      <c r="K542" s="70"/>
      <c r="L542" s="70">
        <v>14690.5</v>
      </c>
    </row>
    <row r="543" spans="1:12" x14ac:dyDescent="0.25">
      <c r="A543" s="6"/>
      <c r="B543" s="6" t="s">
        <v>405</v>
      </c>
      <c r="C543" s="3" t="s">
        <v>406</v>
      </c>
      <c r="D543" s="70">
        <v>439.2</v>
      </c>
      <c r="E543" s="70"/>
      <c r="F543" s="70">
        <v>439.2</v>
      </c>
      <c r="G543" s="70">
        <v>439.2</v>
      </c>
      <c r="H543" s="70"/>
      <c r="I543" s="70">
        <v>439.2</v>
      </c>
      <c r="J543" s="70">
        <v>439.2</v>
      </c>
      <c r="K543" s="70"/>
      <c r="L543" s="70">
        <v>439.2</v>
      </c>
    </row>
    <row r="544" spans="1:12" ht="26.25" x14ac:dyDescent="0.25">
      <c r="A544" s="6" t="s">
        <v>843</v>
      </c>
      <c r="B544" s="6"/>
      <c r="C544" s="3" t="s">
        <v>844</v>
      </c>
      <c r="D544" s="70">
        <f>D545+D546</f>
        <v>52.3</v>
      </c>
      <c r="E544" s="70"/>
      <c r="F544" s="70">
        <f t="shared" ref="F544:L544" si="90">F545+F546</f>
        <v>52.3</v>
      </c>
      <c r="G544" s="70">
        <f t="shared" si="90"/>
        <v>0</v>
      </c>
      <c r="H544" s="70"/>
      <c r="I544" s="70">
        <f t="shared" si="90"/>
        <v>0</v>
      </c>
      <c r="J544" s="70">
        <f t="shared" si="90"/>
        <v>0</v>
      </c>
      <c r="K544" s="70"/>
      <c r="L544" s="70">
        <f t="shared" si="90"/>
        <v>0</v>
      </c>
    </row>
    <row r="545" spans="1:12" ht="51.75" x14ac:dyDescent="0.25">
      <c r="A545" s="6"/>
      <c r="B545" s="6" t="s">
        <v>398</v>
      </c>
      <c r="C545" s="3" t="s">
        <v>399</v>
      </c>
      <c r="D545" s="70">
        <v>19.7</v>
      </c>
      <c r="E545" s="70"/>
      <c r="F545" s="70">
        <f>19.7</f>
        <v>19.7</v>
      </c>
      <c r="G545" s="70"/>
      <c r="H545" s="70"/>
      <c r="I545" s="70">
        <v>0</v>
      </c>
      <c r="J545" s="70"/>
      <c r="K545" s="70"/>
      <c r="L545" s="70">
        <v>0</v>
      </c>
    </row>
    <row r="546" spans="1:12" x14ac:dyDescent="0.25">
      <c r="A546" s="6"/>
      <c r="B546" s="6" t="s">
        <v>405</v>
      </c>
      <c r="C546" s="1" t="s">
        <v>406</v>
      </c>
      <c r="D546" s="70">
        <v>32.6</v>
      </c>
      <c r="E546" s="70"/>
      <c r="F546" s="70">
        <f>32.6</f>
        <v>32.6</v>
      </c>
      <c r="G546" s="70"/>
      <c r="H546" s="70"/>
      <c r="I546" s="70">
        <v>0</v>
      </c>
      <c r="J546" s="70"/>
      <c r="K546" s="70"/>
      <c r="L546" s="70">
        <v>0</v>
      </c>
    </row>
    <row r="547" spans="1:12" x14ac:dyDescent="0.25">
      <c r="A547" s="16" t="s">
        <v>415</v>
      </c>
      <c r="B547" s="16"/>
      <c r="C547" s="1" t="s">
        <v>416</v>
      </c>
      <c r="D547" s="70">
        <f>D548</f>
        <v>715.4</v>
      </c>
      <c r="E547" s="70"/>
      <c r="F547" s="70">
        <f>F548</f>
        <v>715.4</v>
      </c>
      <c r="G547" s="70">
        <v>0</v>
      </c>
      <c r="H547" s="70"/>
      <c r="I547" s="70">
        <v>0</v>
      </c>
      <c r="J547" s="70">
        <v>0</v>
      </c>
      <c r="K547" s="70"/>
      <c r="L547" s="70">
        <v>0</v>
      </c>
    </row>
    <row r="548" spans="1:12" ht="25.5" x14ac:dyDescent="0.25">
      <c r="A548" s="16"/>
      <c r="B548" s="16" t="s">
        <v>280</v>
      </c>
      <c r="C548" s="1" t="s">
        <v>281</v>
      </c>
      <c r="D548" s="70">
        <v>715.4</v>
      </c>
      <c r="E548" s="70"/>
      <c r="F548" s="70">
        <v>715.4</v>
      </c>
      <c r="G548" s="70">
        <f>1193.9-1193.9</f>
        <v>0</v>
      </c>
      <c r="H548" s="70"/>
      <c r="I548" s="70">
        <f>1193.9-1193.9</f>
        <v>0</v>
      </c>
      <c r="J548" s="70">
        <f>1243.6-1243.6</f>
        <v>0</v>
      </c>
      <c r="K548" s="70"/>
      <c r="L548" s="70">
        <f>1243.6-1243.6</f>
        <v>0</v>
      </c>
    </row>
    <row r="549" spans="1:12" ht="26.25" x14ac:dyDescent="0.25">
      <c r="A549" s="6" t="s">
        <v>417</v>
      </c>
      <c r="B549" s="6"/>
      <c r="C549" s="3" t="s">
        <v>418</v>
      </c>
      <c r="D549" s="70">
        <f>D550</f>
        <v>172.8</v>
      </c>
      <c r="E549" s="70"/>
      <c r="F549" s="70">
        <f>F550</f>
        <v>172.8</v>
      </c>
      <c r="G549" s="70">
        <f>G550</f>
        <v>172.8</v>
      </c>
      <c r="H549" s="70"/>
      <c r="I549" s="70">
        <f>I550</f>
        <v>172.8</v>
      </c>
      <c r="J549" s="70">
        <f>J550</f>
        <v>172.8</v>
      </c>
      <c r="K549" s="70"/>
      <c r="L549" s="70">
        <f>L550</f>
        <v>172.8</v>
      </c>
    </row>
    <row r="550" spans="1:12" ht="26.25" x14ac:dyDescent="0.25">
      <c r="A550" s="6"/>
      <c r="B550" s="6" t="s">
        <v>280</v>
      </c>
      <c r="C550" s="3" t="s">
        <v>281</v>
      </c>
      <c r="D550" s="70">
        <v>172.8</v>
      </c>
      <c r="E550" s="70"/>
      <c r="F550" s="70">
        <v>172.8</v>
      </c>
      <c r="G550" s="70">
        <v>172.8</v>
      </c>
      <c r="H550" s="70"/>
      <c r="I550" s="70">
        <v>172.8</v>
      </c>
      <c r="J550" s="70">
        <v>172.8</v>
      </c>
      <c r="K550" s="70"/>
      <c r="L550" s="70">
        <v>172.8</v>
      </c>
    </row>
    <row r="551" spans="1:12" ht="39" x14ac:dyDescent="0.25">
      <c r="A551" s="6" t="s">
        <v>419</v>
      </c>
      <c r="B551" s="6"/>
      <c r="C551" s="3" t="s">
        <v>420</v>
      </c>
      <c r="D551" s="70">
        <f>D552</f>
        <v>4.8</v>
      </c>
      <c r="E551" s="70"/>
      <c r="F551" s="70">
        <f>F552</f>
        <v>4.8</v>
      </c>
      <c r="G551" s="70">
        <f>G552</f>
        <v>4.9000000000000004</v>
      </c>
      <c r="H551" s="70"/>
      <c r="I551" s="70">
        <f>I552</f>
        <v>4.9000000000000004</v>
      </c>
      <c r="J551" s="70">
        <f>J552</f>
        <v>4.9000000000000004</v>
      </c>
      <c r="K551" s="70"/>
      <c r="L551" s="70">
        <f>L552</f>
        <v>4.9000000000000004</v>
      </c>
    </row>
    <row r="552" spans="1:12" ht="26.25" x14ac:dyDescent="0.25">
      <c r="A552" s="6"/>
      <c r="B552" s="6" t="s">
        <v>280</v>
      </c>
      <c r="C552" s="3" t="s">
        <v>281</v>
      </c>
      <c r="D552" s="70">
        <v>4.8</v>
      </c>
      <c r="E552" s="70"/>
      <c r="F552" s="70">
        <v>4.8</v>
      </c>
      <c r="G552" s="70">
        <v>4.9000000000000004</v>
      </c>
      <c r="H552" s="70"/>
      <c r="I552" s="70">
        <v>4.9000000000000004</v>
      </c>
      <c r="J552" s="70">
        <v>4.9000000000000004</v>
      </c>
      <c r="K552" s="70"/>
      <c r="L552" s="70">
        <v>4.9000000000000004</v>
      </c>
    </row>
    <row r="553" spans="1:12" ht="26.25" x14ac:dyDescent="0.25">
      <c r="A553" s="6" t="s">
        <v>421</v>
      </c>
      <c r="B553" s="6"/>
      <c r="C553" s="3" t="s">
        <v>422</v>
      </c>
      <c r="D553" s="70">
        <f>D554</f>
        <v>1183.4000000000001</v>
      </c>
      <c r="E553" s="70">
        <f>E554</f>
        <v>86.6</v>
      </c>
      <c r="F553" s="70">
        <f>F554</f>
        <v>1270</v>
      </c>
      <c r="G553" s="70">
        <f>G554</f>
        <v>1183.4000000000001</v>
      </c>
      <c r="H553" s="70"/>
      <c r="I553" s="70">
        <f>I554</f>
        <v>1183.4000000000001</v>
      </c>
      <c r="J553" s="70">
        <f>J554</f>
        <v>1183.4000000000001</v>
      </c>
      <c r="K553" s="70"/>
      <c r="L553" s="70">
        <f>L554</f>
        <v>1183.4000000000001</v>
      </c>
    </row>
    <row r="554" spans="1:12" x14ac:dyDescent="0.25">
      <c r="A554" s="6"/>
      <c r="B554" s="6" t="s">
        <v>405</v>
      </c>
      <c r="C554" s="3" t="s">
        <v>406</v>
      </c>
      <c r="D554" s="70">
        <v>1183.4000000000001</v>
      </c>
      <c r="E554" s="70">
        <v>86.6</v>
      </c>
      <c r="F554" s="70">
        <v>1270</v>
      </c>
      <c r="G554" s="70">
        <v>1183.4000000000001</v>
      </c>
      <c r="H554" s="70"/>
      <c r="I554" s="70">
        <v>1183.4000000000001</v>
      </c>
      <c r="J554" s="70">
        <v>1183.4000000000001</v>
      </c>
      <c r="K554" s="70"/>
      <c r="L554" s="70">
        <v>1183.4000000000001</v>
      </c>
    </row>
    <row r="555" spans="1:12" ht="26.25" x14ac:dyDescent="0.25">
      <c r="A555" s="6" t="s">
        <v>425</v>
      </c>
      <c r="B555" s="6"/>
      <c r="C555" s="3" t="s">
        <v>426</v>
      </c>
      <c r="D555" s="70">
        <f t="shared" ref="D555:I555" si="91">D556</f>
        <v>450</v>
      </c>
      <c r="E555" s="70"/>
      <c r="F555" s="70">
        <f t="shared" si="91"/>
        <v>450</v>
      </c>
      <c r="G555" s="70">
        <f t="shared" si="91"/>
        <v>450</v>
      </c>
      <c r="H555" s="70"/>
      <c r="I555" s="70">
        <f t="shared" si="91"/>
        <v>450</v>
      </c>
      <c r="J555" s="70">
        <f>J556</f>
        <v>150</v>
      </c>
      <c r="K555" s="70">
        <f>K556</f>
        <v>0</v>
      </c>
      <c r="L555" s="70">
        <f>L556</f>
        <v>150</v>
      </c>
    </row>
    <row r="556" spans="1:12" ht="26.25" x14ac:dyDescent="0.25">
      <c r="A556" s="6"/>
      <c r="B556" s="6" t="s">
        <v>280</v>
      </c>
      <c r="C556" s="3" t="s">
        <v>281</v>
      </c>
      <c r="D556" s="70">
        <v>450</v>
      </c>
      <c r="E556" s="70"/>
      <c r="F556" s="70">
        <f>300+150</f>
        <v>450</v>
      </c>
      <c r="G556" s="70">
        <v>450</v>
      </c>
      <c r="H556" s="70"/>
      <c r="I556" s="70">
        <f>300+150</f>
        <v>450</v>
      </c>
      <c r="J556" s="70">
        <v>150</v>
      </c>
      <c r="K556" s="70"/>
      <c r="L556" s="70">
        <v>150</v>
      </c>
    </row>
    <row r="557" spans="1:12" x14ac:dyDescent="0.25">
      <c r="A557" s="6" t="s">
        <v>427</v>
      </c>
      <c r="B557" s="6"/>
      <c r="C557" s="3" t="s">
        <v>428</v>
      </c>
      <c r="D557" s="70">
        <f>D558</f>
        <v>265</v>
      </c>
      <c r="E557" s="70">
        <f>E558</f>
        <v>45</v>
      </c>
      <c r="F557" s="70">
        <f>F558</f>
        <v>310</v>
      </c>
      <c r="G557" s="70">
        <f>G558</f>
        <v>0</v>
      </c>
      <c r="H557" s="70"/>
      <c r="I557" s="70">
        <f>I558</f>
        <v>0</v>
      </c>
      <c r="J557" s="70">
        <f>J558</f>
        <v>0</v>
      </c>
      <c r="K557" s="70"/>
      <c r="L557" s="70">
        <f>L558</f>
        <v>0</v>
      </c>
    </row>
    <row r="558" spans="1:12" x14ac:dyDescent="0.25">
      <c r="A558" s="6"/>
      <c r="B558" s="6" t="s">
        <v>405</v>
      </c>
      <c r="C558" s="3" t="s">
        <v>406</v>
      </c>
      <c r="D558" s="70">
        <v>265</v>
      </c>
      <c r="E558" s="70">
        <v>45</v>
      </c>
      <c r="F558" s="70">
        <v>310</v>
      </c>
      <c r="G558" s="70">
        <v>0</v>
      </c>
      <c r="H558" s="70"/>
      <c r="I558" s="70">
        <v>0</v>
      </c>
      <c r="J558" s="70">
        <v>0</v>
      </c>
      <c r="K558" s="70"/>
      <c r="L558" s="70">
        <v>0</v>
      </c>
    </row>
    <row r="559" spans="1:12" ht="38.25" x14ac:dyDescent="0.25">
      <c r="A559" s="6" t="s">
        <v>845</v>
      </c>
      <c r="B559" s="16"/>
      <c r="C559" s="1" t="s">
        <v>846</v>
      </c>
      <c r="D559" s="70">
        <f>D560</f>
        <v>229.9</v>
      </c>
      <c r="E559" s="70"/>
      <c r="F559" s="70">
        <f>F560</f>
        <v>229.9</v>
      </c>
      <c r="G559" s="70">
        <f t="shared" ref="G559:L559" si="92">G560</f>
        <v>0</v>
      </c>
      <c r="H559" s="70"/>
      <c r="I559" s="70">
        <f t="shared" si="92"/>
        <v>0</v>
      </c>
      <c r="J559" s="70">
        <f t="shared" si="92"/>
        <v>0</v>
      </c>
      <c r="K559" s="70"/>
      <c r="L559" s="70">
        <f t="shared" si="92"/>
        <v>0</v>
      </c>
    </row>
    <row r="560" spans="1:12" ht="25.5" x14ac:dyDescent="0.25">
      <c r="A560" s="17"/>
      <c r="B560" s="16" t="s">
        <v>280</v>
      </c>
      <c r="C560" s="1" t="s">
        <v>281</v>
      </c>
      <c r="D560" s="70">
        <v>229.9</v>
      </c>
      <c r="E560" s="70"/>
      <c r="F560" s="70">
        <v>229.9</v>
      </c>
      <c r="G560" s="70"/>
      <c r="H560" s="70"/>
      <c r="I560" s="70"/>
      <c r="J560" s="70"/>
      <c r="K560" s="70"/>
      <c r="L560" s="70"/>
    </row>
    <row r="561" spans="1:12" ht="25.5" x14ac:dyDescent="0.25">
      <c r="A561" s="22" t="s">
        <v>523</v>
      </c>
      <c r="B561" s="16"/>
      <c r="C561" s="1" t="s">
        <v>524</v>
      </c>
      <c r="D561" s="70">
        <f>D562</f>
        <v>2466.9</v>
      </c>
      <c r="E561" s="70"/>
      <c r="F561" s="70">
        <f>F562</f>
        <v>2466.9</v>
      </c>
      <c r="G561" s="70">
        <v>0</v>
      </c>
      <c r="H561" s="70"/>
      <c r="I561" s="70">
        <v>0</v>
      </c>
      <c r="J561" s="70">
        <v>0</v>
      </c>
      <c r="K561" s="70"/>
      <c r="L561" s="70">
        <v>0</v>
      </c>
    </row>
    <row r="562" spans="1:12" x14ac:dyDescent="0.25">
      <c r="A562" s="17"/>
      <c r="B562" s="16" t="s">
        <v>405</v>
      </c>
      <c r="C562" s="3" t="s">
        <v>406</v>
      </c>
      <c r="D562" s="70">
        <v>2466.9</v>
      </c>
      <c r="E562" s="70"/>
      <c r="F562" s="70">
        <f>SUM(D562:E562)</f>
        <v>2466.9</v>
      </c>
      <c r="G562" s="70">
        <v>0</v>
      </c>
      <c r="H562" s="70"/>
      <c r="I562" s="70">
        <v>0</v>
      </c>
      <c r="J562" s="70">
        <v>0</v>
      </c>
      <c r="K562" s="70"/>
      <c r="L562" s="70">
        <v>0</v>
      </c>
    </row>
    <row r="563" spans="1:12" ht="39" x14ac:dyDescent="0.25">
      <c r="A563" s="22" t="s">
        <v>878</v>
      </c>
      <c r="B563" s="16"/>
      <c r="C563" s="53" t="s">
        <v>877</v>
      </c>
      <c r="D563" s="70">
        <f>D564</f>
        <v>2631.2</v>
      </c>
      <c r="E563" s="70"/>
      <c r="F563" s="70">
        <f>F564</f>
        <v>2631.2</v>
      </c>
      <c r="G563" s="70">
        <v>0</v>
      </c>
      <c r="H563" s="70"/>
      <c r="I563" s="70">
        <v>0</v>
      </c>
      <c r="J563" s="70">
        <v>0</v>
      </c>
      <c r="K563" s="70"/>
      <c r="L563" s="70">
        <v>0</v>
      </c>
    </row>
    <row r="564" spans="1:12" ht="26.25" x14ac:dyDescent="0.25">
      <c r="A564" s="17"/>
      <c r="B564" s="6" t="s">
        <v>298</v>
      </c>
      <c r="C564" s="3" t="s">
        <v>299</v>
      </c>
      <c r="D564" s="70">
        <v>2631.2</v>
      </c>
      <c r="E564" s="70"/>
      <c r="F564" s="70">
        <v>2631.2</v>
      </c>
      <c r="G564" s="70">
        <v>0</v>
      </c>
      <c r="H564" s="70"/>
      <c r="I564" s="70">
        <v>0</v>
      </c>
      <c r="J564" s="70">
        <v>0</v>
      </c>
      <c r="K564" s="70"/>
      <c r="L564" s="70">
        <v>0</v>
      </c>
    </row>
    <row r="565" spans="1:12" x14ac:dyDescent="0.25">
      <c r="A565" s="22" t="s">
        <v>916</v>
      </c>
      <c r="B565" s="16"/>
      <c r="C565" s="53" t="s">
        <v>915</v>
      </c>
      <c r="D565" s="70">
        <f>D566</f>
        <v>0</v>
      </c>
      <c r="E565" s="70">
        <f>E566</f>
        <v>2146.27</v>
      </c>
      <c r="F565" s="70">
        <f>F566</f>
        <v>2146.27</v>
      </c>
      <c r="G565" s="70">
        <v>0</v>
      </c>
      <c r="H565" s="70"/>
      <c r="I565" s="70">
        <v>0</v>
      </c>
      <c r="J565" s="70">
        <v>0</v>
      </c>
      <c r="K565" s="70"/>
      <c r="L565" s="70">
        <v>0</v>
      </c>
    </row>
    <row r="566" spans="1:12" ht="25.5" x14ac:dyDescent="0.25">
      <c r="A566" s="17"/>
      <c r="B566" s="6" t="s">
        <v>470</v>
      </c>
      <c r="C566" s="1" t="s">
        <v>471</v>
      </c>
      <c r="D566" s="70">
        <v>0</v>
      </c>
      <c r="E566" s="70">
        <f>2084.8+61.47</f>
        <v>2146.27</v>
      </c>
      <c r="F566" s="70">
        <f>SUM(D566:E566)</f>
        <v>2146.27</v>
      </c>
      <c r="G566" s="70">
        <v>0</v>
      </c>
      <c r="H566" s="70"/>
      <c r="I566" s="70">
        <v>0</v>
      </c>
      <c r="J566" s="70">
        <v>0</v>
      </c>
      <c r="K566" s="70"/>
      <c r="L566" s="70">
        <v>0</v>
      </c>
    </row>
    <row r="567" spans="1:12" x14ac:dyDescent="0.25">
      <c r="A567" s="64"/>
      <c r="B567" s="64"/>
      <c r="C567" s="60" t="s">
        <v>429</v>
      </c>
      <c r="D567" s="86">
        <f t="shared" ref="D567:L567" si="93">D10+D515</f>
        <v>1027519.8864199999</v>
      </c>
      <c r="E567" s="86">
        <f t="shared" si="93"/>
        <v>8724.5583799999986</v>
      </c>
      <c r="F567" s="86">
        <f t="shared" si="93"/>
        <v>1036244.4448000001</v>
      </c>
      <c r="G567" s="86">
        <f t="shared" si="93"/>
        <v>939668.20525</v>
      </c>
      <c r="H567" s="86">
        <f t="shared" si="93"/>
        <v>-1850.7667399999991</v>
      </c>
      <c r="I567" s="86">
        <f t="shared" si="93"/>
        <v>937817.43850999989</v>
      </c>
      <c r="J567" s="86">
        <f t="shared" si="93"/>
        <v>856800.99485999986</v>
      </c>
      <c r="K567" s="86">
        <f t="shared" si="93"/>
        <v>3707.7204000000002</v>
      </c>
      <c r="L567" s="86">
        <f t="shared" si="93"/>
        <v>860508.71525999985</v>
      </c>
    </row>
    <row r="568" spans="1:12" x14ac:dyDescent="0.25">
      <c r="C568" s="53"/>
      <c r="F568" s="285"/>
      <c r="G568" s="285"/>
      <c r="H568" s="285"/>
      <c r="I568" s="285"/>
      <c r="J568" s="285"/>
      <c r="K568" s="285"/>
      <c r="L568" s="285"/>
    </row>
    <row r="569" spans="1:12" x14ac:dyDescent="0.25">
      <c r="D569" s="282"/>
      <c r="F569" s="285"/>
      <c r="G569" s="285"/>
      <c r="H569" s="285"/>
      <c r="I569" s="285"/>
      <c r="J569" s="285"/>
      <c r="K569" s="285"/>
      <c r="L569" s="285"/>
    </row>
    <row r="570" spans="1:12" x14ac:dyDescent="0.25">
      <c r="E570" s="282"/>
    </row>
  </sheetData>
  <autoFilter ref="A9:J570"/>
  <mergeCells count="6">
    <mergeCell ref="A7:J7"/>
    <mergeCell ref="F1:L1"/>
    <mergeCell ref="F2:L2"/>
    <mergeCell ref="F3:L3"/>
    <mergeCell ref="F4:L4"/>
    <mergeCell ref="F5:L5"/>
  </mergeCells>
  <pageMargins left="1.1023622047244095" right="0.31496062992125984" top="0.39370078740157483" bottom="0.39370078740157483" header="0" footer="0"/>
  <pageSetup paperSize="9" scale="63" orientation="portrait" r:id="rId1"/>
  <rowBreaks count="1" manualBreakCount="1">
    <brk id="538" max="11" man="1"/>
  </rowBreaks>
  <colBreaks count="1" manualBreakCount="1">
    <brk id="12" max="54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4"/>
  <sheetViews>
    <sheetView view="pageBreakPreview" zoomScale="85" zoomScaleNormal="63" zoomScaleSheetLayoutView="85" workbookViewId="0">
      <selection activeCell="H827" sqref="H827"/>
    </sheetView>
  </sheetViews>
  <sheetFormatPr defaultColWidth="9.140625" defaultRowHeight="15" x14ac:dyDescent="0.25"/>
  <cols>
    <col min="1" max="1" width="11.140625" style="25" customWidth="1"/>
    <col min="2" max="2" width="10.28515625" style="25" customWidth="1"/>
    <col min="3" max="3" width="14.42578125" style="25" customWidth="1"/>
    <col min="4" max="4" width="9.28515625" style="25" customWidth="1"/>
    <col min="5" max="5" width="77.140625" style="25" customWidth="1"/>
    <col min="6" max="6" width="0.140625" style="25" hidden="1" customWidth="1"/>
    <col min="7" max="7" width="15.42578125" style="25" hidden="1" customWidth="1"/>
    <col min="8" max="8" width="15.140625" style="25" customWidth="1"/>
    <col min="9" max="10" width="15.42578125" style="25" hidden="1" customWidth="1"/>
    <col min="11" max="11" width="15" style="25" customWidth="1"/>
    <col min="12" max="12" width="0.28515625" style="25" hidden="1" customWidth="1"/>
    <col min="13" max="13" width="15.42578125" style="25" hidden="1" customWidth="1"/>
    <col min="14" max="14" width="15.42578125" style="25" customWidth="1"/>
    <col min="15" max="16384" width="9.140625" style="25"/>
  </cols>
  <sheetData>
    <row r="1" spans="1:14" ht="15.75" x14ac:dyDescent="0.25">
      <c r="C1" s="24"/>
      <c r="D1" s="24"/>
      <c r="E1" s="24"/>
      <c r="G1" s="192"/>
      <c r="H1" s="309" t="s">
        <v>778</v>
      </c>
      <c r="I1" s="309"/>
      <c r="J1" s="309"/>
      <c r="K1" s="309"/>
      <c r="L1" s="309"/>
      <c r="M1" s="309"/>
      <c r="N1" s="309"/>
    </row>
    <row r="2" spans="1:14" ht="15.75" x14ac:dyDescent="0.25">
      <c r="C2" s="24"/>
      <c r="D2" s="24"/>
      <c r="E2" s="98"/>
      <c r="G2" s="294"/>
      <c r="H2" s="310" t="s">
        <v>474</v>
      </c>
      <c r="I2" s="310"/>
      <c r="J2" s="310"/>
      <c r="K2" s="310"/>
      <c r="L2" s="310"/>
      <c r="M2" s="310"/>
      <c r="N2" s="310"/>
    </row>
    <row r="3" spans="1:14" ht="15.75" customHeight="1" x14ac:dyDescent="0.25">
      <c r="C3" s="26"/>
      <c r="D3" s="26"/>
      <c r="E3" s="240"/>
      <c r="G3" s="240"/>
      <c r="H3" s="311" t="s">
        <v>734</v>
      </c>
      <c r="I3" s="311"/>
      <c r="J3" s="311"/>
      <c r="K3" s="311"/>
      <c r="L3" s="311"/>
      <c r="M3" s="311"/>
      <c r="N3" s="311"/>
    </row>
    <row r="4" spans="1:14" ht="15.75" customHeight="1" x14ac:dyDescent="0.25">
      <c r="C4" s="24"/>
      <c r="D4" s="24"/>
      <c r="E4" s="24"/>
      <c r="G4" s="295"/>
      <c r="H4" s="312" t="s">
        <v>773</v>
      </c>
      <c r="I4" s="312"/>
      <c r="J4" s="312"/>
      <c r="K4" s="312"/>
      <c r="L4" s="312"/>
      <c r="M4" s="312"/>
      <c r="N4" s="312"/>
    </row>
    <row r="5" spans="1:14" ht="15.75" x14ac:dyDescent="0.25">
      <c r="C5" s="24"/>
      <c r="D5" s="24"/>
      <c r="E5" s="24"/>
      <c r="F5" s="69"/>
      <c r="G5" s="69"/>
      <c r="H5" s="307" t="s">
        <v>920</v>
      </c>
      <c r="I5" s="307"/>
      <c r="J5" s="307"/>
      <c r="K5" s="307"/>
      <c r="L5" s="307"/>
      <c r="M5" s="307"/>
      <c r="N5" s="307"/>
    </row>
    <row r="6" spans="1:14" ht="15.75" x14ac:dyDescent="0.25">
      <c r="C6" s="24"/>
      <c r="D6" s="24"/>
      <c r="E6" s="24"/>
      <c r="F6" s="69"/>
      <c r="G6" s="69"/>
      <c r="H6" s="305"/>
      <c r="I6" s="305"/>
      <c r="J6" s="305"/>
      <c r="K6" s="305"/>
      <c r="L6" s="305"/>
      <c r="M6" s="305"/>
      <c r="N6" s="305"/>
    </row>
    <row r="7" spans="1:14" x14ac:dyDescent="0.25">
      <c r="A7" s="308" t="s">
        <v>665</v>
      </c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297"/>
      <c r="N7" s="297"/>
    </row>
    <row r="8" spans="1:14" ht="23.25" customHeight="1" x14ac:dyDescent="0.25">
      <c r="A8" s="246"/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7" t="s">
        <v>717</v>
      </c>
      <c r="M8" s="247"/>
      <c r="N8" s="247" t="s">
        <v>717</v>
      </c>
    </row>
    <row r="9" spans="1:14" ht="45.75" customHeight="1" x14ac:dyDescent="0.25">
      <c r="A9" s="99" t="s">
        <v>562</v>
      </c>
      <c r="B9" s="99" t="s">
        <v>571</v>
      </c>
      <c r="C9" s="95" t="s">
        <v>0</v>
      </c>
      <c r="D9" s="95" t="s">
        <v>1</v>
      </c>
      <c r="E9" s="95" t="s">
        <v>2</v>
      </c>
      <c r="F9" s="87" t="s">
        <v>840</v>
      </c>
      <c r="G9" s="87" t="s">
        <v>487</v>
      </c>
      <c r="H9" s="87" t="s">
        <v>921</v>
      </c>
      <c r="I9" s="87" t="s">
        <v>841</v>
      </c>
      <c r="J9" s="87" t="s">
        <v>487</v>
      </c>
      <c r="K9" s="87" t="s">
        <v>4</v>
      </c>
      <c r="L9" s="87" t="s">
        <v>842</v>
      </c>
      <c r="M9" s="87" t="s">
        <v>487</v>
      </c>
      <c r="N9" s="87" t="s">
        <v>496</v>
      </c>
    </row>
    <row r="10" spans="1:14" x14ac:dyDescent="0.25">
      <c r="A10" s="100">
        <v>601</v>
      </c>
      <c r="B10" s="100"/>
      <c r="C10" s="100"/>
      <c r="D10" s="100"/>
      <c r="E10" s="101" t="s">
        <v>563</v>
      </c>
      <c r="F10" s="83">
        <f t="shared" ref="F10:N10" si="0">F11+F115+F124+F173+F285+F409+F430+F441+F401</f>
        <v>405678.32039000001</v>
      </c>
      <c r="G10" s="83">
        <f t="shared" si="0"/>
        <v>4285.7583800000002</v>
      </c>
      <c r="H10" s="83">
        <f>H11+H115+H124+H173+H285+H409+H430+H441+H401</f>
        <v>409964.07877000002</v>
      </c>
      <c r="I10" s="83">
        <f t="shared" si="0"/>
        <v>328740.63396000006</v>
      </c>
      <c r="J10" s="83">
        <f t="shared" si="0"/>
        <v>-4450.7667400000009</v>
      </c>
      <c r="K10" s="83">
        <f t="shared" si="0"/>
        <v>324289.86722000007</v>
      </c>
      <c r="L10" s="83">
        <f t="shared" si="0"/>
        <v>279633.45357000001</v>
      </c>
      <c r="M10" s="83">
        <f t="shared" si="0"/>
        <v>3707.7204000000002</v>
      </c>
      <c r="N10" s="83">
        <f t="shared" si="0"/>
        <v>283341.17397</v>
      </c>
    </row>
    <row r="11" spans="1:14" x14ac:dyDescent="0.25">
      <c r="A11" s="102"/>
      <c r="B11" s="17" t="s">
        <v>564</v>
      </c>
      <c r="C11" s="103"/>
      <c r="D11" s="102"/>
      <c r="E11" s="96" t="s">
        <v>572</v>
      </c>
      <c r="F11" s="104">
        <f>F12+F19+F57+F69+F64</f>
        <v>91476.777549999999</v>
      </c>
      <c r="G11" s="104">
        <f>G12+G19+G57+G69+G64</f>
        <v>2770.5</v>
      </c>
      <c r="H11" s="104">
        <f>H12+H19+H57+H69+H64</f>
        <v>94247.277549999999</v>
      </c>
      <c r="I11" s="104">
        <f t="shared" ref="I11:N11" si="1">I12+I19+I57+I69</f>
        <v>88741.071729999996</v>
      </c>
      <c r="J11" s="104">
        <f t="shared" si="1"/>
        <v>0</v>
      </c>
      <c r="K11" s="104">
        <f t="shared" si="1"/>
        <v>88741.071729999996</v>
      </c>
      <c r="L11" s="104">
        <f t="shared" si="1"/>
        <v>85122.302179999999</v>
      </c>
      <c r="M11" s="104">
        <f t="shared" si="1"/>
        <v>0</v>
      </c>
      <c r="N11" s="104">
        <f t="shared" si="1"/>
        <v>85122.302179999999</v>
      </c>
    </row>
    <row r="12" spans="1:14" ht="25.5" x14ac:dyDescent="0.25">
      <c r="A12" s="102"/>
      <c r="B12" s="17" t="s">
        <v>565</v>
      </c>
      <c r="C12" s="103"/>
      <c r="D12" s="102"/>
      <c r="E12" s="96" t="s">
        <v>566</v>
      </c>
      <c r="F12" s="104">
        <f t="shared" ref="F12:N17" si="2">F13</f>
        <v>2328.4</v>
      </c>
      <c r="G12" s="104"/>
      <c r="H12" s="104">
        <f t="shared" si="2"/>
        <v>2328.4</v>
      </c>
      <c r="I12" s="104">
        <f t="shared" si="2"/>
        <v>2415.6</v>
      </c>
      <c r="J12" s="104"/>
      <c r="K12" s="104">
        <f t="shared" si="2"/>
        <v>2415.6</v>
      </c>
      <c r="L12" s="104">
        <f t="shared" si="2"/>
        <v>2415.6</v>
      </c>
      <c r="M12" s="104"/>
      <c r="N12" s="104">
        <f t="shared" si="2"/>
        <v>2415.6</v>
      </c>
    </row>
    <row r="13" spans="1:14" x14ac:dyDescent="0.25">
      <c r="A13" s="102"/>
      <c r="B13" s="17"/>
      <c r="C13" s="97" t="s">
        <v>5</v>
      </c>
      <c r="D13" s="27"/>
      <c r="E13" s="28" t="s">
        <v>6</v>
      </c>
      <c r="F13" s="104">
        <f t="shared" si="2"/>
        <v>2328.4</v>
      </c>
      <c r="G13" s="104"/>
      <c r="H13" s="104">
        <f t="shared" si="2"/>
        <v>2328.4</v>
      </c>
      <c r="I13" s="104">
        <f t="shared" si="2"/>
        <v>2415.6</v>
      </c>
      <c r="J13" s="104"/>
      <c r="K13" s="104">
        <f t="shared" si="2"/>
        <v>2415.6</v>
      </c>
      <c r="L13" s="104">
        <f t="shared" si="2"/>
        <v>2415.6</v>
      </c>
      <c r="M13" s="104"/>
      <c r="N13" s="104">
        <f t="shared" si="2"/>
        <v>2415.6</v>
      </c>
    </row>
    <row r="14" spans="1:14" ht="25.5" x14ac:dyDescent="0.25">
      <c r="A14" s="105"/>
      <c r="B14" s="106"/>
      <c r="C14" s="107" t="s">
        <v>7</v>
      </c>
      <c r="D14" s="106"/>
      <c r="E14" s="108" t="s">
        <v>8</v>
      </c>
      <c r="F14" s="109">
        <f t="shared" si="2"/>
        <v>2328.4</v>
      </c>
      <c r="G14" s="109"/>
      <c r="H14" s="109">
        <f t="shared" si="2"/>
        <v>2328.4</v>
      </c>
      <c r="I14" s="109">
        <f t="shared" si="2"/>
        <v>2415.6</v>
      </c>
      <c r="J14" s="109"/>
      <c r="K14" s="109">
        <f t="shared" si="2"/>
        <v>2415.6</v>
      </c>
      <c r="L14" s="109">
        <f t="shared" si="2"/>
        <v>2415.6</v>
      </c>
      <c r="M14" s="109"/>
      <c r="N14" s="109">
        <f t="shared" si="2"/>
        <v>2415.6</v>
      </c>
    </row>
    <row r="15" spans="1:14" ht="26.25" x14ac:dyDescent="0.25">
      <c r="A15" s="31"/>
      <c r="B15" s="31"/>
      <c r="C15" s="31" t="s">
        <v>20</v>
      </c>
      <c r="D15" s="31"/>
      <c r="E15" s="35" t="s">
        <v>21</v>
      </c>
      <c r="F15" s="75">
        <f t="shared" si="2"/>
        <v>2328.4</v>
      </c>
      <c r="G15" s="75"/>
      <c r="H15" s="75">
        <f t="shared" si="2"/>
        <v>2328.4</v>
      </c>
      <c r="I15" s="75">
        <f t="shared" si="2"/>
        <v>2415.6</v>
      </c>
      <c r="J15" s="75"/>
      <c r="K15" s="75">
        <f t="shared" si="2"/>
        <v>2415.6</v>
      </c>
      <c r="L15" s="75">
        <f t="shared" si="2"/>
        <v>2415.6</v>
      </c>
      <c r="M15" s="75"/>
      <c r="N15" s="75">
        <f t="shared" si="2"/>
        <v>2415.6</v>
      </c>
    </row>
    <row r="16" spans="1:14" ht="39" x14ac:dyDescent="0.25">
      <c r="A16" s="33"/>
      <c r="B16" s="33"/>
      <c r="C16" s="33" t="s">
        <v>22</v>
      </c>
      <c r="D16" s="33"/>
      <c r="E16" s="34" t="s">
        <v>23</v>
      </c>
      <c r="F16" s="71">
        <f t="shared" si="2"/>
        <v>2328.4</v>
      </c>
      <c r="G16" s="71"/>
      <c r="H16" s="71">
        <f t="shared" si="2"/>
        <v>2328.4</v>
      </c>
      <c r="I16" s="71">
        <f t="shared" si="2"/>
        <v>2415.6</v>
      </c>
      <c r="J16" s="71"/>
      <c r="K16" s="71">
        <f t="shared" si="2"/>
        <v>2415.6</v>
      </c>
      <c r="L16" s="71">
        <f t="shared" si="2"/>
        <v>2415.6</v>
      </c>
      <c r="M16" s="71"/>
      <c r="N16" s="71">
        <f t="shared" si="2"/>
        <v>2415.6</v>
      </c>
    </row>
    <row r="17" spans="1:14" ht="26.25" x14ac:dyDescent="0.25">
      <c r="A17" s="92"/>
      <c r="B17" s="92"/>
      <c r="C17" s="6" t="s">
        <v>24</v>
      </c>
      <c r="D17" s="6"/>
      <c r="E17" s="3" t="s">
        <v>25</v>
      </c>
      <c r="F17" s="70">
        <f t="shared" si="2"/>
        <v>2328.4</v>
      </c>
      <c r="G17" s="70"/>
      <c r="H17" s="70">
        <f t="shared" si="2"/>
        <v>2328.4</v>
      </c>
      <c r="I17" s="70">
        <f t="shared" si="2"/>
        <v>2415.6</v>
      </c>
      <c r="J17" s="70"/>
      <c r="K17" s="70">
        <f t="shared" si="2"/>
        <v>2415.6</v>
      </c>
      <c r="L17" s="70">
        <f t="shared" si="2"/>
        <v>2415.6</v>
      </c>
      <c r="M17" s="70"/>
      <c r="N17" s="70">
        <f t="shared" si="2"/>
        <v>2415.6</v>
      </c>
    </row>
    <row r="18" spans="1:14" ht="39" x14ac:dyDescent="0.25">
      <c r="A18" s="92"/>
      <c r="B18" s="92"/>
      <c r="C18" s="6"/>
      <c r="D18" s="6" t="s">
        <v>398</v>
      </c>
      <c r="E18" s="3" t="s">
        <v>399</v>
      </c>
      <c r="F18" s="70">
        <v>2328.4</v>
      </c>
      <c r="G18" s="70"/>
      <c r="H18" s="70">
        <f>2236.5+91.9</f>
        <v>2328.4</v>
      </c>
      <c r="I18" s="70">
        <v>2415.6</v>
      </c>
      <c r="J18" s="70"/>
      <c r="K18" s="70">
        <f>2317.7+97.9</f>
        <v>2415.6</v>
      </c>
      <c r="L18" s="70">
        <v>2415.6</v>
      </c>
      <c r="M18" s="70"/>
      <c r="N18" s="70">
        <f>2317.7+97.9</f>
        <v>2415.6</v>
      </c>
    </row>
    <row r="19" spans="1:14" s="42" customFormat="1" ht="39" x14ac:dyDescent="0.25">
      <c r="A19" s="110"/>
      <c r="B19" s="17" t="s">
        <v>567</v>
      </c>
      <c r="C19" s="12"/>
      <c r="D19" s="12"/>
      <c r="E19" s="111" t="s">
        <v>573</v>
      </c>
      <c r="F19" s="74">
        <f t="shared" ref="F19:N19" si="3">F20+F50</f>
        <v>48143.6</v>
      </c>
      <c r="G19" s="74">
        <f t="shared" si="3"/>
        <v>744.7</v>
      </c>
      <c r="H19" s="74">
        <f t="shared" si="3"/>
        <v>48888.299999999996</v>
      </c>
      <c r="I19" s="74">
        <f t="shared" si="3"/>
        <v>49225.8</v>
      </c>
      <c r="J19" s="74"/>
      <c r="K19" s="74">
        <f t="shared" si="3"/>
        <v>49225.8</v>
      </c>
      <c r="L19" s="74">
        <f t="shared" si="3"/>
        <v>48725.8</v>
      </c>
      <c r="M19" s="74"/>
      <c r="N19" s="74">
        <f t="shared" si="3"/>
        <v>48725.8</v>
      </c>
    </row>
    <row r="20" spans="1:14" s="42" customFormat="1" x14ac:dyDescent="0.25">
      <c r="A20" s="110"/>
      <c r="B20" s="17"/>
      <c r="C20" s="97" t="s">
        <v>5</v>
      </c>
      <c r="D20" s="27"/>
      <c r="E20" s="28" t="s">
        <v>6</v>
      </c>
      <c r="F20" s="74">
        <f t="shared" ref="F20:N20" si="4">F21+F45</f>
        <v>48086.5</v>
      </c>
      <c r="G20" s="74">
        <f t="shared" si="4"/>
        <v>744.7</v>
      </c>
      <c r="H20" s="74">
        <f t="shared" si="4"/>
        <v>48831.199999999997</v>
      </c>
      <c r="I20" s="74">
        <f t="shared" si="4"/>
        <v>49220.9</v>
      </c>
      <c r="J20" s="74"/>
      <c r="K20" s="74">
        <f t="shared" si="4"/>
        <v>49220.9</v>
      </c>
      <c r="L20" s="74">
        <f t="shared" si="4"/>
        <v>48720.9</v>
      </c>
      <c r="M20" s="74"/>
      <c r="N20" s="74">
        <f t="shared" si="4"/>
        <v>48720.9</v>
      </c>
    </row>
    <row r="21" spans="1:14" ht="25.5" x14ac:dyDescent="0.25">
      <c r="A21" s="105"/>
      <c r="B21" s="106"/>
      <c r="C21" s="107" t="s">
        <v>7</v>
      </c>
      <c r="D21" s="106"/>
      <c r="E21" s="108" t="s">
        <v>8</v>
      </c>
      <c r="F21" s="109">
        <f t="shared" ref="F21:N21" si="5">F22+F27</f>
        <v>48015.3</v>
      </c>
      <c r="G21" s="109">
        <f t="shared" si="5"/>
        <v>744.7</v>
      </c>
      <c r="H21" s="109">
        <f t="shared" si="5"/>
        <v>48760</v>
      </c>
      <c r="I21" s="109">
        <f t="shared" si="5"/>
        <v>49147.3</v>
      </c>
      <c r="J21" s="109"/>
      <c r="K21" s="109">
        <f t="shared" si="5"/>
        <v>49147.3</v>
      </c>
      <c r="L21" s="109">
        <f t="shared" si="5"/>
        <v>48647.3</v>
      </c>
      <c r="M21" s="109"/>
      <c r="N21" s="109">
        <f t="shared" si="5"/>
        <v>48647.3</v>
      </c>
    </row>
    <row r="22" spans="1:14" ht="26.25" x14ac:dyDescent="0.25">
      <c r="A22" s="31"/>
      <c r="B22" s="31"/>
      <c r="C22" s="31" t="s">
        <v>20</v>
      </c>
      <c r="D22" s="31"/>
      <c r="E22" s="35" t="s">
        <v>21</v>
      </c>
      <c r="F22" s="75">
        <f t="shared" ref="F22:N23" si="6">F23</f>
        <v>46014.5</v>
      </c>
      <c r="G22" s="75">
        <f t="shared" si="6"/>
        <v>744.7</v>
      </c>
      <c r="H22" s="75">
        <f t="shared" si="6"/>
        <v>46759.199999999997</v>
      </c>
      <c r="I22" s="75">
        <f t="shared" si="6"/>
        <v>47080.9</v>
      </c>
      <c r="J22" s="75"/>
      <c r="K22" s="75">
        <f t="shared" si="6"/>
        <v>47080.9</v>
      </c>
      <c r="L22" s="75">
        <f t="shared" si="6"/>
        <v>46580.9</v>
      </c>
      <c r="M22" s="75"/>
      <c r="N22" s="75">
        <f t="shared" si="6"/>
        <v>46580.9</v>
      </c>
    </row>
    <row r="23" spans="1:14" ht="39" x14ac:dyDescent="0.25">
      <c r="A23" s="33"/>
      <c r="B23" s="33"/>
      <c r="C23" s="33" t="s">
        <v>22</v>
      </c>
      <c r="D23" s="33"/>
      <c r="E23" s="34" t="s">
        <v>23</v>
      </c>
      <c r="F23" s="71">
        <f t="shared" si="6"/>
        <v>46014.5</v>
      </c>
      <c r="G23" s="71">
        <f t="shared" si="6"/>
        <v>744.7</v>
      </c>
      <c r="H23" s="71">
        <f t="shared" si="6"/>
        <v>46759.199999999997</v>
      </c>
      <c r="I23" s="71">
        <f t="shared" si="6"/>
        <v>47080.9</v>
      </c>
      <c r="J23" s="71"/>
      <c r="K23" s="71">
        <f t="shared" si="6"/>
        <v>47080.9</v>
      </c>
      <c r="L23" s="71">
        <f t="shared" si="6"/>
        <v>46580.9</v>
      </c>
      <c r="M23" s="71"/>
      <c r="N23" s="71">
        <f t="shared" si="6"/>
        <v>46580.9</v>
      </c>
    </row>
    <row r="24" spans="1:14" ht="25.5" x14ac:dyDescent="0.25">
      <c r="A24" s="92"/>
      <c r="B24" s="92"/>
      <c r="C24" s="6" t="s">
        <v>26</v>
      </c>
      <c r="D24" s="6"/>
      <c r="E24" s="1" t="s">
        <v>27</v>
      </c>
      <c r="F24" s="80">
        <f t="shared" ref="F24:N24" si="7">F25+F26</f>
        <v>46014.5</v>
      </c>
      <c r="G24" s="80">
        <f t="shared" si="7"/>
        <v>744.7</v>
      </c>
      <c r="H24" s="80">
        <f t="shared" si="7"/>
        <v>46759.199999999997</v>
      </c>
      <c r="I24" s="80">
        <f t="shared" si="7"/>
        <v>47080.9</v>
      </c>
      <c r="J24" s="80"/>
      <c r="K24" s="80">
        <f t="shared" si="7"/>
        <v>47080.9</v>
      </c>
      <c r="L24" s="80">
        <f t="shared" si="7"/>
        <v>46580.9</v>
      </c>
      <c r="M24" s="80"/>
      <c r="N24" s="80">
        <f t="shared" si="7"/>
        <v>46580.9</v>
      </c>
    </row>
    <row r="25" spans="1:14" ht="39" x14ac:dyDescent="0.25">
      <c r="A25" s="92"/>
      <c r="B25" s="92"/>
      <c r="C25" s="6"/>
      <c r="D25" s="6" t="s">
        <v>398</v>
      </c>
      <c r="E25" s="3" t="s">
        <v>399</v>
      </c>
      <c r="F25" s="80">
        <v>43558.7</v>
      </c>
      <c r="G25" s="80">
        <v>744.7</v>
      </c>
      <c r="H25" s="80">
        <f>SUM(F25:G25)</f>
        <v>44303.399999999994</v>
      </c>
      <c r="I25" s="80">
        <v>44643.5</v>
      </c>
      <c r="J25" s="80"/>
      <c r="K25" s="80">
        <f>I25+J25</f>
        <v>44643.5</v>
      </c>
      <c r="L25" s="80">
        <v>44643.5</v>
      </c>
      <c r="M25" s="80"/>
      <c r="N25" s="80">
        <f>L25+M25</f>
        <v>44643.5</v>
      </c>
    </row>
    <row r="26" spans="1:14" x14ac:dyDescent="0.25">
      <c r="A26" s="92"/>
      <c r="B26" s="92"/>
      <c r="C26" s="6"/>
      <c r="D26" s="6" t="s">
        <v>280</v>
      </c>
      <c r="E26" s="3" t="s">
        <v>281</v>
      </c>
      <c r="F26" s="80">
        <v>2455.8000000000002</v>
      </c>
      <c r="G26" s="80"/>
      <c r="H26" s="80">
        <v>2455.8000000000002</v>
      </c>
      <c r="I26" s="80">
        <v>2437.4</v>
      </c>
      <c r="J26" s="80"/>
      <c r="K26" s="80">
        <v>2437.4</v>
      </c>
      <c r="L26" s="80">
        <v>1937.4</v>
      </c>
      <c r="M26" s="80"/>
      <c r="N26" s="80">
        <f>1984.7-47.3</f>
        <v>1937.4</v>
      </c>
    </row>
    <row r="27" spans="1:14" ht="39" x14ac:dyDescent="0.25">
      <c r="A27" s="31"/>
      <c r="B27" s="31"/>
      <c r="C27" s="31" t="s">
        <v>30</v>
      </c>
      <c r="D27" s="31"/>
      <c r="E27" s="32" t="s">
        <v>31</v>
      </c>
      <c r="F27" s="75">
        <f>F28</f>
        <v>2000.8000000000002</v>
      </c>
      <c r="G27" s="75"/>
      <c r="H27" s="75">
        <f>H28</f>
        <v>2000.8000000000002</v>
      </c>
      <c r="I27" s="75">
        <f>I28</f>
        <v>2066.4</v>
      </c>
      <c r="J27" s="75"/>
      <c r="K27" s="75">
        <f>K28</f>
        <v>2066.4</v>
      </c>
      <c r="L27" s="75">
        <f>L28</f>
        <v>2066.4</v>
      </c>
      <c r="M27" s="75"/>
      <c r="N27" s="75">
        <f>N28</f>
        <v>2066.4</v>
      </c>
    </row>
    <row r="28" spans="1:14" ht="26.25" x14ac:dyDescent="0.25">
      <c r="A28" s="33"/>
      <c r="B28" s="33"/>
      <c r="C28" s="33" t="s">
        <v>32</v>
      </c>
      <c r="D28" s="36"/>
      <c r="E28" s="34" t="s">
        <v>33</v>
      </c>
      <c r="F28" s="71">
        <f>F29+F32+F35+F37+F40+F43</f>
        <v>2000.8000000000002</v>
      </c>
      <c r="G28" s="71"/>
      <c r="H28" s="71">
        <f>H29+H32+H35+H37+H40+H43</f>
        <v>2000.8000000000002</v>
      </c>
      <c r="I28" s="71">
        <f>I29+I32+I35+I37+I40+I43</f>
        <v>2066.4</v>
      </c>
      <c r="J28" s="71"/>
      <c r="K28" s="71">
        <f>K29+K32+K35+K37+K40+K43</f>
        <v>2066.4</v>
      </c>
      <c r="L28" s="71">
        <f>L29+L32+L35+L37+L40+L43</f>
        <v>2066.4</v>
      </c>
      <c r="M28" s="71"/>
      <c r="N28" s="71">
        <f>N29+N32+N35+N37+N40+N43</f>
        <v>2066.4</v>
      </c>
    </row>
    <row r="29" spans="1:14" ht="26.25" x14ac:dyDescent="0.25">
      <c r="A29" s="92"/>
      <c r="B29" s="92"/>
      <c r="C29" s="6" t="s">
        <v>793</v>
      </c>
      <c r="D29" s="6"/>
      <c r="E29" s="8" t="s">
        <v>34</v>
      </c>
      <c r="F29" s="79">
        <f>SUM(F30:F31)</f>
        <v>974.2</v>
      </c>
      <c r="G29" s="79"/>
      <c r="H29" s="79">
        <f>SUM(H30:H31)</f>
        <v>974.2</v>
      </c>
      <c r="I29" s="79">
        <f>SUM(I30:I31)</f>
        <v>1006.3000000000001</v>
      </c>
      <c r="J29" s="79"/>
      <c r="K29" s="79">
        <f>SUM(K30:K31)</f>
        <v>1006.3000000000001</v>
      </c>
      <c r="L29" s="79">
        <f>SUM(L30:L31)</f>
        <v>1006.3000000000001</v>
      </c>
      <c r="M29" s="79"/>
      <c r="N29" s="79">
        <f>SUM(N30:N31)</f>
        <v>1006.3000000000001</v>
      </c>
    </row>
    <row r="30" spans="1:14" ht="39" x14ac:dyDescent="0.25">
      <c r="A30" s="92"/>
      <c r="B30" s="92"/>
      <c r="C30" s="6"/>
      <c r="D30" s="6" t="s">
        <v>398</v>
      </c>
      <c r="E30" s="3" t="s">
        <v>399</v>
      </c>
      <c r="F30" s="79">
        <v>904.7</v>
      </c>
      <c r="G30" s="79"/>
      <c r="H30" s="79">
        <v>904.7</v>
      </c>
      <c r="I30" s="79">
        <v>937.6</v>
      </c>
      <c r="J30" s="79"/>
      <c r="K30" s="79">
        <v>937.6</v>
      </c>
      <c r="L30" s="79">
        <v>937.6</v>
      </c>
      <c r="M30" s="79"/>
      <c r="N30" s="79">
        <v>937.6</v>
      </c>
    </row>
    <row r="31" spans="1:14" x14ac:dyDescent="0.25">
      <c r="A31" s="92"/>
      <c r="B31" s="92"/>
      <c r="C31" s="6"/>
      <c r="D31" s="6" t="s">
        <v>280</v>
      </c>
      <c r="E31" s="3" t="s">
        <v>281</v>
      </c>
      <c r="F31" s="79">
        <v>69.5</v>
      </c>
      <c r="G31" s="79"/>
      <c r="H31" s="79">
        <v>69.5</v>
      </c>
      <c r="I31" s="79">
        <v>68.7</v>
      </c>
      <c r="J31" s="79"/>
      <c r="K31" s="79">
        <v>68.7</v>
      </c>
      <c r="L31" s="79">
        <v>68.7</v>
      </c>
      <c r="M31" s="79"/>
      <c r="N31" s="79">
        <v>68.7</v>
      </c>
    </row>
    <row r="32" spans="1:14" ht="26.25" x14ac:dyDescent="0.25">
      <c r="A32" s="92"/>
      <c r="B32" s="92"/>
      <c r="C32" s="6" t="s">
        <v>35</v>
      </c>
      <c r="D32" s="6"/>
      <c r="E32" s="8" t="s">
        <v>36</v>
      </c>
      <c r="F32" s="79">
        <f>SUM(F33:F34)</f>
        <v>583</v>
      </c>
      <c r="G32" s="79"/>
      <c r="H32" s="79">
        <f>SUM(H33:H34)</f>
        <v>583</v>
      </c>
      <c r="I32" s="79">
        <f>SUM(I33:I34)</f>
        <v>602</v>
      </c>
      <c r="J32" s="79"/>
      <c r="K32" s="79">
        <f>SUM(K33:K34)</f>
        <v>602</v>
      </c>
      <c r="L32" s="79">
        <f>SUM(L33:L34)</f>
        <v>602</v>
      </c>
      <c r="M32" s="79"/>
      <c r="N32" s="79">
        <f>SUM(N33:N34)</f>
        <v>602</v>
      </c>
    </row>
    <row r="33" spans="1:14" ht="39" x14ac:dyDescent="0.25">
      <c r="A33" s="92"/>
      <c r="B33" s="92"/>
      <c r="C33" s="6"/>
      <c r="D33" s="6" t="s">
        <v>398</v>
      </c>
      <c r="E33" s="3" t="s">
        <v>399</v>
      </c>
      <c r="F33" s="79">
        <v>517</v>
      </c>
      <c r="G33" s="79"/>
      <c r="H33" s="79">
        <v>517</v>
      </c>
      <c r="I33" s="79">
        <v>535.79999999999995</v>
      </c>
      <c r="J33" s="79"/>
      <c r="K33" s="79">
        <v>535.79999999999995</v>
      </c>
      <c r="L33" s="79">
        <v>535.79999999999995</v>
      </c>
      <c r="M33" s="79"/>
      <c r="N33" s="79">
        <v>535.79999999999995</v>
      </c>
    </row>
    <row r="34" spans="1:14" x14ac:dyDescent="0.25">
      <c r="A34" s="92"/>
      <c r="B34" s="92"/>
      <c r="C34" s="6"/>
      <c r="D34" s="6" t="s">
        <v>280</v>
      </c>
      <c r="E34" s="3" t="s">
        <v>281</v>
      </c>
      <c r="F34" s="79">
        <v>66</v>
      </c>
      <c r="G34" s="79"/>
      <c r="H34" s="79">
        <v>66</v>
      </c>
      <c r="I34" s="79">
        <v>66.2</v>
      </c>
      <c r="J34" s="79"/>
      <c r="K34" s="79">
        <v>66.2</v>
      </c>
      <c r="L34" s="79">
        <v>66.2</v>
      </c>
      <c r="M34" s="79"/>
      <c r="N34" s="79">
        <v>66.2</v>
      </c>
    </row>
    <row r="35" spans="1:14" x14ac:dyDescent="0.25">
      <c r="A35" s="92"/>
      <c r="B35" s="92"/>
      <c r="C35" s="6" t="s">
        <v>37</v>
      </c>
      <c r="D35" s="6"/>
      <c r="E35" s="8" t="s">
        <v>38</v>
      </c>
      <c r="F35" s="79">
        <f>F36</f>
        <v>25.8</v>
      </c>
      <c r="G35" s="79"/>
      <c r="H35" s="79">
        <f>H36</f>
        <v>25.8</v>
      </c>
      <c r="I35" s="79">
        <f>I36</f>
        <v>25.8</v>
      </c>
      <c r="J35" s="79"/>
      <c r="K35" s="79">
        <f>K36</f>
        <v>25.8</v>
      </c>
      <c r="L35" s="79">
        <f>L36</f>
        <v>25.8</v>
      </c>
      <c r="M35" s="79"/>
      <c r="N35" s="79">
        <f>N36</f>
        <v>25.8</v>
      </c>
    </row>
    <row r="36" spans="1:14" x14ac:dyDescent="0.25">
      <c r="A36" s="92"/>
      <c r="B36" s="92"/>
      <c r="C36" s="6"/>
      <c r="D36" s="6" t="s">
        <v>280</v>
      </c>
      <c r="E36" s="3" t="s">
        <v>281</v>
      </c>
      <c r="F36" s="79">
        <v>25.8</v>
      </c>
      <c r="G36" s="79"/>
      <c r="H36" s="79">
        <v>25.8</v>
      </c>
      <c r="I36" s="79">
        <v>25.8</v>
      </c>
      <c r="J36" s="79"/>
      <c r="K36" s="79">
        <v>25.8</v>
      </c>
      <c r="L36" s="79">
        <v>25.8</v>
      </c>
      <c r="M36" s="79"/>
      <c r="N36" s="79">
        <v>25.8</v>
      </c>
    </row>
    <row r="37" spans="1:14" ht="26.25" x14ac:dyDescent="0.25">
      <c r="A37" s="92"/>
      <c r="B37" s="92"/>
      <c r="C37" s="6" t="s">
        <v>39</v>
      </c>
      <c r="D37" s="6"/>
      <c r="E37" s="3" t="s">
        <v>40</v>
      </c>
      <c r="F37" s="79">
        <f>SUM(F38:F39)</f>
        <v>56.800000000000004</v>
      </c>
      <c r="G37" s="79"/>
      <c r="H37" s="79">
        <f>SUM(H38:H39)</f>
        <v>56.800000000000004</v>
      </c>
      <c r="I37" s="79">
        <f>SUM(I38:I39)</f>
        <v>58.800000000000004</v>
      </c>
      <c r="J37" s="79"/>
      <c r="K37" s="79">
        <f>SUM(K38:K39)</f>
        <v>58.800000000000004</v>
      </c>
      <c r="L37" s="79">
        <f>SUM(L38:L39)</f>
        <v>58.800000000000004</v>
      </c>
      <c r="M37" s="79"/>
      <c r="N37" s="79">
        <f>SUM(N38:N39)</f>
        <v>58.800000000000004</v>
      </c>
    </row>
    <row r="38" spans="1:14" ht="39" x14ac:dyDescent="0.25">
      <c r="A38" s="92"/>
      <c r="B38" s="92"/>
      <c r="C38" s="6"/>
      <c r="D38" s="6" t="s">
        <v>398</v>
      </c>
      <c r="E38" s="3" t="s">
        <v>399</v>
      </c>
      <c r="F38" s="79">
        <v>51.7</v>
      </c>
      <c r="G38" s="79"/>
      <c r="H38" s="79">
        <v>51.7</v>
      </c>
      <c r="I38" s="79">
        <v>53.6</v>
      </c>
      <c r="J38" s="79"/>
      <c r="K38" s="79">
        <v>53.6</v>
      </c>
      <c r="L38" s="79">
        <v>53.6</v>
      </c>
      <c r="M38" s="79"/>
      <c r="N38" s="79">
        <v>53.6</v>
      </c>
    </row>
    <row r="39" spans="1:14" x14ac:dyDescent="0.25">
      <c r="A39" s="92"/>
      <c r="B39" s="92"/>
      <c r="C39" s="6"/>
      <c r="D39" s="6" t="s">
        <v>280</v>
      </c>
      <c r="E39" s="3" t="s">
        <v>281</v>
      </c>
      <c r="F39" s="79">
        <v>5.0999999999999996</v>
      </c>
      <c r="G39" s="79"/>
      <c r="H39" s="79">
        <v>5.0999999999999996</v>
      </c>
      <c r="I39" s="79">
        <v>5.2</v>
      </c>
      <c r="J39" s="79"/>
      <c r="K39" s="79">
        <v>5.2</v>
      </c>
      <c r="L39" s="79">
        <v>5.2</v>
      </c>
      <c r="M39" s="79"/>
      <c r="N39" s="79">
        <v>5.2</v>
      </c>
    </row>
    <row r="40" spans="1:14" ht="26.25" x14ac:dyDescent="0.25">
      <c r="A40" s="92"/>
      <c r="B40" s="92"/>
      <c r="C40" s="6" t="s">
        <v>41</v>
      </c>
      <c r="D40" s="6"/>
      <c r="E40" s="3" t="s">
        <v>485</v>
      </c>
      <c r="F40" s="79">
        <f>SUM(F41:F42)</f>
        <v>348.6</v>
      </c>
      <c r="G40" s="79"/>
      <c r="H40" s="79">
        <f>SUM(H41:H42)</f>
        <v>348.6</v>
      </c>
      <c r="I40" s="79">
        <f>SUM(I41:I42)</f>
        <v>360.7</v>
      </c>
      <c r="J40" s="79"/>
      <c r="K40" s="79">
        <f>SUM(K41:K42)</f>
        <v>360.7</v>
      </c>
      <c r="L40" s="79">
        <f>SUM(L41:L42)</f>
        <v>360.7</v>
      </c>
      <c r="M40" s="79"/>
      <c r="N40" s="79">
        <f>SUM(N41:N42)</f>
        <v>360.7</v>
      </c>
    </row>
    <row r="41" spans="1:14" ht="39" x14ac:dyDescent="0.25">
      <c r="A41" s="92"/>
      <c r="B41" s="92"/>
      <c r="C41" s="6"/>
      <c r="D41" s="6" t="s">
        <v>398</v>
      </c>
      <c r="E41" s="3" t="s">
        <v>399</v>
      </c>
      <c r="F41" s="79">
        <v>348.6</v>
      </c>
      <c r="G41" s="79"/>
      <c r="H41" s="79">
        <v>348.6</v>
      </c>
      <c r="I41" s="79">
        <v>360.7</v>
      </c>
      <c r="J41" s="79"/>
      <c r="K41" s="79">
        <v>360.7</v>
      </c>
      <c r="L41" s="79">
        <v>360.7</v>
      </c>
      <c r="M41" s="79"/>
      <c r="N41" s="79">
        <v>360.7</v>
      </c>
    </row>
    <row r="42" spans="1:14" x14ac:dyDescent="0.25">
      <c r="A42" s="92"/>
      <c r="B42" s="92"/>
      <c r="C42" s="6"/>
      <c r="D42" s="6" t="s">
        <v>280</v>
      </c>
      <c r="E42" s="3" t="s">
        <v>281</v>
      </c>
      <c r="F42" s="79">
        <v>0</v>
      </c>
      <c r="G42" s="79"/>
      <c r="H42" s="79">
        <v>0</v>
      </c>
      <c r="I42" s="79">
        <v>0</v>
      </c>
      <c r="J42" s="79"/>
      <c r="K42" s="79">
        <v>0</v>
      </c>
      <c r="L42" s="79">
        <v>0</v>
      </c>
      <c r="M42" s="79"/>
      <c r="N42" s="79">
        <v>0</v>
      </c>
    </row>
    <row r="43" spans="1:14" ht="39" x14ac:dyDescent="0.25">
      <c r="A43" s="92"/>
      <c r="B43" s="92"/>
      <c r="C43" s="6" t="s">
        <v>42</v>
      </c>
      <c r="D43" s="6"/>
      <c r="E43" s="8" t="s">
        <v>43</v>
      </c>
      <c r="F43" s="79">
        <v>12.4</v>
      </c>
      <c r="G43" s="79"/>
      <c r="H43" s="79">
        <v>12.4</v>
      </c>
      <c r="I43" s="79">
        <v>12.8</v>
      </c>
      <c r="J43" s="79"/>
      <c r="K43" s="79">
        <v>12.8</v>
      </c>
      <c r="L43" s="79">
        <v>12.8</v>
      </c>
      <c r="M43" s="79"/>
      <c r="N43" s="79">
        <v>12.8</v>
      </c>
    </row>
    <row r="44" spans="1:14" x14ac:dyDescent="0.25">
      <c r="A44" s="92"/>
      <c r="B44" s="92"/>
      <c r="C44" s="6"/>
      <c r="D44" s="6" t="s">
        <v>280</v>
      </c>
      <c r="E44" s="3" t="s">
        <v>281</v>
      </c>
      <c r="F44" s="79">
        <v>12.4</v>
      </c>
      <c r="G44" s="79"/>
      <c r="H44" s="79">
        <v>12.4</v>
      </c>
      <c r="I44" s="79">
        <v>12.8</v>
      </c>
      <c r="J44" s="79"/>
      <c r="K44" s="79">
        <v>12.8</v>
      </c>
      <c r="L44" s="79">
        <v>12.8</v>
      </c>
      <c r="M44" s="79"/>
      <c r="N44" s="79">
        <v>12.8</v>
      </c>
    </row>
    <row r="45" spans="1:14" ht="25.5" x14ac:dyDescent="0.25">
      <c r="A45" s="105"/>
      <c r="B45" s="106"/>
      <c r="C45" s="107" t="s">
        <v>180</v>
      </c>
      <c r="D45" s="106"/>
      <c r="E45" s="108" t="s">
        <v>181</v>
      </c>
      <c r="F45" s="109">
        <f t="shared" ref="F45:N46" si="8">F46</f>
        <v>71.2</v>
      </c>
      <c r="G45" s="109"/>
      <c r="H45" s="109">
        <f t="shared" si="8"/>
        <v>71.2</v>
      </c>
      <c r="I45" s="109">
        <f t="shared" si="8"/>
        <v>73.599999999999994</v>
      </c>
      <c r="J45" s="109"/>
      <c r="K45" s="109">
        <f t="shared" si="8"/>
        <v>73.599999999999994</v>
      </c>
      <c r="L45" s="109">
        <f t="shared" si="8"/>
        <v>73.599999999999994</v>
      </c>
      <c r="M45" s="109"/>
      <c r="N45" s="109">
        <f t="shared" si="8"/>
        <v>73.599999999999994</v>
      </c>
    </row>
    <row r="46" spans="1:14" ht="39" x14ac:dyDescent="0.25">
      <c r="A46" s="33"/>
      <c r="B46" s="33"/>
      <c r="C46" s="33" t="s">
        <v>192</v>
      </c>
      <c r="D46" s="33"/>
      <c r="E46" s="34" t="s">
        <v>193</v>
      </c>
      <c r="F46" s="71">
        <f t="shared" si="8"/>
        <v>71.2</v>
      </c>
      <c r="G46" s="71"/>
      <c r="H46" s="71">
        <f t="shared" si="8"/>
        <v>71.2</v>
      </c>
      <c r="I46" s="71">
        <f t="shared" si="8"/>
        <v>73.599999999999994</v>
      </c>
      <c r="J46" s="71"/>
      <c r="K46" s="71">
        <f t="shared" si="8"/>
        <v>73.599999999999994</v>
      </c>
      <c r="L46" s="71">
        <f t="shared" si="8"/>
        <v>73.599999999999994</v>
      </c>
      <c r="M46" s="71"/>
      <c r="N46" s="71">
        <f t="shared" si="8"/>
        <v>73.599999999999994</v>
      </c>
    </row>
    <row r="47" spans="1:14" ht="38.25" x14ac:dyDescent="0.25">
      <c r="A47" s="92"/>
      <c r="B47" s="92"/>
      <c r="C47" s="6" t="s">
        <v>198</v>
      </c>
      <c r="D47" s="6"/>
      <c r="E47" s="1" t="s">
        <v>199</v>
      </c>
      <c r="F47" s="70">
        <f>F48+F49</f>
        <v>71.2</v>
      </c>
      <c r="G47" s="70"/>
      <c r="H47" s="70">
        <f>H48+H49</f>
        <v>71.2</v>
      </c>
      <c r="I47" s="70">
        <f>I48+I49</f>
        <v>73.599999999999994</v>
      </c>
      <c r="J47" s="70"/>
      <c r="K47" s="70">
        <f>K48+K49</f>
        <v>73.599999999999994</v>
      </c>
      <c r="L47" s="70">
        <f>L48+L49</f>
        <v>73.599999999999994</v>
      </c>
      <c r="M47" s="70"/>
      <c r="N47" s="70">
        <f>N48+N49</f>
        <v>73.599999999999994</v>
      </c>
    </row>
    <row r="48" spans="1:14" ht="39" x14ac:dyDescent="0.25">
      <c r="A48" s="92"/>
      <c r="B48" s="92"/>
      <c r="C48" s="6"/>
      <c r="D48" s="6" t="s">
        <v>398</v>
      </c>
      <c r="E48" s="3" t="s">
        <v>399</v>
      </c>
      <c r="F48" s="70">
        <v>51.7</v>
      </c>
      <c r="G48" s="70"/>
      <c r="H48" s="70">
        <v>51.7</v>
      </c>
      <c r="I48" s="70">
        <v>53.6</v>
      </c>
      <c r="J48" s="70"/>
      <c r="K48" s="70">
        <v>53.6</v>
      </c>
      <c r="L48" s="70">
        <v>53.6</v>
      </c>
      <c r="M48" s="70"/>
      <c r="N48" s="70">
        <v>53.6</v>
      </c>
    </row>
    <row r="49" spans="1:14" x14ac:dyDescent="0.25">
      <c r="A49" s="92"/>
      <c r="B49" s="92"/>
      <c r="C49" s="6"/>
      <c r="D49" s="6" t="s">
        <v>280</v>
      </c>
      <c r="E49" s="3" t="s">
        <v>281</v>
      </c>
      <c r="F49" s="70">
        <v>19.5</v>
      </c>
      <c r="G49" s="70"/>
      <c r="H49" s="70">
        <v>19.5</v>
      </c>
      <c r="I49" s="70">
        <v>20</v>
      </c>
      <c r="J49" s="70"/>
      <c r="K49" s="70">
        <v>20</v>
      </c>
      <c r="L49" s="70">
        <v>20</v>
      </c>
      <c r="M49" s="70"/>
      <c r="N49" s="70">
        <v>20</v>
      </c>
    </row>
    <row r="50" spans="1:14" s="42" customFormat="1" x14ac:dyDescent="0.25">
      <c r="A50" s="112"/>
      <c r="B50" s="112"/>
      <c r="C50" s="113" t="s">
        <v>574</v>
      </c>
      <c r="D50" s="114"/>
      <c r="E50" s="115" t="s">
        <v>575</v>
      </c>
      <c r="F50" s="116">
        <f>F51</f>
        <v>57.099999999999994</v>
      </c>
      <c r="G50" s="116"/>
      <c r="H50" s="116">
        <f>H51</f>
        <v>57.099999999999994</v>
      </c>
      <c r="I50" s="116">
        <f>I51</f>
        <v>4.9000000000000004</v>
      </c>
      <c r="J50" s="116"/>
      <c r="K50" s="116">
        <f>K51</f>
        <v>4.9000000000000004</v>
      </c>
      <c r="L50" s="116">
        <f>L51</f>
        <v>4.9000000000000004</v>
      </c>
      <c r="M50" s="116"/>
      <c r="N50" s="116">
        <f>N51</f>
        <v>4.9000000000000004</v>
      </c>
    </row>
    <row r="51" spans="1:14" s="42" customFormat="1" ht="25.5" x14ac:dyDescent="0.25">
      <c r="A51" s="117"/>
      <c r="B51" s="117"/>
      <c r="C51" s="118" t="s">
        <v>401</v>
      </c>
      <c r="D51" s="119"/>
      <c r="E51" s="120" t="s">
        <v>576</v>
      </c>
      <c r="F51" s="121">
        <f>F52+F54</f>
        <v>57.099999999999994</v>
      </c>
      <c r="G51" s="121"/>
      <c r="H51" s="121">
        <f t="shared" ref="H51:N51" si="9">H52+H54</f>
        <v>57.099999999999994</v>
      </c>
      <c r="I51" s="121">
        <f t="shared" si="9"/>
        <v>4.9000000000000004</v>
      </c>
      <c r="J51" s="121"/>
      <c r="K51" s="121">
        <f t="shared" si="9"/>
        <v>4.9000000000000004</v>
      </c>
      <c r="L51" s="121">
        <f t="shared" si="9"/>
        <v>4.9000000000000004</v>
      </c>
      <c r="M51" s="121"/>
      <c r="N51" s="121">
        <f t="shared" si="9"/>
        <v>4.9000000000000004</v>
      </c>
    </row>
    <row r="52" spans="1:14" ht="25.5" x14ac:dyDescent="0.25">
      <c r="A52" s="92"/>
      <c r="B52" s="92"/>
      <c r="C52" s="122" t="s">
        <v>419</v>
      </c>
      <c r="D52" s="16"/>
      <c r="E52" s="1" t="s">
        <v>420</v>
      </c>
      <c r="F52" s="79">
        <f>F53</f>
        <v>4.8</v>
      </c>
      <c r="G52" s="79"/>
      <c r="H52" s="79">
        <f>H53</f>
        <v>4.8</v>
      </c>
      <c r="I52" s="79">
        <f>I53</f>
        <v>4.9000000000000004</v>
      </c>
      <c r="J52" s="79"/>
      <c r="K52" s="79">
        <f>K53</f>
        <v>4.9000000000000004</v>
      </c>
      <c r="L52" s="79">
        <f>L53</f>
        <v>4.9000000000000004</v>
      </c>
      <c r="M52" s="79"/>
      <c r="N52" s="79">
        <f>N53</f>
        <v>4.9000000000000004</v>
      </c>
    </row>
    <row r="53" spans="1:14" x14ac:dyDescent="0.25">
      <c r="A53" s="92"/>
      <c r="B53" s="92"/>
      <c r="C53" s="122"/>
      <c r="D53" s="16" t="s">
        <v>280</v>
      </c>
      <c r="E53" s="1" t="s">
        <v>281</v>
      </c>
      <c r="F53" s="79">
        <v>4.8</v>
      </c>
      <c r="G53" s="79"/>
      <c r="H53" s="79">
        <v>4.8</v>
      </c>
      <c r="I53" s="79">
        <v>4.9000000000000004</v>
      </c>
      <c r="J53" s="79"/>
      <c r="K53" s="79">
        <v>4.9000000000000004</v>
      </c>
      <c r="L53" s="79">
        <v>4.9000000000000004</v>
      </c>
      <c r="M53" s="79"/>
      <c r="N53" s="79">
        <v>4.9000000000000004</v>
      </c>
    </row>
    <row r="54" spans="1:14" ht="26.25" x14ac:dyDescent="0.25">
      <c r="A54" s="92"/>
      <c r="B54" s="92"/>
      <c r="C54" s="122" t="s">
        <v>843</v>
      </c>
      <c r="D54" s="6"/>
      <c r="E54" s="8" t="s">
        <v>844</v>
      </c>
      <c r="F54" s="79">
        <f>F55+F56</f>
        <v>52.3</v>
      </c>
      <c r="G54" s="79"/>
      <c r="H54" s="79">
        <f t="shared" ref="H54:N54" si="10">H55+H56</f>
        <v>52.3</v>
      </c>
      <c r="I54" s="79">
        <f t="shared" si="10"/>
        <v>0</v>
      </c>
      <c r="J54" s="79"/>
      <c r="K54" s="79">
        <f t="shared" si="10"/>
        <v>0</v>
      </c>
      <c r="L54" s="79">
        <f t="shared" si="10"/>
        <v>0</v>
      </c>
      <c r="M54" s="79"/>
      <c r="N54" s="79">
        <f t="shared" si="10"/>
        <v>0</v>
      </c>
    </row>
    <row r="55" spans="1:14" ht="39" x14ac:dyDescent="0.25">
      <c r="A55" s="92"/>
      <c r="B55" s="92"/>
      <c r="C55" s="122"/>
      <c r="D55" s="6" t="s">
        <v>398</v>
      </c>
      <c r="E55" s="3" t="s">
        <v>399</v>
      </c>
      <c r="F55" s="79">
        <v>19.7</v>
      </c>
      <c r="G55" s="79"/>
      <c r="H55" s="79">
        <v>19.7</v>
      </c>
      <c r="I55" s="79"/>
      <c r="J55" s="79"/>
      <c r="K55" s="79">
        <v>0</v>
      </c>
      <c r="L55" s="79"/>
      <c r="M55" s="79"/>
      <c r="N55" s="79">
        <v>0</v>
      </c>
    </row>
    <row r="56" spans="1:14" x14ac:dyDescent="0.25">
      <c r="A56" s="92"/>
      <c r="B56" s="92"/>
      <c r="C56" s="122"/>
      <c r="D56" s="6" t="s">
        <v>405</v>
      </c>
      <c r="E56" s="1" t="s">
        <v>406</v>
      </c>
      <c r="F56" s="79">
        <v>32.6</v>
      </c>
      <c r="G56" s="79"/>
      <c r="H56" s="79">
        <v>32.6</v>
      </c>
      <c r="I56" s="79"/>
      <c r="J56" s="79"/>
      <c r="K56" s="79">
        <v>0</v>
      </c>
      <c r="L56" s="79"/>
      <c r="M56" s="79"/>
      <c r="N56" s="79">
        <v>0</v>
      </c>
    </row>
    <row r="57" spans="1:14" x14ac:dyDescent="0.25">
      <c r="A57" s="102"/>
      <c r="B57" s="17" t="s">
        <v>568</v>
      </c>
      <c r="C57" s="103"/>
      <c r="D57" s="17"/>
      <c r="E57" s="123" t="s">
        <v>577</v>
      </c>
      <c r="F57" s="124">
        <f>F58</f>
        <v>2.2000000000000002</v>
      </c>
      <c r="G57" s="124"/>
      <c r="H57" s="124">
        <f t="shared" ref="F57:H62" si="11">H58</f>
        <v>2.2000000000000002</v>
      </c>
      <c r="I57" s="124">
        <f t="shared" ref="I57:N62" si="12">I58</f>
        <v>2.2999999999999998</v>
      </c>
      <c r="J57" s="124"/>
      <c r="K57" s="124">
        <f t="shared" si="12"/>
        <v>2.2999999999999998</v>
      </c>
      <c r="L57" s="124">
        <f t="shared" si="12"/>
        <v>34.9</v>
      </c>
      <c r="M57" s="124"/>
      <c r="N57" s="124">
        <f t="shared" si="12"/>
        <v>34.9</v>
      </c>
    </row>
    <row r="58" spans="1:14" s="125" customFormat="1" ht="12.75" x14ac:dyDescent="0.2">
      <c r="A58" s="102"/>
      <c r="B58" s="17"/>
      <c r="C58" s="102" t="s">
        <v>5</v>
      </c>
      <c r="D58" s="97"/>
      <c r="E58" s="111" t="s">
        <v>6</v>
      </c>
      <c r="F58" s="124">
        <f t="shared" si="11"/>
        <v>2.2000000000000002</v>
      </c>
      <c r="G58" s="124"/>
      <c r="H58" s="124">
        <f t="shared" si="11"/>
        <v>2.2000000000000002</v>
      </c>
      <c r="I58" s="124">
        <f t="shared" si="12"/>
        <v>2.2999999999999998</v>
      </c>
      <c r="J58" s="124"/>
      <c r="K58" s="124">
        <f t="shared" si="12"/>
        <v>2.2999999999999998</v>
      </c>
      <c r="L58" s="124">
        <f t="shared" si="12"/>
        <v>34.9</v>
      </c>
      <c r="M58" s="124"/>
      <c r="N58" s="124">
        <f t="shared" si="12"/>
        <v>34.9</v>
      </c>
    </row>
    <row r="59" spans="1:14" ht="25.5" x14ac:dyDescent="0.25">
      <c r="A59" s="105"/>
      <c r="B59" s="106"/>
      <c r="C59" s="107" t="s">
        <v>7</v>
      </c>
      <c r="D59" s="106"/>
      <c r="E59" s="108" t="s">
        <v>8</v>
      </c>
      <c r="F59" s="109">
        <f t="shared" si="11"/>
        <v>2.2000000000000002</v>
      </c>
      <c r="G59" s="109"/>
      <c r="H59" s="109">
        <f t="shared" si="11"/>
        <v>2.2000000000000002</v>
      </c>
      <c r="I59" s="109">
        <f t="shared" si="12"/>
        <v>2.2999999999999998</v>
      </c>
      <c r="J59" s="109"/>
      <c r="K59" s="109">
        <f t="shared" si="12"/>
        <v>2.2999999999999998</v>
      </c>
      <c r="L59" s="109">
        <f t="shared" si="12"/>
        <v>34.9</v>
      </c>
      <c r="M59" s="109"/>
      <c r="N59" s="109">
        <f t="shared" si="12"/>
        <v>34.9</v>
      </c>
    </row>
    <row r="60" spans="1:14" ht="38.25" x14ac:dyDescent="0.25">
      <c r="A60" s="126"/>
      <c r="B60" s="127"/>
      <c r="C60" s="128" t="s">
        <v>30</v>
      </c>
      <c r="D60" s="127"/>
      <c r="E60" s="129" t="s">
        <v>578</v>
      </c>
      <c r="F60" s="130">
        <f t="shared" si="11"/>
        <v>2.2000000000000002</v>
      </c>
      <c r="G60" s="130"/>
      <c r="H60" s="130">
        <f t="shared" si="11"/>
        <v>2.2000000000000002</v>
      </c>
      <c r="I60" s="130">
        <f t="shared" si="12"/>
        <v>2.2999999999999998</v>
      </c>
      <c r="J60" s="130"/>
      <c r="K60" s="130">
        <f t="shared" si="12"/>
        <v>2.2999999999999998</v>
      </c>
      <c r="L60" s="130">
        <f t="shared" si="12"/>
        <v>34.9</v>
      </c>
      <c r="M60" s="130"/>
      <c r="N60" s="130">
        <f t="shared" si="12"/>
        <v>34.9</v>
      </c>
    </row>
    <row r="61" spans="1:14" ht="25.5" x14ac:dyDescent="0.25">
      <c r="A61" s="131"/>
      <c r="B61" s="114"/>
      <c r="C61" s="113" t="s">
        <v>32</v>
      </c>
      <c r="D61" s="114"/>
      <c r="E61" s="115" t="s">
        <v>579</v>
      </c>
      <c r="F61" s="132">
        <f t="shared" si="11"/>
        <v>2.2000000000000002</v>
      </c>
      <c r="G61" s="132"/>
      <c r="H61" s="132">
        <f t="shared" si="11"/>
        <v>2.2000000000000002</v>
      </c>
      <c r="I61" s="132">
        <f t="shared" si="12"/>
        <v>2.2999999999999998</v>
      </c>
      <c r="J61" s="132"/>
      <c r="K61" s="132">
        <f t="shared" si="12"/>
        <v>2.2999999999999998</v>
      </c>
      <c r="L61" s="132">
        <f t="shared" si="12"/>
        <v>34.9</v>
      </c>
      <c r="M61" s="132"/>
      <c r="N61" s="132">
        <f t="shared" si="12"/>
        <v>34.9</v>
      </c>
    </row>
    <row r="62" spans="1:14" ht="39" x14ac:dyDescent="0.25">
      <c r="A62" s="92"/>
      <c r="B62" s="92"/>
      <c r="C62" s="6" t="s">
        <v>44</v>
      </c>
      <c r="D62" s="6"/>
      <c r="E62" s="3" t="s">
        <v>45</v>
      </c>
      <c r="F62" s="79">
        <f t="shared" si="11"/>
        <v>2.2000000000000002</v>
      </c>
      <c r="G62" s="79"/>
      <c r="H62" s="79">
        <f t="shared" si="11"/>
        <v>2.2000000000000002</v>
      </c>
      <c r="I62" s="79">
        <f t="shared" si="12"/>
        <v>2.2999999999999998</v>
      </c>
      <c r="J62" s="79"/>
      <c r="K62" s="79">
        <f t="shared" si="12"/>
        <v>2.2999999999999998</v>
      </c>
      <c r="L62" s="79">
        <f t="shared" si="12"/>
        <v>34.9</v>
      </c>
      <c r="M62" s="79"/>
      <c r="N62" s="79">
        <f t="shared" si="12"/>
        <v>34.9</v>
      </c>
    </row>
    <row r="63" spans="1:14" x14ac:dyDescent="0.25">
      <c r="A63" s="92"/>
      <c r="B63" s="92"/>
      <c r="C63" s="6"/>
      <c r="D63" s="6" t="s">
        <v>280</v>
      </c>
      <c r="E63" s="3" t="s">
        <v>281</v>
      </c>
      <c r="F63" s="79">
        <v>2.2000000000000002</v>
      </c>
      <c r="G63" s="79"/>
      <c r="H63" s="79">
        <v>2.2000000000000002</v>
      </c>
      <c r="I63" s="79">
        <v>2.2999999999999998</v>
      </c>
      <c r="J63" s="79"/>
      <c r="K63" s="79">
        <v>2.2999999999999998</v>
      </c>
      <c r="L63" s="79">
        <v>34.9</v>
      </c>
      <c r="M63" s="79"/>
      <c r="N63" s="79">
        <v>34.9</v>
      </c>
    </row>
    <row r="64" spans="1:14" s="42" customFormat="1" x14ac:dyDescent="0.25">
      <c r="A64" s="110"/>
      <c r="B64" s="17" t="s">
        <v>880</v>
      </c>
      <c r="C64" s="12"/>
      <c r="D64" s="12"/>
      <c r="E64" s="111" t="s">
        <v>879</v>
      </c>
      <c r="F64" s="124">
        <v>2466.9</v>
      </c>
      <c r="G64" s="124">
        <f>G65</f>
        <v>0</v>
      </c>
      <c r="H64" s="124">
        <f t="shared" ref="H64:N67" si="13">H65</f>
        <v>2466.9</v>
      </c>
      <c r="I64" s="124">
        <f t="shared" si="13"/>
        <v>0</v>
      </c>
      <c r="J64" s="124"/>
      <c r="K64" s="124">
        <f t="shared" si="13"/>
        <v>0</v>
      </c>
      <c r="L64" s="124">
        <f t="shared" si="13"/>
        <v>0</v>
      </c>
      <c r="M64" s="124"/>
      <c r="N64" s="124">
        <f t="shared" si="13"/>
        <v>0</v>
      </c>
    </row>
    <row r="65" spans="1:14" s="42" customFormat="1" x14ac:dyDescent="0.25">
      <c r="A65" s="112"/>
      <c r="B65" s="114"/>
      <c r="C65" s="113" t="s">
        <v>574</v>
      </c>
      <c r="D65" s="114"/>
      <c r="E65" s="115" t="s">
        <v>575</v>
      </c>
      <c r="F65" s="116">
        <v>2466.9</v>
      </c>
      <c r="G65" s="116">
        <f>G66</f>
        <v>0</v>
      </c>
      <c r="H65" s="116">
        <f t="shared" si="13"/>
        <v>2466.9</v>
      </c>
      <c r="I65" s="116">
        <f t="shared" si="13"/>
        <v>0</v>
      </c>
      <c r="J65" s="116"/>
      <c r="K65" s="116">
        <f t="shared" si="13"/>
        <v>0</v>
      </c>
      <c r="L65" s="116">
        <f t="shared" si="13"/>
        <v>0</v>
      </c>
      <c r="M65" s="116"/>
      <c r="N65" s="116">
        <f t="shared" si="13"/>
        <v>0</v>
      </c>
    </row>
    <row r="66" spans="1:14" ht="25.5" x14ac:dyDescent="0.25">
      <c r="A66" s="144"/>
      <c r="B66" s="144"/>
      <c r="C66" s="138" t="s">
        <v>401</v>
      </c>
      <c r="D66" s="139"/>
      <c r="E66" s="157" t="s">
        <v>576</v>
      </c>
      <c r="F66" s="141">
        <v>2466.6</v>
      </c>
      <c r="G66" s="141">
        <f>G67</f>
        <v>0</v>
      </c>
      <c r="H66" s="141">
        <f t="shared" si="13"/>
        <v>2466.9</v>
      </c>
      <c r="I66" s="141">
        <f t="shared" si="13"/>
        <v>0</v>
      </c>
      <c r="J66" s="141"/>
      <c r="K66" s="141">
        <f t="shared" si="13"/>
        <v>0</v>
      </c>
      <c r="L66" s="141">
        <f t="shared" si="13"/>
        <v>0</v>
      </c>
      <c r="M66" s="141"/>
      <c r="N66" s="141">
        <f t="shared" si="13"/>
        <v>0</v>
      </c>
    </row>
    <row r="67" spans="1:14" x14ac:dyDescent="0.25">
      <c r="A67" s="92"/>
      <c r="B67" s="92"/>
      <c r="C67" s="22" t="s">
        <v>523</v>
      </c>
      <c r="D67" s="16"/>
      <c r="E67" s="1" t="s">
        <v>524</v>
      </c>
      <c r="F67" s="79">
        <v>2466.9</v>
      </c>
      <c r="G67" s="79">
        <f>G68</f>
        <v>0</v>
      </c>
      <c r="H67" s="79">
        <f t="shared" si="13"/>
        <v>2466.9</v>
      </c>
      <c r="I67" s="79">
        <f t="shared" si="13"/>
        <v>0</v>
      </c>
      <c r="J67" s="79"/>
      <c r="K67" s="79">
        <f t="shared" si="13"/>
        <v>0</v>
      </c>
      <c r="L67" s="79">
        <f t="shared" si="13"/>
        <v>0</v>
      </c>
      <c r="M67" s="79"/>
      <c r="N67" s="79">
        <f t="shared" si="13"/>
        <v>0</v>
      </c>
    </row>
    <row r="68" spans="1:14" x14ac:dyDescent="0.25">
      <c r="A68" s="92"/>
      <c r="B68" s="92"/>
      <c r="C68" s="17"/>
      <c r="D68" s="16" t="s">
        <v>405</v>
      </c>
      <c r="E68" s="3" t="s">
        <v>406</v>
      </c>
      <c r="F68" s="79">
        <v>2466.9</v>
      </c>
      <c r="G68" s="79"/>
      <c r="H68" s="79">
        <f>SUM(F68:G68)</f>
        <v>2466.9</v>
      </c>
      <c r="I68" s="79">
        <v>0</v>
      </c>
      <c r="J68" s="79"/>
      <c r="K68" s="79">
        <v>0</v>
      </c>
      <c r="L68" s="79">
        <v>0</v>
      </c>
      <c r="M68" s="79"/>
      <c r="N68" s="79">
        <v>0</v>
      </c>
    </row>
    <row r="69" spans="1:14" x14ac:dyDescent="0.25">
      <c r="A69" s="102"/>
      <c r="B69" s="17" t="s">
        <v>569</v>
      </c>
      <c r="C69" s="103"/>
      <c r="D69" s="102"/>
      <c r="E69" s="96" t="s">
        <v>580</v>
      </c>
      <c r="F69" s="124">
        <f t="shared" ref="F69:M69" si="14">F70+F103</f>
        <v>38535.67755</v>
      </c>
      <c r="G69" s="124">
        <f t="shared" si="14"/>
        <v>2025.8</v>
      </c>
      <c r="H69" s="124">
        <f t="shared" si="14"/>
        <v>40561.477550000003</v>
      </c>
      <c r="I69" s="124">
        <f t="shared" si="14"/>
        <v>37097.371729999999</v>
      </c>
      <c r="J69" s="124">
        <f t="shared" si="14"/>
        <v>0</v>
      </c>
      <c r="K69" s="124">
        <f t="shared" si="14"/>
        <v>37097.371729999999</v>
      </c>
      <c r="L69" s="124">
        <f t="shared" si="14"/>
        <v>33946.002179999996</v>
      </c>
      <c r="M69" s="124">
        <f t="shared" si="14"/>
        <v>0</v>
      </c>
      <c r="N69" s="124">
        <f>N70+N103</f>
        <v>33946.002179999996</v>
      </c>
    </row>
    <row r="70" spans="1:14" x14ac:dyDescent="0.25">
      <c r="A70" s="102"/>
      <c r="B70" s="17"/>
      <c r="C70" s="103" t="s">
        <v>5</v>
      </c>
      <c r="D70" s="102"/>
      <c r="E70" s="123" t="s">
        <v>6</v>
      </c>
      <c r="F70" s="124">
        <f>F71+F92+F97</f>
        <v>3938.07755</v>
      </c>
      <c r="G70" s="124"/>
      <c r="H70" s="124">
        <f>H71+H92+H97</f>
        <v>3938.07755</v>
      </c>
      <c r="I70" s="124">
        <f>I71+I92+I97</f>
        <v>4183.5717299999997</v>
      </c>
      <c r="J70" s="124"/>
      <c r="K70" s="124">
        <f>K71+K92+K97</f>
        <v>4183.5717299999997</v>
      </c>
      <c r="L70" s="124">
        <f>L71+L92+L97</f>
        <v>1232.20218</v>
      </c>
      <c r="M70" s="124"/>
      <c r="N70" s="124">
        <f>N71+N92+N97</f>
        <v>1232.20218</v>
      </c>
    </row>
    <row r="71" spans="1:14" ht="25.5" x14ac:dyDescent="0.25">
      <c r="A71" s="105"/>
      <c r="B71" s="106"/>
      <c r="C71" s="107" t="s">
        <v>7</v>
      </c>
      <c r="D71" s="106"/>
      <c r="E71" s="108" t="s">
        <v>525</v>
      </c>
      <c r="F71" s="109">
        <f>F72+F81+F86</f>
        <v>2108</v>
      </c>
      <c r="G71" s="109"/>
      <c r="H71" s="109">
        <f>H72+H81+H86</f>
        <v>2108</v>
      </c>
      <c r="I71" s="109">
        <f>I72+I81+I86</f>
        <v>2298.3000000000002</v>
      </c>
      <c r="J71" s="109"/>
      <c r="K71" s="109">
        <f>K72+K81+K86</f>
        <v>2298.3000000000002</v>
      </c>
      <c r="L71" s="109">
        <f>L72+L81+L86</f>
        <v>1214.5</v>
      </c>
      <c r="M71" s="109"/>
      <c r="N71" s="109">
        <f>N72+N81+N86</f>
        <v>1214.5</v>
      </c>
    </row>
    <row r="72" spans="1:14" ht="26.25" x14ac:dyDescent="0.25">
      <c r="A72" s="31"/>
      <c r="B72" s="31"/>
      <c r="C72" s="31" t="s">
        <v>9</v>
      </c>
      <c r="D72" s="31"/>
      <c r="E72" s="32" t="s">
        <v>10</v>
      </c>
      <c r="F72" s="75">
        <f>F73+F76</f>
        <v>908.7</v>
      </c>
      <c r="G72" s="75"/>
      <c r="H72" s="75">
        <f>H73+H76</f>
        <v>908.7</v>
      </c>
      <c r="I72" s="75">
        <f>I73+I76</f>
        <v>1058.5000000000002</v>
      </c>
      <c r="J72" s="75"/>
      <c r="K72" s="75">
        <f>K73+K76</f>
        <v>1058.5000000000002</v>
      </c>
      <c r="L72" s="75">
        <f>L73+L76</f>
        <v>56</v>
      </c>
      <c r="M72" s="75"/>
      <c r="N72" s="75">
        <f>N73+N76</f>
        <v>56</v>
      </c>
    </row>
    <row r="73" spans="1:14" x14ac:dyDescent="0.25">
      <c r="A73" s="33"/>
      <c r="B73" s="33"/>
      <c r="C73" s="33" t="s">
        <v>11</v>
      </c>
      <c r="D73" s="33"/>
      <c r="E73" s="34" t="s">
        <v>12</v>
      </c>
      <c r="F73" s="71">
        <f>F74</f>
        <v>810.7</v>
      </c>
      <c r="G73" s="71"/>
      <c r="H73" s="71">
        <f>H74</f>
        <v>810.7</v>
      </c>
      <c r="I73" s="71">
        <f t="shared" ref="I73:N73" si="15">I74</f>
        <v>960.50000000000023</v>
      </c>
      <c r="J73" s="71"/>
      <c r="K73" s="71">
        <f t="shared" si="15"/>
        <v>960.50000000000023</v>
      </c>
      <c r="L73" s="71">
        <f t="shared" si="15"/>
        <v>0</v>
      </c>
      <c r="M73" s="71"/>
      <c r="N73" s="71">
        <f t="shared" si="15"/>
        <v>0</v>
      </c>
    </row>
    <row r="74" spans="1:14" ht="51.75" x14ac:dyDescent="0.25">
      <c r="A74" s="6"/>
      <c r="B74" s="6"/>
      <c r="C74" s="6" t="s">
        <v>13</v>
      </c>
      <c r="D74" s="12"/>
      <c r="E74" s="3" t="s">
        <v>14</v>
      </c>
      <c r="F74" s="70">
        <f>F75</f>
        <v>810.7</v>
      </c>
      <c r="G74" s="70"/>
      <c r="H74" s="70">
        <f>H75</f>
        <v>810.7</v>
      </c>
      <c r="I74" s="70">
        <f>I75</f>
        <v>960.50000000000023</v>
      </c>
      <c r="J74" s="70"/>
      <c r="K74" s="70">
        <f>K75</f>
        <v>960.50000000000023</v>
      </c>
      <c r="L74" s="70">
        <f>L75</f>
        <v>0</v>
      </c>
      <c r="M74" s="70"/>
      <c r="N74" s="70">
        <f>N75</f>
        <v>0</v>
      </c>
    </row>
    <row r="75" spans="1:14" x14ac:dyDescent="0.25">
      <c r="A75" s="6"/>
      <c r="B75" s="6"/>
      <c r="C75" s="6"/>
      <c r="D75" s="6" t="s">
        <v>280</v>
      </c>
      <c r="E75" s="3" t="s">
        <v>281</v>
      </c>
      <c r="F75" s="70">
        <v>810.7</v>
      </c>
      <c r="G75" s="70"/>
      <c r="H75" s="70">
        <f>F75+G75</f>
        <v>810.7</v>
      </c>
      <c r="I75" s="70">
        <f>2639.3-1678.8</f>
        <v>960.50000000000023</v>
      </c>
      <c r="J75" s="70"/>
      <c r="K75" s="70">
        <f>2639.3-1678.8</f>
        <v>960.50000000000023</v>
      </c>
      <c r="L75" s="70">
        <v>0</v>
      </c>
      <c r="M75" s="70"/>
      <c r="N75" s="70">
        <v>0</v>
      </c>
    </row>
    <row r="76" spans="1:14" ht="26.25" x14ac:dyDescent="0.25">
      <c r="A76" s="33"/>
      <c r="B76" s="33"/>
      <c r="C76" s="33" t="s">
        <v>15</v>
      </c>
      <c r="D76" s="33"/>
      <c r="E76" s="34" t="s">
        <v>16</v>
      </c>
      <c r="F76" s="78">
        <f>F77+F79</f>
        <v>98</v>
      </c>
      <c r="G76" s="78"/>
      <c r="H76" s="78">
        <f>H77+H79</f>
        <v>98</v>
      </c>
      <c r="I76" s="78">
        <f>I77+I79</f>
        <v>98</v>
      </c>
      <c r="J76" s="78"/>
      <c r="K76" s="78">
        <f>K77+K79</f>
        <v>98</v>
      </c>
      <c r="L76" s="78">
        <f>L77+L79</f>
        <v>56</v>
      </c>
      <c r="M76" s="78"/>
      <c r="N76" s="78">
        <f>N77+N79</f>
        <v>56</v>
      </c>
    </row>
    <row r="77" spans="1:14" ht="26.25" x14ac:dyDescent="0.25">
      <c r="A77" s="92"/>
      <c r="B77" s="92"/>
      <c r="C77" s="6" t="s">
        <v>17</v>
      </c>
      <c r="D77" s="6"/>
      <c r="E77" s="3" t="s">
        <v>430</v>
      </c>
      <c r="F77" s="70">
        <f>F78</f>
        <v>56</v>
      </c>
      <c r="G77" s="70"/>
      <c r="H77" s="70">
        <f>H78</f>
        <v>56</v>
      </c>
      <c r="I77" s="70">
        <f>I78</f>
        <v>56</v>
      </c>
      <c r="J77" s="70"/>
      <c r="K77" s="70">
        <f>K78</f>
        <v>56</v>
      </c>
      <c r="L77" s="70">
        <f>L78</f>
        <v>56</v>
      </c>
      <c r="M77" s="70"/>
      <c r="N77" s="70">
        <f>N78</f>
        <v>56</v>
      </c>
    </row>
    <row r="78" spans="1:14" x14ac:dyDescent="0.25">
      <c r="A78" s="92"/>
      <c r="B78" s="92"/>
      <c r="C78" s="6"/>
      <c r="D78" s="6" t="s">
        <v>280</v>
      </c>
      <c r="E78" s="3" t="s">
        <v>281</v>
      </c>
      <c r="F78" s="70">
        <v>56</v>
      </c>
      <c r="G78" s="70"/>
      <c r="H78" s="70">
        <v>56</v>
      </c>
      <c r="I78" s="70">
        <v>56</v>
      </c>
      <c r="J78" s="70"/>
      <c r="K78" s="70">
        <v>56</v>
      </c>
      <c r="L78" s="70">
        <v>56</v>
      </c>
      <c r="M78" s="70"/>
      <c r="N78" s="70">
        <v>56</v>
      </c>
    </row>
    <row r="79" spans="1:14" ht="39" x14ac:dyDescent="0.25">
      <c r="A79" s="92"/>
      <c r="B79" s="92"/>
      <c r="C79" s="6" t="s">
        <v>18</v>
      </c>
      <c r="D79" s="6"/>
      <c r="E79" s="8" t="s">
        <v>19</v>
      </c>
      <c r="F79" s="70">
        <f>F80</f>
        <v>42</v>
      </c>
      <c r="G79" s="70"/>
      <c r="H79" s="70">
        <f>H80</f>
        <v>42</v>
      </c>
      <c r="I79" s="70">
        <f>I80</f>
        <v>42</v>
      </c>
      <c r="J79" s="70"/>
      <c r="K79" s="70">
        <f>K80</f>
        <v>42</v>
      </c>
      <c r="L79" s="70">
        <f>L80</f>
        <v>0</v>
      </c>
      <c r="M79" s="70"/>
      <c r="N79" s="70">
        <f>N80</f>
        <v>0</v>
      </c>
    </row>
    <row r="80" spans="1:14" x14ac:dyDescent="0.25">
      <c r="A80" s="92"/>
      <c r="B80" s="92"/>
      <c r="C80" s="6"/>
      <c r="D80" s="6" t="s">
        <v>280</v>
      </c>
      <c r="E80" s="3" t="s">
        <v>281</v>
      </c>
      <c r="F80" s="70">
        <v>42</v>
      </c>
      <c r="G80" s="70"/>
      <c r="H80" s="70">
        <v>42</v>
      </c>
      <c r="I80" s="70">
        <v>42</v>
      </c>
      <c r="J80" s="70"/>
      <c r="K80" s="70">
        <v>42</v>
      </c>
      <c r="L80" s="70">
        <v>0</v>
      </c>
      <c r="M80" s="70"/>
      <c r="N80" s="70">
        <v>0</v>
      </c>
    </row>
    <row r="81" spans="1:14" ht="39" x14ac:dyDescent="0.25">
      <c r="A81" s="31"/>
      <c r="B81" s="31"/>
      <c r="C81" s="31" t="s">
        <v>30</v>
      </c>
      <c r="D81" s="31"/>
      <c r="E81" s="32" t="s">
        <v>31</v>
      </c>
      <c r="F81" s="75">
        <f t="shared" ref="F81:N82" si="16">F82</f>
        <v>1118</v>
      </c>
      <c r="G81" s="75"/>
      <c r="H81" s="75">
        <f t="shared" si="16"/>
        <v>1118</v>
      </c>
      <c r="I81" s="75">
        <f t="shared" si="16"/>
        <v>1158.5</v>
      </c>
      <c r="J81" s="75"/>
      <c r="K81" s="75">
        <f t="shared" si="16"/>
        <v>1158.5</v>
      </c>
      <c r="L81" s="75">
        <f t="shared" si="16"/>
        <v>1158.5</v>
      </c>
      <c r="M81" s="75"/>
      <c r="N81" s="75">
        <f t="shared" si="16"/>
        <v>1158.5</v>
      </c>
    </row>
    <row r="82" spans="1:14" ht="26.25" x14ac:dyDescent="0.25">
      <c r="A82" s="33"/>
      <c r="B82" s="33"/>
      <c r="C82" s="33" t="s">
        <v>32</v>
      </c>
      <c r="D82" s="36"/>
      <c r="E82" s="34" t="s">
        <v>33</v>
      </c>
      <c r="F82" s="71">
        <f>F83</f>
        <v>1118</v>
      </c>
      <c r="G82" s="71"/>
      <c r="H82" s="71">
        <f>H83</f>
        <v>1118</v>
      </c>
      <c r="I82" s="71">
        <f t="shared" si="16"/>
        <v>1158.5</v>
      </c>
      <c r="J82" s="71"/>
      <c r="K82" s="71">
        <f t="shared" si="16"/>
        <v>1158.5</v>
      </c>
      <c r="L82" s="71">
        <f t="shared" si="16"/>
        <v>1158.5</v>
      </c>
      <c r="M82" s="71"/>
      <c r="N82" s="71">
        <f t="shared" si="16"/>
        <v>1158.5</v>
      </c>
    </row>
    <row r="83" spans="1:14" x14ac:dyDescent="0.25">
      <c r="A83" s="6"/>
      <c r="B83" s="6"/>
      <c r="C83" s="6" t="s">
        <v>46</v>
      </c>
      <c r="D83" s="6"/>
      <c r="E83" s="3" t="s">
        <v>47</v>
      </c>
      <c r="F83" s="79">
        <f>SUM(F84)</f>
        <v>1118</v>
      </c>
      <c r="G83" s="79"/>
      <c r="H83" s="79">
        <f>SUM(H84)</f>
        <v>1118</v>
      </c>
      <c r="I83" s="79">
        <f>SUM(I84)</f>
        <v>1158.5</v>
      </c>
      <c r="J83" s="79"/>
      <c r="K83" s="79">
        <f>SUM(K84)</f>
        <v>1158.5</v>
      </c>
      <c r="L83" s="79">
        <f>SUM(L84)</f>
        <v>1158.5</v>
      </c>
      <c r="M83" s="79"/>
      <c r="N83" s="79">
        <f>SUM(N84)</f>
        <v>1158.5</v>
      </c>
    </row>
    <row r="84" spans="1:14" ht="39" x14ac:dyDescent="0.25">
      <c r="A84" s="6"/>
      <c r="B84" s="6"/>
      <c r="C84" s="6"/>
      <c r="D84" s="6" t="s">
        <v>398</v>
      </c>
      <c r="E84" s="3" t="s">
        <v>399</v>
      </c>
      <c r="F84" s="79">
        <v>1118</v>
      </c>
      <c r="G84" s="79"/>
      <c r="H84" s="79">
        <v>1118</v>
      </c>
      <c r="I84" s="79">
        <v>1158.5</v>
      </c>
      <c r="J84" s="79"/>
      <c r="K84" s="79">
        <v>1158.5</v>
      </c>
      <c r="L84" s="79">
        <v>1158.5</v>
      </c>
      <c r="M84" s="79"/>
      <c r="N84" s="79">
        <v>1158.5</v>
      </c>
    </row>
    <row r="85" spans="1:14" x14ac:dyDescent="0.25">
      <c r="A85" s="6"/>
      <c r="B85" s="6"/>
      <c r="C85" s="6"/>
      <c r="D85" s="6" t="s">
        <v>280</v>
      </c>
      <c r="E85" s="3" t="s">
        <v>281</v>
      </c>
      <c r="F85" s="79">
        <v>0</v>
      </c>
      <c r="G85" s="79"/>
      <c r="H85" s="79">
        <v>0</v>
      </c>
      <c r="I85" s="79">
        <v>0</v>
      </c>
      <c r="J85" s="79"/>
      <c r="K85" s="79">
        <v>0</v>
      </c>
      <c r="L85" s="79">
        <v>0</v>
      </c>
      <c r="M85" s="79"/>
      <c r="N85" s="79">
        <v>0</v>
      </c>
    </row>
    <row r="86" spans="1:14" ht="26.25" x14ac:dyDescent="0.25">
      <c r="A86" s="31"/>
      <c r="B86" s="31"/>
      <c r="C86" s="31" t="s">
        <v>49</v>
      </c>
      <c r="D86" s="31"/>
      <c r="E86" s="32" t="s">
        <v>50</v>
      </c>
      <c r="F86" s="75">
        <f>F87</f>
        <v>81.3</v>
      </c>
      <c r="G86" s="75"/>
      <c r="H86" s="75">
        <f>H87</f>
        <v>81.3</v>
      </c>
      <c r="I86" s="75">
        <f>I87</f>
        <v>81.3</v>
      </c>
      <c r="J86" s="75"/>
      <c r="K86" s="75">
        <f>K87</f>
        <v>81.3</v>
      </c>
      <c r="L86" s="75">
        <f>L87</f>
        <v>0</v>
      </c>
      <c r="M86" s="75"/>
      <c r="N86" s="75">
        <f>N87</f>
        <v>0</v>
      </c>
    </row>
    <row r="87" spans="1:14" ht="26.25" x14ac:dyDescent="0.25">
      <c r="A87" s="33"/>
      <c r="B87" s="33"/>
      <c r="C87" s="33" t="s">
        <v>51</v>
      </c>
      <c r="D87" s="36"/>
      <c r="E87" s="34" t="s">
        <v>52</v>
      </c>
      <c r="F87" s="71">
        <f>F88+F90</f>
        <v>81.3</v>
      </c>
      <c r="G87" s="71"/>
      <c r="H87" s="71">
        <f>H88+H90</f>
        <v>81.3</v>
      </c>
      <c r="I87" s="71">
        <f>I88+I90</f>
        <v>81.3</v>
      </c>
      <c r="J87" s="71"/>
      <c r="K87" s="71">
        <f>K88+K90</f>
        <v>81.3</v>
      </c>
      <c r="L87" s="71">
        <f>L88+L90</f>
        <v>0</v>
      </c>
      <c r="M87" s="71"/>
      <c r="N87" s="71">
        <f>N88+N90</f>
        <v>0</v>
      </c>
    </row>
    <row r="88" spans="1:14" x14ac:dyDescent="0.25">
      <c r="A88" s="92"/>
      <c r="B88" s="92"/>
      <c r="C88" s="6" t="s">
        <v>53</v>
      </c>
      <c r="D88" s="6"/>
      <c r="E88" s="8" t="s">
        <v>54</v>
      </c>
      <c r="F88" s="79">
        <f>F89</f>
        <v>50</v>
      </c>
      <c r="G88" s="79"/>
      <c r="H88" s="79">
        <f>H89</f>
        <v>50</v>
      </c>
      <c r="I88" s="79">
        <f>I89</f>
        <v>50</v>
      </c>
      <c r="J88" s="79"/>
      <c r="K88" s="79">
        <f>K89</f>
        <v>50</v>
      </c>
      <c r="L88" s="79">
        <v>0</v>
      </c>
      <c r="M88" s="79"/>
      <c r="N88" s="79">
        <v>0</v>
      </c>
    </row>
    <row r="89" spans="1:14" x14ac:dyDescent="0.25">
      <c r="A89" s="92"/>
      <c r="B89" s="92"/>
      <c r="C89" s="6"/>
      <c r="D89" s="6" t="s">
        <v>280</v>
      </c>
      <c r="E89" s="3" t="s">
        <v>281</v>
      </c>
      <c r="F89" s="79">
        <v>50</v>
      </c>
      <c r="G89" s="79"/>
      <c r="H89" s="79">
        <v>50</v>
      </c>
      <c r="I89" s="79">
        <v>50</v>
      </c>
      <c r="J89" s="79"/>
      <c r="K89" s="79">
        <v>50</v>
      </c>
      <c r="L89" s="79">
        <v>0</v>
      </c>
      <c r="M89" s="79"/>
      <c r="N89" s="79">
        <v>0</v>
      </c>
    </row>
    <row r="90" spans="1:14" x14ac:dyDescent="0.25">
      <c r="A90" s="92"/>
      <c r="B90" s="92"/>
      <c r="C90" s="6" t="s">
        <v>55</v>
      </c>
      <c r="D90" s="6"/>
      <c r="E90" s="8" t="s">
        <v>56</v>
      </c>
      <c r="F90" s="79">
        <f>F91</f>
        <v>31.3</v>
      </c>
      <c r="G90" s="79"/>
      <c r="H90" s="79">
        <f>H91</f>
        <v>31.3</v>
      </c>
      <c r="I90" s="79">
        <f>I91</f>
        <v>31.3</v>
      </c>
      <c r="J90" s="79"/>
      <c r="K90" s="79">
        <f>K91</f>
        <v>31.3</v>
      </c>
      <c r="L90" s="79">
        <v>0</v>
      </c>
      <c r="M90" s="79"/>
      <c r="N90" s="79">
        <v>0</v>
      </c>
    </row>
    <row r="91" spans="1:14" x14ac:dyDescent="0.25">
      <c r="A91" s="92"/>
      <c r="B91" s="92"/>
      <c r="C91" s="6"/>
      <c r="D91" s="6" t="s">
        <v>280</v>
      </c>
      <c r="E91" s="3" t="s">
        <v>281</v>
      </c>
      <c r="F91" s="79">
        <v>31.3</v>
      </c>
      <c r="G91" s="79"/>
      <c r="H91" s="79">
        <v>31.3</v>
      </c>
      <c r="I91" s="79">
        <v>31.3</v>
      </c>
      <c r="J91" s="79"/>
      <c r="K91" s="79">
        <v>31.3</v>
      </c>
      <c r="L91" s="79">
        <v>0</v>
      </c>
      <c r="M91" s="79"/>
      <c r="N91" s="79">
        <v>0</v>
      </c>
    </row>
    <row r="92" spans="1:14" ht="25.5" x14ac:dyDescent="0.25">
      <c r="A92" s="105"/>
      <c r="B92" s="106"/>
      <c r="C92" s="107" t="s">
        <v>159</v>
      </c>
      <c r="D92" s="106"/>
      <c r="E92" s="108" t="s">
        <v>160</v>
      </c>
      <c r="F92" s="109">
        <f>F93</f>
        <v>300</v>
      </c>
      <c r="G92" s="109"/>
      <c r="H92" s="109">
        <f>H93</f>
        <v>300</v>
      </c>
      <c r="I92" s="109">
        <f>I93</f>
        <v>312</v>
      </c>
      <c r="J92" s="109"/>
      <c r="K92" s="109">
        <f>K93</f>
        <v>312</v>
      </c>
      <c r="L92" s="109">
        <f>L93</f>
        <v>0</v>
      </c>
      <c r="M92" s="109"/>
      <c r="N92" s="109">
        <f>N93</f>
        <v>0</v>
      </c>
    </row>
    <row r="93" spans="1:14" ht="26.25" x14ac:dyDescent="0.25">
      <c r="A93" s="43"/>
      <c r="B93" s="43"/>
      <c r="C93" s="43" t="s">
        <v>161</v>
      </c>
      <c r="D93" s="43"/>
      <c r="E93" s="44" t="s">
        <v>162</v>
      </c>
      <c r="F93" s="75">
        <f t="shared" ref="F93:N94" si="17">F94</f>
        <v>300</v>
      </c>
      <c r="G93" s="75"/>
      <c r="H93" s="75">
        <f t="shared" si="17"/>
        <v>300</v>
      </c>
      <c r="I93" s="75">
        <f t="shared" si="17"/>
        <v>312</v>
      </c>
      <c r="J93" s="75"/>
      <c r="K93" s="75">
        <f t="shared" si="17"/>
        <v>312</v>
      </c>
      <c r="L93" s="75">
        <f t="shared" si="17"/>
        <v>0</v>
      </c>
      <c r="M93" s="75"/>
      <c r="N93" s="75">
        <f t="shared" si="17"/>
        <v>0</v>
      </c>
    </row>
    <row r="94" spans="1:14" ht="26.25" x14ac:dyDescent="0.25">
      <c r="A94" s="33"/>
      <c r="B94" s="33"/>
      <c r="C94" s="33" t="s">
        <v>163</v>
      </c>
      <c r="D94" s="33"/>
      <c r="E94" s="34" t="s">
        <v>164</v>
      </c>
      <c r="F94" s="71">
        <f t="shared" si="17"/>
        <v>300</v>
      </c>
      <c r="G94" s="71"/>
      <c r="H94" s="71">
        <f t="shared" si="17"/>
        <v>300</v>
      </c>
      <c r="I94" s="71">
        <f t="shared" si="17"/>
        <v>312</v>
      </c>
      <c r="J94" s="71"/>
      <c r="K94" s="71">
        <f t="shared" si="17"/>
        <v>312</v>
      </c>
      <c r="L94" s="71">
        <f t="shared" si="17"/>
        <v>0</v>
      </c>
      <c r="M94" s="71"/>
      <c r="N94" s="71">
        <f t="shared" si="17"/>
        <v>0</v>
      </c>
    </row>
    <row r="95" spans="1:14" ht="26.25" x14ac:dyDescent="0.25">
      <c r="A95" s="6"/>
      <c r="B95" s="6"/>
      <c r="C95" s="6" t="s">
        <v>165</v>
      </c>
      <c r="D95" s="6"/>
      <c r="E95" s="45" t="s">
        <v>166</v>
      </c>
      <c r="F95" s="70">
        <v>300</v>
      </c>
      <c r="G95" s="70"/>
      <c r="H95" s="70">
        <v>300</v>
      </c>
      <c r="I95" s="70">
        <v>312</v>
      </c>
      <c r="J95" s="70"/>
      <c r="K95" s="70">
        <v>312</v>
      </c>
      <c r="L95" s="70">
        <v>0</v>
      </c>
      <c r="M95" s="70"/>
      <c r="N95" s="70">
        <v>0</v>
      </c>
    </row>
    <row r="96" spans="1:14" ht="26.25" x14ac:dyDescent="0.25">
      <c r="A96" s="6"/>
      <c r="B96" s="6"/>
      <c r="C96" s="6"/>
      <c r="D96" s="6" t="s">
        <v>470</v>
      </c>
      <c r="E96" s="3" t="s">
        <v>471</v>
      </c>
      <c r="F96" s="70">
        <v>300</v>
      </c>
      <c r="G96" s="70"/>
      <c r="H96" s="70">
        <v>300</v>
      </c>
      <c r="I96" s="70">
        <v>312</v>
      </c>
      <c r="J96" s="70"/>
      <c r="K96" s="70">
        <v>312</v>
      </c>
      <c r="L96" s="70">
        <v>0</v>
      </c>
      <c r="M96" s="70"/>
      <c r="N96" s="70">
        <v>0</v>
      </c>
    </row>
    <row r="97" spans="1:14" ht="25.5" x14ac:dyDescent="0.25">
      <c r="A97" s="105"/>
      <c r="B97" s="106"/>
      <c r="C97" s="107" t="s">
        <v>200</v>
      </c>
      <c r="D97" s="106"/>
      <c r="E97" s="108" t="s">
        <v>201</v>
      </c>
      <c r="F97" s="109">
        <f>F98</f>
        <v>1530.0775500000002</v>
      </c>
      <c r="G97" s="109"/>
      <c r="H97" s="109">
        <f>H98</f>
        <v>1530.0775500000002</v>
      </c>
      <c r="I97" s="109">
        <f t="shared" ref="I97:N99" si="18">I98</f>
        <v>1573.2717299999999</v>
      </c>
      <c r="J97" s="109"/>
      <c r="K97" s="109">
        <f t="shared" si="18"/>
        <v>1573.2717299999999</v>
      </c>
      <c r="L97" s="109">
        <f t="shared" si="18"/>
        <v>17.702179999999998</v>
      </c>
      <c r="M97" s="109"/>
      <c r="N97" s="109">
        <f t="shared" si="18"/>
        <v>17.702179999999998</v>
      </c>
    </row>
    <row r="98" spans="1:14" ht="26.25" x14ac:dyDescent="0.25">
      <c r="A98" s="33"/>
      <c r="B98" s="33"/>
      <c r="C98" s="33" t="s">
        <v>202</v>
      </c>
      <c r="D98" s="33"/>
      <c r="E98" s="34" t="s">
        <v>873</v>
      </c>
      <c r="F98" s="71">
        <f>F99</f>
        <v>1530.0775500000002</v>
      </c>
      <c r="G98" s="71"/>
      <c r="H98" s="71">
        <f>H99</f>
        <v>1530.0775500000002</v>
      </c>
      <c r="I98" s="71">
        <f t="shared" si="18"/>
        <v>1573.2717299999999</v>
      </c>
      <c r="J98" s="71"/>
      <c r="K98" s="71">
        <f t="shared" si="18"/>
        <v>1573.2717299999999</v>
      </c>
      <c r="L98" s="71">
        <f t="shared" si="18"/>
        <v>17.702179999999998</v>
      </c>
      <c r="M98" s="71"/>
      <c r="N98" s="71">
        <f t="shared" si="18"/>
        <v>17.702179999999998</v>
      </c>
    </row>
    <row r="99" spans="1:14" ht="26.25" x14ac:dyDescent="0.25">
      <c r="A99" s="6"/>
      <c r="B99" s="6"/>
      <c r="C99" s="6" t="s">
        <v>493</v>
      </c>
      <c r="D99" s="6"/>
      <c r="E99" s="3" t="s">
        <v>494</v>
      </c>
      <c r="F99" s="70">
        <f>F100</f>
        <v>1530.0775500000002</v>
      </c>
      <c r="G99" s="70"/>
      <c r="H99" s="70">
        <f>H100</f>
        <v>1530.0775500000002</v>
      </c>
      <c r="I99" s="70">
        <f t="shared" si="18"/>
        <v>1573.2717299999999</v>
      </c>
      <c r="J99" s="70"/>
      <c r="K99" s="70">
        <f t="shared" si="18"/>
        <v>1573.2717299999999</v>
      </c>
      <c r="L99" s="70">
        <v>17.702179999999998</v>
      </c>
      <c r="M99" s="70"/>
      <c r="N99" s="70">
        <v>17.702179999999998</v>
      </c>
    </row>
    <row r="100" spans="1:14" x14ac:dyDescent="0.25">
      <c r="A100" s="6"/>
      <c r="B100" s="6"/>
      <c r="C100" s="6"/>
      <c r="D100" s="6" t="s">
        <v>280</v>
      </c>
      <c r="E100" s="3" t="s">
        <v>281</v>
      </c>
      <c r="F100" s="70">
        <f>F101+F102</f>
        <v>1530.0775500000002</v>
      </c>
      <c r="G100" s="70"/>
      <c r="H100" s="70">
        <f>H101+H102</f>
        <v>1530.0775500000002</v>
      </c>
      <c r="I100" s="70">
        <f>I101+I102</f>
        <v>1573.2717299999999</v>
      </c>
      <c r="J100" s="70"/>
      <c r="K100" s="70">
        <f>K101+K102</f>
        <v>1573.2717299999999</v>
      </c>
      <c r="L100" s="70">
        <v>0</v>
      </c>
      <c r="M100" s="70"/>
      <c r="N100" s="70">
        <v>0</v>
      </c>
    </row>
    <row r="101" spans="1:14" x14ac:dyDescent="0.25">
      <c r="A101" s="6"/>
      <c r="B101" s="6"/>
      <c r="C101" s="6"/>
      <c r="D101" s="6"/>
      <c r="E101" s="1" t="s">
        <v>185</v>
      </c>
      <c r="F101" s="70">
        <v>1499.4760000000001</v>
      </c>
      <c r="G101" s="70"/>
      <c r="H101" s="70">
        <v>1499.4760000000001</v>
      </c>
      <c r="I101" s="70">
        <v>1542.1069</v>
      </c>
      <c r="J101" s="70"/>
      <c r="K101" s="70">
        <v>1542.1069</v>
      </c>
      <c r="L101" s="70">
        <v>0</v>
      </c>
      <c r="M101" s="70"/>
      <c r="N101" s="70">
        <v>0</v>
      </c>
    </row>
    <row r="102" spans="1:14" x14ac:dyDescent="0.25">
      <c r="A102" s="6"/>
      <c r="B102" s="6"/>
      <c r="C102" s="6"/>
      <c r="D102" s="6"/>
      <c r="E102" s="3" t="s">
        <v>150</v>
      </c>
      <c r="F102" s="70">
        <v>30.60155</v>
      </c>
      <c r="G102" s="70"/>
      <c r="H102" s="70">
        <v>30.60155</v>
      </c>
      <c r="I102" s="70">
        <v>31.164829999999998</v>
      </c>
      <c r="J102" s="70"/>
      <c r="K102" s="70">
        <v>31.164829999999998</v>
      </c>
      <c r="L102" s="70">
        <v>17.702179999999998</v>
      </c>
      <c r="M102" s="70"/>
      <c r="N102" s="70">
        <v>17.702179999999998</v>
      </c>
    </row>
    <row r="103" spans="1:14" x14ac:dyDescent="0.25">
      <c r="A103" s="133"/>
      <c r="B103" s="133"/>
      <c r="C103" s="133" t="s">
        <v>393</v>
      </c>
      <c r="D103" s="133"/>
      <c r="E103" s="134" t="s">
        <v>394</v>
      </c>
      <c r="F103" s="135">
        <f t="shared" ref="F103:N103" si="19">F104</f>
        <v>34597.599999999999</v>
      </c>
      <c r="G103" s="135">
        <f t="shared" si="19"/>
        <v>2025.8</v>
      </c>
      <c r="H103" s="135">
        <f t="shared" si="19"/>
        <v>36623.4</v>
      </c>
      <c r="I103" s="135">
        <f t="shared" si="19"/>
        <v>32913.800000000003</v>
      </c>
      <c r="J103" s="135">
        <f t="shared" si="19"/>
        <v>0</v>
      </c>
      <c r="K103" s="135">
        <f t="shared" si="19"/>
        <v>32913.800000000003</v>
      </c>
      <c r="L103" s="135">
        <f t="shared" si="19"/>
        <v>32713.8</v>
      </c>
      <c r="M103" s="135">
        <f t="shared" si="19"/>
        <v>0</v>
      </c>
      <c r="N103" s="135">
        <f t="shared" si="19"/>
        <v>32713.8</v>
      </c>
    </row>
    <row r="104" spans="1:14" ht="26.25" x14ac:dyDescent="0.25">
      <c r="A104" s="61"/>
      <c r="B104" s="61"/>
      <c r="C104" s="61" t="s">
        <v>401</v>
      </c>
      <c r="D104" s="61"/>
      <c r="E104" s="63" t="s">
        <v>402</v>
      </c>
      <c r="F104" s="84">
        <f>F105+F111+F113+F109</f>
        <v>34597.599999999999</v>
      </c>
      <c r="G104" s="84">
        <f>G105+G111+G113+G109</f>
        <v>2025.8</v>
      </c>
      <c r="H104" s="84">
        <f>H105+H111+H113+H109</f>
        <v>36623.4</v>
      </c>
      <c r="I104" s="84">
        <f t="shared" ref="I104:N104" si="20">I105+I111+I113</f>
        <v>32913.800000000003</v>
      </c>
      <c r="J104" s="84">
        <f t="shared" si="20"/>
        <v>0</v>
      </c>
      <c r="K104" s="84">
        <f t="shared" si="20"/>
        <v>32913.800000000003</v>
      </c>
      <c r="L104" s="84">
        <f t="shared" si="20"/>
        <v>32713.8</v>
      </c>
      <c r="M104" s="84">
        <f t="shared" si="20"/>
        <v>0</v>
      </c>
      <c r="N104" s="84">
        <f t="shared" si="20"/>
        <v>32713.8</v>
      </c>
    </row>
    <row r="105" spans="1:14" ht="26.25" x14ac:dyDescent="0.25">
      <c r="A105" s="92"/>
      <c r="B105" s="92"/>
      <c r="C105" s="6" t="s">
        <v>413</v>
      </c>
      <c r="D105" s="6"/>
      <c r="E105" s="8" t="s">
        <v>414</v>
      </c>
      <c r="F105" s="70">
        <f>F106+F107+F108</f>
        <v>33317.199999999997</v>
      </c>
      <c r="G105" s="70">
        <f>G106+G107+G108</f>
        <v>1980.8</v>
      </c>
      <c r="H105" s="70">
        <f>H106+H107+H108</f>
        <v>35298</v>
      </c>
      <c r="I105" s="70">
        <f>I106+I107+I108</f>
        <v>32613.8</v>
      </c>
      <c r="J105" s="70"/>
      <c r="K105" s="70">
        <f>K106+K107+K108</f>
        <v>32613.8</v>
      </c>
      <c r="L105" s="70">
        <f>L106+L107+L108</f>
        <v>32613.8</v>
      </c>
      <c r="M105" s="70"/>
      <c r="N105" s="70">
        <f>N106+N107+N108</f>
        <v>32613.8</v>
      </c>
    </row>
    <row r="106" spans="1:14" ht="39" x14ac:dyDescent="0.25">
      <c r="A106" s="92"/>
      <c r="B106" s="92"/>
      <c r="C106" s="6"/>
      <c r="D106" s="6" t="s">
        <v>398</v>
      </c>
      <c r="E106" s="3" t="s">
        <v>399</v>
      </c>
      <c r="F106" s="70">
        <v>17730.599999999999</v>
      </c>
      <c r="G106" s="70"/>
      <c r="H106" s="70">
        <f>SUM(F106:G106)</f>
        <v>17730.599999999999</v>
      </c>
      <c r="I106" s="70">
        <v>17484.099999999999</v>
      </c>
      <c r="J106" s="70"/>
      <c r="K106" s="70">
        <v>17484.099999999999</v>
      </c>
      <c r="L106" s="70">
        <v>17484.099999999999</v>
      </c>
      <c r="M106" s="70"/>
      <c r="N106" s="70">
        <v>17484.099999999999</v>
      </c>
    </row>
    <row r="107" spans="1:14" x14ac:dyDescent="0.25">
      <c r="A107" s="92"/>
      <c r="B107" s="92"/>
      <c r="C107" s="6"/>
      <c r="D107" s="6" t="s">
        <v>280</v>
      </c>
      <c r="E107" s="3" t="s">
        <v>281</v>
      </c>
      <c r="F107" s="70">
        <v>15147.4</v>
      </c>
      <c r="G107" s="70">
        <f>103.1+1810.5+67.2</f>
        <v>1980.8</v>
      </c>
      <c r="H107" s="70">
        <f>SUM(F107:G107)</f>
        <v>17128.2</v>
      </c>
      <c r="I107" s="70">
        <v>14690.5</v>
      </c>
      <c r="J107" s="70"/>
      <c r="K107" s="70">
        <v>14690.5</v>
      </c>
      <c r="L107" s="70">
        <v>14690.5</v>
      </c>
      <c r="M107" s="70"/>
      <c r="N107" s="70">
        <v>14690.5</v>
      </c>
    </row>
    <row r="108" spans="1:14" x14ac:dyDescent="0.25">
      <c r="A108" s="92"/>
      <c r="B108" s="92"/>
      <c r="C108" s="6"/>
      <c r="D108" s="6" t="s">
        <v>405</v>
      </c>
      <c r="E108" s="3" t="s">
        <v>406</v>
      </c>
      <c r="F108" s="70">
        <v>439.2</v>
      </c>
      <c r="G108" s="70"/>
      <c r="H108" s="70">
        <v>439.2</v>
      </c>
      <c r="I108" s="70">
        <v>439.2</v>
      </c>
      <c r="J108" s="70"/>
      <c r="K108" s="70">
        <v>439.2</v>
      </c>
      <c r="L108" s="70">
        <v>439.2</v>
      </c>
      <c r="M108" s="70"/>
      <c r="N108" s="70">
        <v>439.2</v>
      </c>
    </row>
    <row r="109" spans="1:14" x14ac:dyDescent="0.25">
      <c r="A109" s="92"/>
      <c r="B109" s="92"/>
      <c r="C109" s="16" t="s">
        <v>415</v>
      </c>
      <c r="D109" s="16"/>
      <c r="E109" s="1" t="s">
        <v>416</v>
      </c>
      <c r="F109" s="70">
        <f>F110</f>
        <v>715.4</v>
      </c>
      <c r="G109" s="70"/>
      <c r="H109" s="70">
        <f>H110</f>
        <v>715.4</v>
      </c>
      <c r="I109" s="70">
        <v>0</v>
      </c>
      <c r="J109" s="70"/>
      <c r="K109" s="70">
        <v>0</v>
      </c>
      <c r="L109" s="70">
        <v>0</v>
      </c>
      <c r="M109" s="70"/>
      <c r="N109" s="70">
        <v>0</v>
      </c>
    </row>
    <row r="110" spans="1:14" x14ac:dyDescent="0.25">
      <c r="A110" s="92"/>
      <c r="B110" s="92"/>
      <c r="C110" s="16"/>
      <c r="D110" s="16" t="s">
        <v>280</v>
      </c>
      <c r="E110" s="1" t="s">
        <v>281</v>
      </c>
      <c r="F110" s="70">
        <v>715.4</v>
      </c>
      <c r="G110" s="70"/>
      <c r="H110" s="70">
        <v>715.4</v>
      </c>
      <c r="I110" s="70">
        <f>1193.9-1193.9</f>
        <v>0</v>
      </c>
      <c r="J110" s="70"/>
      <c r="K110" s="70">
        <f>1193.9-1193.9</f>
        <v>0</v>
      </c>
      <c r="L110" s="70">
        <f>1243.6-1243.6</f>
        <v>0</v>
      </c>
      <c r="M110" s="70"/>
      <c r="N110" s="70">
        <f>1243.6-1243.6</f>
        <v>0</v>
      </c>
    </row>
    <row r="111" spans="1:14" ht="26.25" x14ac:dyDescent="0.25">
      <c r="A111" s="92"/>
      <c r="B111" s="92"/>
      <c r="C111" s="6" t="s">
        <v>425</v>
      </c>
      <c r="D111" s="6"/>
      <c r="E111" s="3" t="s">
        <v>426</v>
      </c>
      <c r="F111" s="70">
        <f t="shared" ref="F111:N111" si="21">F112</f>
        <v>300</v>
      </c>
      <c r="G111" s="70">
        <f t="shared" si="21"/>
        <v>0</v>
      </c>
      <c r="H111" s="70">
        <f t="shared" si="21"/>
        <v>300</v>
      </c>
      <c r="I111" s="70">
        <f t="shared" si="21"/>
        <v>300</v>
      </c>
      <c r="J111" s="70">
        <f t="shared" si="21"/>
        <v>0</v>
      </c>
      <c r="K111" s="70">
        <f t="shared" si="21"/>
        <v>300</v>
      </c>
      <c r="L111" s="70">
        <f t="shared" si="21"/>
        <v>100</v>
      </c>
      <c r="M111" s="70">
        <f t="shared" si="21"/>
        <v>0</v>
      </c>
      <c r="N111" s="70">
        <f t="shared" si="21"/>
        <v>100</v>
      </c>
    </row>
    <row r="112" spans="1:14" x14ac:dyDescent="0.25">
      <c r="A112" s="92"/>
      <c r="B112" s="92"/>
      <c r="C112" s="6"/>
      <c r="D112" s="6" t="s">
        <v>280</v>
      </c>
      <c r="E112" s="3" t="s">
        <v>281</v>
      </c>
      <c r="F112" s="70">
        <v>300</v>
      </c>
      <c r="G112" s="70"/>
      <c r="H112" s="70">
        <f>200+100</f>
        <v>300</v>
      </c>
      <c r="I112" s="70">
        <v>300</v>
      </c>
      <c r="J112" s="70"/>
      <c r="K112" s="70">
        <f>200+100</f>
        <v>300</v>
      </c>
      <c r="L112" s="70">
        <v>100</v>
      </c>
      <c r="M112" s="70"/>
      <c r="N112" s="70">
        <v>100</v>
      </c>
    </row>
    <row r="113" spans="1:14" x14ac:dyDescent="0.25">
      <c r="A113" s="92"/>
      <c r="B113" s="92"/>
      <c r="C113" s="6" t="s">
        <v>427</v>
      </c>
      <c r="D113" s="6"/>
      <c r="E113" s="3" t="s">
        <v>428</v>
      </c>
      <c r="F113" s="80">
        <f>F114</f>
        <v>265</v>
      </c>
      <c r="G113" s="80">
        <v>45</v>
      </c>
      <c r="H113" s="80">
        <f>H114</f>
        <v>310</v>
      </c>
      <c r="I113" s="80">
        <f>I114</f>
        <v>0</v>
      </c>
      <c r="J113" s="80"/>
      <c r="K113" s="80">
        <f>K114</f>
        <v>0</v>
      </c>
      <c r="L113" s="80">
        <f>L114</f>
        <v>0</v>
      </c>
      <c r="M113" s="80"/>
      <c r="N113" s="80">
        <f>N114</f>
        <v>0</v>
      </c>
    </row>
    <row r="114" spans="1:14" x14ac:dyDescent="0.25">
      <c r="A114" s="92"/>
      <c r="B114" s="92"/>
      <c r="C114" s="6"/>
      <c r="D114" s="6" t="s">
        <v>405</v>
      </c>
      <c r="E114" s="3" t="s">
        <v>406</v>
      </c>
      <c r="F114" s="80">
        <v>265</v>
      </c>
      <c r="G114" s="80">
        <v>45</v>
      </c>
      <c r="H114" s="80">
        <v>310</v>
      </c>
      <c r="I114" s="80">
        <v>0</v>
      </c>
      <c r="J114" s="80"/>
      <c r="K114" s="80">
        <v>0</v>
      </c>
      <c r="L114" s="80">
        <v>0</v>
      </c>
      <c r="M114" s="80"/>
      <c r="N114" s="80">
        <v>0</v>
      </c>
    </row>
    <row r="115" spans="1:14" x14ac:dyDescent="0.25">
      <c r="A115" s="102"/>
      <c r="B115" s="17" t="s">
        <v>581</v>
      </c>
      <c r="C115" s="103"/>
      <c r="D115" s="17"/>
      <c r="E115" s="96" t="s">
        <v>582</v>
      </c>
      <c r="F115" s="124">
        <f t="shared" ref="F115:N120" si="22">F116</f>
        <v>1111.9000000000001</v>
      </c>
      <c r="G115" s="124"/>
      <c r="H115" s="124">
        <f t="shared" si="22"/>
        <v>1111.9000000000001</v>
      </c>
      <c r="I115" s="124">
        <f t="shared" si="22"/>
        <v>1148.5</v>
      </c>
      <c r="J115" s="124"/>
      <c r="K115" s="124">
        <f t="shared" si="22"/>
        <v>1148.5</v>
      </c>
      <c r="L115" s="124">
        <f t="shared" si="22"/>
        <v>1148.5</v>
      </c>
      <c r="M115" s="124"/>
      <c r="N115" s="124">
        <f t="shared" si="22"/>
        <v>1148.5</v>
      </c>
    </row>
    <row r="116" spans="1:14" x14ac:dyDescent="0.25">
      <c r="A116" s="102"/>
      <c r="B116" s="17" t="s">
        <v>570</v>
      </c>
      <c r="C116" s="103"/>
      <c r="D116" s="17"/>
      <c r="E116" s="96" t="s">
        <v>583</v>
      </c>
      <c r="F116" s="124">
        <f t="shared" si="22"/>
        <v>1111.9000000000001</v>
      </c>
      <c r="G116" s="124"/>
      <c r="H116" s="124">
        <f t="shared" si="22"/>
        <v>1111.9000000000001</v>
      </c>
      <c r="I116" s="124">
        <f t="shared" si="22"/>
        <v>1148.5</v>
      </c>
      <c r="J116" s="124"/>
      <c r="K116" s="124">
        <f t="shared" si="22"/>
        <v>1148.5</v>
      </c>
      <c r="L116" s="124">
        <f t="shared" si="22"/>
        <v>1148.5</v>
      </c>
      <c r="M116" s="124"/>
      <c r="N116" s="124">
        <f t="shared" si="22"/>
        <v>1148.5</v>
      </c>
    </row>
    <row r="117" spans="1:14" x14ac:dyDescent="0.25">
      <c r="A117" s="102"/>
      <c r="B117" s="17"/>
      <c r="C117" s="97" t="s">
        <v>5</v>
      </c>
      <c r="D117" s="97"/>
      <c r="E117" s="111" t="s">
        <v>6</v>
      </c>
      <c r="F117" s="124">
        <f t="shared" si="22"/>
        <v>1111.9000000000001</v>
      </c>
      <c r="G117" s="124"/>
      <c r="H117" s="124">
        <f t="shared" si="22"/>
        <v>1111.9000000000001</v>
      </c>
      <c r="I117" s="124">
        <f t="shared" si="22"/>
        <v>1148.5</v>
      </c>
      <c r="J117" s="124"/>
      <c r="K117" s="124">
        <f t="shared" si="22"/>
        <v>1148.5</v>
      </c>
      <c r="L117" s="124">
        <f t="shared" si="22"/>
        <v>1148.5</v>
      </c>
      <c r="M117" s="124"/>
      <c r="N117" s="124">
        <f t="shared" si="22"/>
        <v>1148.5</v>
      </c>
    </row>
    <row r="118" spans="1:14" ht="25.5" x14ac:dyDescent="0.25">
      <c r="A118" s="105"/>
      <c r="B118" s="106"/>
      <c r="C118" s="107" t="s">
        <v>7</v>
      </c>
      <c r="D118" s="106"/>
      <c r="E118" s="108" t="s">
        <v>8</v>
      </c>
      <c r="F118" s="109">
        <f t="shared" si="22"/>
        <v>1111.9000000000001</v>
      </c>
      <c r="G118" s="109"/>
      <c r="H118" s="109">
        <f t="shared" si="22"/>
        <v>1111.9000000000001</v>
      </c>
      <c r="I118" s="109">
        <f t="shared" si="22"/>
        <v>1148.5</v>
      </c>
      <c r="J118" s="109"/>
      <c r="K118" s="109">
        <f t="shared" si="22"/>
        <v>1148.5</v>
      </c>
      <c r="L118" s="109">
        <f t="shared" si="22"/>
        <v>1148.5</v>
      </c>
      <c r="M118" s="109"/>
      <c r="N118" s="109">
        <f t="shared" si="22"/>
        <v>1148.5</v>
      </c>
    </row>
    <row r="119" spans="1:14" ht="38.25" x14ac:dyDescent="0.25">
      <c r="A119" s="126"/>
      <c r="B119" s="127"/>
      <c r="C119" s="128" t="s">
        <v>30</v>
      </c>
      <c r="D119" s="127"/>
      <c r="E119" s="129" t="s">
        <v>584</v>
      </c>
      <c r="F119" s="130">
        <f t="shared" si="22"/>
        <v>1111.9000000000001</v>
      </c>
      <c r="G119" s="130"/>
      <c r="H119" s="130">
        <f t="shared" si="22"/>
        <v>1111.9000000000001</v>
      </c>
      <c r="I119" s="130">
        <f t="shared" si="22"/>
        <v>1148.5</v>
      </c>
      <c r="J119" s="130"/>
      <c r="K119" s="130">
        <f t="shared" si="22"/>
        <v>1148.5</v>
      </c>
      <c r="L119" s="130">
        <f t="shared" si="22"/>
        <v>1148.5</v>
      </c>
      <c r="M119" s="130"/>
      <c r="N119" s="130">
        <f t="shared" si="22"/>
        <v>1148.5</v>
      </c>
    </row>
    <row r="120" spans="1:14" ht="25.5" x14ac:dyDescent="0.25">
      <c r="A120" s="131"/>
      <c r="B120" s="114"/>
      <c r="C120" s="113" t="s">
        <v>32</v>
      </c>
      <c r="D120" s="114"/>
      <c r="E120" s="115" t="s">
        <v>585</v>
      </c>
      <c r="F120" s="132">
        <f t="shared" si="22"/>
        <v>1111.9000000000001</v>
      </c>
      <c r="G120" s="132"/>
      <c r="H120" s="132">
        <f t="shared" si="22"/>
        <v>1111.9000000000001</v>
      </c>
      <c r="I120" s="132">
        <f t="shared" si="22"/>
        <v>1148.5</v>
      </c>
      <c r="J120" s="132"/>
      <c r="K120" s="132">
        <f t="shared" si="22"/>
        <v>1148.5</v>
      </c>
      <c r="L120" s="132">
        <f t="shared" si="22"/>
        <v>1148.5</v>
      </c>
      <c r="M120" s="132"/>
      <c r="N120" s="132">
        <f t="shared" si="22"/>
        <v>1148.5</v>
      </c>
    </row>
    <row r="121" spans="1:14" ht="26.25" x14ac:dyDescent="0.25">
      <c r="A121" s="6"/>
      <c r="B121" s="6"/>
      <c r="C121" s="6" t="s">
        <v>48</v>
      </c>
      <c r="D121" s="6"/>
      <c r="E121" s="3" t="s">
        <v>475</v>
      </c>
      <c r="F121" s="79">
        <f>SUM(F122+F123)</f>
        <v>1111.9000000000001</v>
      </c>
      <c r="G121" s="79"/>
      <c r="H121" s="79">
        <f>SUM(H122+H123)</f>
        <v>1111.9000000000001</v>
      </c>
      <c r="I121" s="79">
        <f>SUM(I122+I123)</f>
        <v>1148.5</v>
      </c>
      <c r="J121" s="79"/>
      <c r="K121" s="79">
        <f>SUM(K122+K123)</f>
        <v>1148.5</v>
      </c>
      <c r="L121" s="79">
        <f>SUM(L122+L123)</f>
        <v>1148.5</v>
      </c>
      <c r="M121" s="79"/>
      <c r="N121" s="79">
        <f>SUM(N122+N123)</f>
        <v>1148.5</v>
      </c>
    </row>
    <row r="122" spans="1:14" ht="39" x14ac:dyDescent="0.25">
      <c r="A122" s="6"/>
      <c r="B122" s="6"/>
      <c r="C122" s="6"/>
      <c r="D122" s="6" t="s">
        <v>398</v>
      </c>
      <c r="E122" s="3" t="s">
        <v>399</v>
      </c>
      <c r="F122" s="79">
        <v>1098.5</v>
      </c>
      <c r="G122" s="79"/>
      <c r="H122" s="79">
        <v>1098.5</v>
      </c>
      <c r="I122" s="79">
        <v>1138.5</v>
      </c>
      <c r="J122" s="79"/>
      <c r="K122" s="79">
        <v>1138.5</v>
      </c>
      <c r="L122" s="79">
        <v>1138.5</v>
      </c>
      <c r="M122" s="79"/>
      <c r="N122" s="79">
        <v>1138.5</v>
      </c>
    </row>
    <row r="123" spans="1:14" x14ac:dyDescent="0.25">
      <c r="A123" s="6"/>
      <c r="B123" s="6"/>
      <c r="C123" s="6"/>
      <c r="D123" s="6" t="s">
        <v>280</v>
      </c>
      <c r="E123" s="3" t="s">
        <v>281</v>
      </c>
      <c r="F123" s="79">
        <v>13.4</v>
      </c>
      <c r="G123" s="79"/>
      <c r="H123" s="79">
        <v>13.4</v>
      </c>
      <c r="I123" s="79">
        <v>10</v>
      </c>
      <c r="J123" s="79"/>
      <c r="K123" s="79">
        <v>10</v>
      </c>
      <c r="L123" s="79">
        <v>10</v>
      </c>
      <c r="M123" s="79"/>
      <c r="N123" s="79">
        <v>10</v>
      </c>
    </row>
    <row r="124" spans="1:14" x14ac:dyDescent="0.25">
      <c r="A124" s="102"/>
      <c r="B124" s="17" t="s">
        <v>586</v>
      </c>
      <c r="C124" s="103"/>
      <c r="D124" s="102"/>
      <c r="E124" s="96" t="s">
        <v>587</v>
      </c>
      <c r="F124" s="124">
        <f>F125+F136+F149</f>
        <v>22402.099999999995</v>
      </c>
      <c r="G124" s="124"/>
      <c r="H124" s="124">
        <f t="shared" ref="H124:N124" si="23">H125+H136+H149</f>
        <v>22402.099999999995</v>
      </c>
      <c r="I124" s="124">
        <f t="shared" si="23"/>
        <v>25505.1</v>
      </c>
      <c r="J124" s="124"/>
      <c r="K124" s="124">
        <f t="shared" si="23"/>
        <v>25505.1</v>
      </c>
      <c r="L124" s="124">
        <f t="shared" si="23"/>
        <v>20492.999999999996</v>
      </c>
      <c r="M124" s="124"/>
      <c r="N124" s="124">
        <f t="shared" si="23"/>
        <v>20492.999999999996</v>
      </c>
    </row>
    <row r="125" spans="1:14" ht="25.5" x14ac:dyDescent="0.25">
      <c r="A125" s="102"/>
      <c r="B125" s="17" t="s">
        <v>588</v>
      </c>
      <c r="C125" s="103"/>
      <c r="D125" s="17"/>
      <c r="E125" s="123" t="s">
        <v>589</v>
      </c>
      <c r="F125" s="124">
        <f t="shared" ref="F125:N127" si="24">F126</f>
        <v>17905.899999999998</v>
      </c>
      <c r="G125" s="124"/>
      <c r="H125" s="124">
        <f t="shared" si="24"/>
        <v>17905.899999999998</v>
      </c>
      <c r="I125" s="124">
        <f t="shared" si="24"/>
        <v>18496.499999999996</v>
      </c>
      <c r="J125" s="124"/>
      <c r="K125" s="124">
        <f t="shared" si="24"/>
        <v>18496.499999999996</v>
      </c>
      <c r="L125" s="124">
        <f t="shared" si="24"/>
        <v>18496.499999999996</v>
      </c>
      <c r="M125" s="124"/>
      <c r="N125" s="124">
        <f t="shared" si="24"/>
        <v>18496.499999999996</v>
      </c>
    </row>
    <row r="126" spans="1:14" x14ac:dyDescent="0.25">
      <c r="A126" s="102"/>
      <c r="B126" s="17"/>
      <c r="C126" s="103" t="s">
        <v>5</v>
      </c>
      <c r="D126" s="102"/>
      <c r="E126" s="123" t="s">
        <v>6</v>
      </c>
      <c r="F126" s="124">
        <f t="shared" si="24"/>
        <v>17905.899999999998</v>
      </c>
      <c r="G126" s="124"/>
      <c r="H126" s="124">
        <f t="shared" si="24"/>
        <v>17905.899999999998</v>
      </c>
      <c r="I126" s="124">
        <f t="shared" si="24"/>
        <v>18496.499999999996</v>
      </c>
      <c r="J126" s="124"/>
      <c r="K126" s="124">
        <f t="shared" si="24"/>
        <v>18496.499999999996</v>
      </c>
      <c r="L126" s="124">
        <f t="shared" si="24"/>
        <v>18496.499999999996</v>
      </c>
      <c r="M126" s="124"/>
      <c r="N126" s="124">
        <f t="shared" si="24"/>
        <v>18496.499999999996</v>
      </c>
    </row>
    <row r="127" spans="1:14" ht="38.25" x14ac:dyDescent="0.25">
      <c r="A127" s="105"/>
      <c r="B127" s="106"/>
      <c r="C127" s="107" t="s">
        <v>354</v>
      </c>
      <c r="D127" s="106"/>
      <c r="E127" s="108" t="s">
        <v>590</v>
      </c>
      <c r="F127" s="109">
        <f t="shared" si="24"/>
        <v>17905.899999999998</v>
      </c>
      <c r="G127" s="109"/>
      <c r="H127" s="109">
        <f t="shared" si="24"/>
        <v>17905.899999999998</v>
      </c>
      <c r="I127" s="109">
        <f t="shared" si="24"/>
        <v>18496.499999999996</v>
      </c>
      <c r="J127" s="109"/>
      <c r="K127" s="109">
        <f t="shared" si="24"/>
        <v>18496.499999999996</v>
      </c>
      <c r="L127" s="109">
        <f t="shared" si="24"/>
        <v>18496.499999999996</v>
      </c>
      <c r="M127" s="109"/>
      <c r="N127" s="109">
        <f t="shared" si="24"/>
        <v>18496.499999999996</v>
      </c>
    </row>
    <row r="128" spans="1:14" ht="26.25" x14ac:dyDescent="0.25">
      <c r="A128" s="33"/>
      <c r="B128" s="33"/>
      <c r="C128" s="33" t="s">
        <v>356</v>
      </c>
      <c r="D128" s="33"/>
      <c r="E128" s="20" t="s">
        <v>357</v>
      </c>
      <c r="F128" s="71">
        <f>F129+F131+F133</f>
        <v>17905.899999999998</v>
      </c>
      <c r="G128" s="71"/>
      <c r="H128" s="71">
        <f>H129+H131+H133</f>
        <v>17905.899999999998</v>
      </c>
      <c r="I128" s="71">
        <f>I129+I131+I133</f>
        <v>18496.499999999996</v>
      </c>
      <c r="J128" s="71"/>
      <c r="K128" s="71">
        <f>K129+K131+K133</f>
        <v>18496.499999999996</v>
      </c>
      <c r="L128" s="71">
        <f>L129+L131+L133</f>
        <v>18496.499999999996</v>
      </c>
      <c r="M128" s="71"/>
      <c r="N128" s="71">
        <f>N129+N131+N133</f>
        <v>18496.499999999996</v>
      </c>
    </row>
    <row r="129" spans="1:14" x14ac:dyDescent="0.25">
      <c r="A129" s="6"/>
      <c r="B129" s="6"/>
      <c r="C129" s="6" t="s">
        <v>358</v>
      </c>
      <c r="D129" s="6"/>
      <c r="E129" s="1" t="s">
        <v>359</v>
      </c>
      <c r="F129" s="70">
        <f>SUM(F130)</f>
        <v>24.2</v>
      </c>
      <c r="G129" s="70"/>
      <c r="H129" s="70">
        <f>SUM(H130)</f>
        <v>24.2</v>
      </c>
      <c r="I129" s="70">
        <f>SUM(I130)</f>
        <v>24.2</v>
      </c>
      <c r="J129" s="70"/>
      <c r="K129" s="70">
        <f>SUM(K130)</f>
        <v>24.2</v>
      </c>
      <c r="L129" s="70">
        <f>SUM(L130)</f>
        <v>24.2</v>
      </c>
      <c r="M129" s="70"/>
      <c r="N129" s="70">
        <f>SUM(N130)</f>
        <v>24.2</v>
      </c>
    </row>
    <row r="130" spans="1:14" x14ac:dyDescent="0.25">
      <c r="A130" s="6"/>
      <c r="B130" s="6"/>
      <c r="C130" s="6"/>
      <c r="D130" s="6" t="s">
        <v>280</v>
      </c>
      <c r="E130" s="3" t="s">
        <v>281</v>
      </c>
      <c r="F130" s="70">
        <v>24.2</v>
      </c>
      <c r="G130" s="70"/>
      <c r="H130" s="70">
        <v>24.2</v>
      </c>
      <c r="I130" s="70">
        <v>24.2</v>
      </c>
      <c r="J130" s="70"/>
      <c r="K130" s="70">
        <v>24.2</v>
      </c>
      <c r="L130" s="70">
        <v>24.2</v>
      </c>
      <c r="M130" s="70"/>
      <c r="N130" s="70">
        <v>24.2</v>
      </c>
    </row>
    <row r="131" spans="1:14" ht="39" x14ac:dyDescent="0.25">
      <c r="A131" s="6"/>
      <c r="B131" s="6"/>
      <c r="C131" s="6" t="s">
        <v>360</v>
      </c>
      <c r="D131" s="6"/>
      <c r="E131" s="8" t="s">
        <v>361</v>
      </c>
      <c r="F131" s="70">
        <f>F132</f>
        <v>140.59999999999991</v>
      </c>
      <c r="G131" s="70"/>
      <c r="H131" s="70">
        <f>H132</f>
        <v>140.59999999999991</v>
      </c>
      <c r="I131" s="70">
        <f>I132</f>
        <v>140.60000000000002</v>
      </c>
      <c r="J131" s="70"/>
      <c r="K131" s="70">
        <f>K132</f>
        <v>140.60000000000002</v>
      </c>
      <c r="L131" s="70">
        <f>L132</f>
        <v>140.60000000000002</v>
      </c>
      <c r="M131" s="70"/>
      <c r="N131" s="70">
        <f>N132</f>
        <v>140.60000000000002</v>
      </c>
    </row>
    <row r="132" spans="1:14" x14ac:dyDescent="0.25">
      <c r="A132" s="6"/>
      <c r="B132" s="6"/>
      <c r="C132" s="6"/>
      <c r="D132" s="6" t="s">
        <v>280</v>
      </c>
      <c r="E132" s="3" t="s">
        <v>281</v>
      </c>
      <c r="F132" s="70">
        <f>815.3-674.7</f>
        <v>140.59999999999991</v>
      </c>
      <c r="G132" s="70"/>
      <c r="H132" s="70">
        <f>815.3-674.7</f>
        <v>140.59999999999991</v>
      </c>
      <c r="I132" s="70">
        <f>847.9-707.3</f>
        <v>140.60000000000002</v>
      </c>
      <c r="J132" s="70"/>
      <c r="K132" s="70">
        <f>847.9-707.3</f>
        <v>140.60000000000002</v>
      </c>
      <c r="L132" s="70">
        <f>881.9-741.3</f>
        <v>140.60000000000002</v>
      </c>
      <c r="M132" s="70"/>
      <c r="N132" s="70">
        <f>881.9-741.3</f>
        <v>140.60000000000002</v>
      </c>
    </row>
    <row r="133" spans="1:14" x14ac:dyDescent="0.25">
      <c r="A133" s="6"/>
      <c r="B133" s="6"/>
      <c r="C133" s="6" t="s">
        <v>362</v>
      </c>
      <c r="D133" s="6"/>
      <c r="E133" s="57" t="s">
        <v>482</v>
      </c>
      <c r="F133" s="70">
        <f>F134+F135</f>
        <v>17741.099999999999</v>
      </c>
      <c r="G133" s="70"/>
      <c r="H133" s="70">
        <f>H134+H135</f>
        <v>17741.099999999999</v>
      </c>
      <c r="I133" s="70">
        <f>I134+I135</f>
        <v>18331.699999999997</v>
      </c>
      <c r="J133" s="70"/>
      <c r="K133" s="70">
        <f>K134+K135</f>
        <v>18331.699999999997</v>
      </c>
      <c r="L133" s="70">
        <f>L134+L135</f>
        <v>18331.699999999997</v>
      </c>
      <c r="M133" s="70"/>
      <c r="N133" s="70">
        <f>N134+N135</f>
        <v>18331.699999999997</v>
      </c>
    </row>
    <row r="134" spans="1:14" ht="39" x14ac:dyDescent="0.25">
      <c r="A134" s="6"/>
      <c r="B134" s="6"/>
      <c r="C134" s="6"/>
      <c r="D134" s="6" t="s">
        <v>398</v>
      </c>
      <c r="E134" s="3" t="s">
        <v>399</v>
      </c>
      <c r="F134" s="79">
        <v>16220.5</v>
      </c>
      <c r="G134" s="79"/>
      <c r="H134" s="79">
        <v>16220.5</v>
      </c>
      <c r="I134" s="79">
        <v>16811.099999999999</v>
      </c>
      <c r="J134" s="79"/>
      <c r="K134" s="79">
        <v>16811.099999999999</v>
      </c>
      <c r="L134" s="79">
        <v>16811.099999999999</v>
      </c>
      <c r="M134" s="79"/>
      <c r="N134" s="79">
        <v>16811.099999999999</v>
      </c>
    </row>
    <row r="135" spans="1:14" x14ac:dyDescent="0.25">
      <c r="A135" s="6"/>
      <c r="B135" s="6"/>
      <c r="C135" s="6"/>
      <c r="D135" s="6" t="s">
        <v>280</v>
      </c>
      <c r="E135" s="3" t="s">
        <v>281</v>
      </c>
      <c r="F135" s="70">
        <v>1520.6</v>
      </c>
      <c r="G135" s="70"/>
      <c r="H135" s="70">
        <v>1520.6</v>
      </c>
      <c r="I135" s="70">
        <v>1520.6</v>
      </c>
      <c r="J135" s="70"/>
      <c r="K135" s="70">
        <v>1520.6</v>
      </c>
      <c r="L135" s="70">
        <v>1520.6</v>
      </c>
      <c r="M135" s="70"/>
      <c r="N135" s="70">
        <v>1520.6</v>
      </c>
    </row>
    <row r="136" spans="1:14" x14ac:dyDescent="0.25">
      <c r="A136" s="6"/>
      <c r="B136" s="17" t="s">
        <v>591</v>
      </c>
      <c r="C136" s="103"/>
      <c r="D136" s="17"/>
      <c r="E136" s="96" t="s">
        <v>592</v>
      </c>
      <c r="F136" s="74">
        <f>F137</f>
        <v>3394.8999999999996</v>
      </c>
      <c r="G136" s="74"/>
      <c r="H136" s="74">
        <f>H137</f>
        <v>3394.8999999999996</v>
      </c>
      <c r="I136" s="74">
        <f t="shared" ref="I136:N138" si="25">I137</f>
        <v>5957.7000000000007</v>
      </c>
      <c r="J136" s="74"/>
      <c r="K136" s="74">
        <f t="shared" si="25"/>
        <v>5957.7000000000007</v>
      </c>
      <c r="L136" s="74">
        <f t="shared" si="25"/>
        <v>1090.8000000000002</v>
      </c>
      <c r="M136" s="74"/>
      <c r="N136" s="74">
        <f t="shared" si="25"/>
        <v>1090.8000000000002</v>
      </c>
    </row>
    <row r="137" spans="1:14" x14ac:dyDescent="0.25">
      <c r="A137" s="6"/>
      <c r="B137" s="16"/>
      <c r="C137" s="103" t="s">
        <v>5</v>
      </c>
      <c r="D137" s="102"/>
      <c r="E137" s="123" t="s">
        <v>593</v>
      </c>
      <c r="F137" s="74">
        <f>F138</f>
        <v>3394.8999999999996</v>
      </c>
      <c r="G137" s="74"/>
      <c r="H137" s="74">
        <f>H138</f>
        <v>3394.8999999999996</v>
      </c>
      <c r="I137" s="74">
        <f t="shared" si="25"/>
        <v>5957.7000000000007</v>
      </c>
      <c r="J137" s="74"/>
      <c r="K137" s="74">
        <f t="shared" si="25"/>
        <v>5957.7000000000007</v>
      </c>
      <c r="L137" s="74">
        <f t="shared" si="25"/>
        <v>1090.8000000000002</v>
      </c>
      <c r="M137" s="74"/>
      <c r="N137" s="74">
        <f t="shared" si="25"/>
        <v>1090.8000000000002</v>
      </c>
    </row>
    <row r="138" spans="1:14" ht="38.25" x14ac:dyDescent="0.25">
      <c r="A138" s="106"/>
      <c r="B138" s="106"/>
      <c r="C138" s="107" t="s">
        <v>354</v>
      </c>
      <c r="D138" s="106"/>
      <c r="E138" s="108" t="s">
        <v>355</v>
      </c>
      <c r="F138" s="109">
        <f>F139</f>
        <v>3394.8999999999996</v>
      </c>
      <c r="G138" s="109"/>
      <c r="H138" s="109">
        <f>H139</f>
        <v>3394.8999999999996</v>
      </c>
      <c r="I138" s="109">
        <f t="shared" si="25"/>
        <v>5957.7000000000007</v>
      </c>
      <c r="J138" s="109"/>
      <c r="K138" s="109">
        <f t="shared" si="25"/>
        <v>5957.7000000000007</v>
      </c>
      <c r="L138" s="109">
        <f t="shared" si="25"/>
        <v>1090.8000000000002</v>
      </c>
      <c r="M138" s="109"/>
      <c r="N138" s="109">
        <f t="shared" si="25"/>
        <v>1090.8000000000002</v>
      </c>
    </row>
    <row r="139" spans="1:14" ht="26.25" x14ac:dyDescent="0.25">
      <c r="A139" s="33"/>
      <c r="B139" s="33"/>
      <c r="C139" s="33" t="s">
        <v>363</v>
      </c>
      <c r="D139" s="33"/>
      <c r="E139" s="20" t="s">
        <v>364</v>
      </c>
      <c r="F139" s="71">
        <f>F140+F142+F147+F145</f>
        <v>3394.8999999999996</v>
      </c>
      <c r="G139" s="71"/>
      <c r="H139" s="71">
        <f>H140+H142+H147+H145</f>
        <v>3394.8999999999996</v>
      </c>
      <c r="I139" s="71">
        <f>I140+I142+I147+I145</f>
        <v>5957.7000000000007</v>
      </c>
      <c r="J139" s="71"/>
      <c r="K139" s="71">
        <f>K140+K142+K147+K145</f>
        <v>5957.7000000000007</v>
      </c>
      <c r="L139" s="71">
        <f>L140+L142+L147+L145</f>
        <v>1090.8000000000002</v>
      </c>
      <c r="M139" s="71"/>
      <c r="N139" s="71">
        <f>N140+N142+N147+N145</f>
        <v>1090.8000000000002</v>
      </c>
    </row>
    <row r="140" spans="1:14" x14ac:dyDescent="0.25">
      <c r="A140" s="6"/>
      <c r="B140" s="6"/>
      <c r="C140" s="6" t="s">
        <v>365</v>
      </c>
      <c r="D140" s="6"/>
      <c r="E140" s="53" t="s">
        <v>689</v>
      </c>
      <c r="F140" s="70">
        <f>F141</f>
        <v>110.29999999999973</v>
      </c>
      <c r="G140" s="70"/>
      <c r="H140" s="70">
        <f>H141</f>
        <v>110.29999999999973</v>
      </c>
      <c r="I140" s="70">
        <f>I141</f>
        <v>2602.6999999999998</v>
      </c>
      <c r="J140" s="70"/>
      <c r="K140" s="70">
        <f>K141</f>
        <v>2602.6999999999998</v>
      </c>
      <c r="L140" s="70">
        <f>L141</f>
        <v>110.30000000000018</v>
      </c>
      <c r="M140" s="70"/>
      <c r="N140" s="70">
        <f>N141</f>
        <v>110.30000000000018</v>
      </c>
    </row>
    <row r="141" spans="1:14" x14ac:dyDescent="0.25">
      <c r="A141" s="6"/>
      <c r="B141" s="6"/>
      <c r="C141" s="6"/>
      <c r="D141" s="6" t="s">
        <v>280</v>
      </c>
      <c r="E141" s="3" t="s">
        <v>281</v>
      </c>
      <c r="F141" s="70">
        <f>4060.2-3949.9</f>
        <v>110.29999999999973</v>
      </c>
      <c r="G141" s="70"/>
      <c r="H141" s="70">
        <f>4060.2-3949.9</f>
        <v>110.29999999999973</v>
      </c>
      <c r="I141" s="70">
        <f>2607.1-4.4</f>
        <v>2602.6999999999998</v>
      </c>
      <c r="J141" s="70"/>
      <c r="K141" s="70">
        <f>2607.1-4.4</f>
        <v>2602.6999999999998</v>
      </c>
      <c r="L141" s="70">
        <f>2614.4-2504.1</f>
        <v>110.30000000000018</v>
      </c>
      <c r="M141" s="70"/>
      <c r="N141" s="70">
        <f>2614.4-2504.1</f>
        <v>110.30000000000018</v>
      </c>
    </row>
    <row r="142" spans="1:14" x14ac:dyDescent="0.25">
      <c r="A142" s="6"/>
      <c r="B142" s="6"/>
      <c r="C142" s="6" t="s">
        <v>366</v>
      </c>
      <c r="D142" s="6"/>
      <c r="E142" s="54" t="s">
        <v>801</v>
      </c>
      <c r="F142" s="70">
        <f>F143+F144</f>
        <v>981.49999999999977</v>
      </c>
      <c r="G142" s="70"/>
      <c r="H142" s="70">
        <f>H143+H144</f>
        <v>981.49999999999977</v>
      </c>
      <c r="I142" s="70">
        <f>I143+I144</f>
        <v>980.50000000000023</v>
      </c>
      <c r="J142" s="70"/>
      <c r="K142" s="70">
        <f>K143+K144</f>
        <v>980.50000000000023</v>
      </c>
      <c r="L142" s="70">
        <f>L143+L144</f>
        <v>980.5</v>
      </c>
      <c r="M142" s="70"/>
      <c r="N142" s="70">
        <f>N143+N144</f>
        <v>980.5</v>
      </c>
    </row>
    <row r="143" spans="1:14" x14ac:dyDescent="0.25">
      <c r="A143" s="6"/>
      <c r="B143" s="6"/>
      <c r="C143" s="6"/>
      <c r="D143" s="6" t="s">
        <v>280</v>
      </c>
      <c r="E143" s="3" t="s">
        <v>281</v>
      </c>
      <c r="F143" s="70">
        <f>2792.1-1844.9</f>
        <v>947.19999999999982</v>
      </c>
      <c r="G143" s="70"/>
      <c r="H143" s="70">
        <f>2792.1-1844.9</f>
        <v>947.19999999999982</v>
      </c>
      <c r="I143" s="70">
        <f>2735.8-1789.6</f>
        <v>946.20000000000027</v>
      </c>
      <c r="J143" s="70"/>
      <c r="K143" s="70">
        <f>2735.8-1789.6</f>
        <v>946.20000000000027</v>
      </c>
      <c r="L143" s="70">
        <f>1545.2-599</f>
        <v>946.2</v>
      </c>
      <c r="M143" s="70"/>
      <c r="N143" s="70">
        <f>1545.2-599</f>
        <v>946.2</v>
      </c>
    </row>
    <row r="144" spans="1:14" ht="26.25" x14ac:dyDescent="0.25">
      <c r="A144" s="6"/>
      <c r="B144" s="6"/>
      <c r="C144" s="6"/>
      <c r="D144" s="6" t="s">
        <v>470</v>
      </c>
      <c r="E144" s="3" t="s">
        <v>471</v>
      </c>
      <c r="F144" s="70">
        <v>34.299999999999997</v>
      </c>
      <c r="G144" s="70"/>
      <c r="H144" s="70">
        <v>34.299999999999997</v>
      </c>
      <c r="I144" s="70">
        <v>34.299999999999997</v>
      </c>
      <c r="J144" s="70"/>
      <c r="K144" s="70">
        <v>34.299999999999997</v>
      </c>
      <c r="L144" s="70">
        <v>34.299999999999997</v>
      </c>
      <c r="M144" s="70"/>
      <c r="N144" s="70">
        <v>34.299999999999997</v>
      </c>
    </row>
    <row r="145" spans="1:14" ht="26.25" x14ac:dyDescent="0.25">
      <c r="A145" s="6"/>
      <c r="B145" s="6"/>
      <c r="C145" s="6" t="s">
        <v>367</v>
      </c>
      <c r="D145" s="6"/>
      <c r="E145" s="3" t="s">
        <v>368</v>
      </c>
      <c r="F145" s="70">
        <f>F146</f>
        <v>1785</v>
      </c>
      <c r="G145" s="70"/>
      <c r="H145" s="70">
        <f>H146</f>
        <v>1785</v>
      </c>
      <c r="I145" s="70">
        <f>I146</f>
        <v>1856.4</v>
      </c>
      <c r="J145" s="70"/>
      <c r="K145" s="70">
        <f>K146</f>
        <v>1856.4</v>
      </c>
      <c r="L145" s="70">
        <f>L146</f>
        <v>0</v>
      </c>
      <c r="M145" s="70"/>
      <c r="N145" s="70">
        <f>N146</f>
        <v>0</v>
      </c>
    </row>
    <row r="146" spans="1:14" x14ac:dyDescent="0.25">
      <c r="A146" s="6"/>
      <c r="B146" s="6"/>
      <c r="C146" s="6"/>
      <c r="D146" s="6" t="s">
        <v>280</v>
      </c>
      <c r="E146" s="3" t="s">
        <v>281</v>
      </c>
      <c r="F146" s="70">
        <v>1785</v>
      </c>
      <c r="G146" s="70"/>
      <c r="H146" s="70">
        <v>1785</v>
      </c>
      <c r="I146" s="70">
        <v>1856.4</v>
      </c>
      <c r="J146" s="70"/>
      <c r="K146" s="70">
        <v>1856.4</v>
      </c>
      <c r="L146" s="70">
        <v>0</v>
      </c>
      <c r="M146" s="70"/>
      <c r="N146" s="70">
        <v>0</v>
      </c>
    </row>
    <row r="147" spans="1:14" ht="26.25" x14ac:dyDescent="0.25">
      <c r="A147" s="6"/>
      <c r="B147" s="6"/>
      <c r="C147" s="6" t="s">
        <v>369</v>
      </c>
      <c r="D147" s="6"/>
      <c r="E147" s="67" t="s">
        <v>467</v>
      </c>
      <c r="F147" s="70">
        <f>SUM(F148)</f>
        <v>518.1</v>
      </c>
      <c r="G147" s="70"/>
      <c r="H147" s="70">
        <f>SUM(H148)</f>
        <v>518.1</v>
      </c>
      <c r="I147" s="70">
        <f>SUM(I148)</f>
        <v>518.1</v>
      </c>
      <c r="J147" s="70"/>
      <c r="K147" s="70">
        <f>SUM(K148)</f>
        <v>518.1</v>
      </c>
      <c r="L147" s="70">
        <f>SUM(L148)</f>
        <v>0</v>
      </c>
      <c r="M147" s="70"/>
      <c r="N147" s="70">
        <f>SUM(N148)</f>
        <v>0</v>
      </c>
    </row>
    <row r="148" spans="1:14" x14ac:dyDescent="0.25">
      <c r="A148" s="6"/>
      <c r="B148" s="6"/>
      <c r="C148" s="6"/>
      <c r="D148" s="6" t="s">
        <v>280</v>
      </c>
      <c r="E148" s="3" t="s">
        <v>281</v>
      </c>
      <c r="F148" s="70">
        <v>518.1</v>
      </c>
      <c r="G148" s="70"/>
      <c r="H148" s="70">
        <v>518.1</v>
      </c>
      <c r="I148" s="70">
        <v>518.1</v>
      </c>
      <c r="J148" s="70"/>
      <c r="K148" s="70">
        <v>518.1</v>
      </c>
      <c r="L148" s="70">
        <v>0</v>
      </c>
      <c r="M148" s="70"/>
      <c r="N148" s="70">
        <v>0</v>
      </c>
    </row>
    <row r="149" spans="1:14" ht="25.5" x14ac:dyDescent="0.25">
      <c r="A149" s="6"/>
      <c r="B149" s="17" t="s">
        <v>594</v>
      </c>
      <c r="C149" s="103"/>
      <c r="D149" s="17"/>
      <c r="E149" s="123" t="s">
        <v>595</v>
      </c>
      <c r="F149" s="74">
        <f>F150</f>
        <v>1101.3</v>
      </c>
      <c r="G149" s="74"/>
      <c r="H149" s="74">
        <f t="shared" ref="H149:N149" si="26">H150</f>
        <v>1101.3</v>
      </c>
      <c r="I149" s="74">
        <f t="shared" si="26"/>
        <v>1050.9000000000001</v>
      </c>
      <c r="J149" s="74"/>
      <c r="K149" s="74">
        <f t="shared" si="26"/>
        <v>1050.9000000000001</v>
      </c>
      <c r="L149" s="74">
        <f t="shared" si="26"/>
        <v>905.7</v>
      </c>
      <c r="M149" s="74"/>
      <c r="N149" s="74">
        <f t="shared" si="26"/>
        <v>905.7</v>
      </c>
    </row>
    <row r="150" spans="1:14" x14ac:dyDescent="0.25">
      <c r="A150" s="6"/>
      <c r="B150" s="17"/>
      <c r="C150" s="103" t="s">
        <v>5</v>
      </c>
      <c r="D150" s="102"/>
      <c r="E150" s="123" t="s">
        <v>6</v>
      </c>
      <c r="F150" s="74">
        <f>F151+F169</f>
        <v>1101.3</v>
      </c>
      <c r="G150" s="74"/>
      <c r="H150" s="74">
        <f t="shared" ref="H150:N150" si="27">H151+H169</f>
        <v>1101.3</v>
      </c>
      <c r="I150" s="74">
        <f t="shared" si="27"/>
        <v>1050.9000000000001</v>
      </c>
      <c r="J150" s="74"/>
      <c r="K150" s="74">
        <f t="shared" si="27"/>
        <v>1050.9000000000001</v>
      </c>
      <c r="L150" s="74">
        <f t="shared" si="27"/>
        <v>905.7</v>
      </c>
      <c r="M150" s="74"/>
      <c r="N150" s="74">
        <f t="shared" si="27"/>
        <v>905.7</v>
      </c>
    </row>
    <row r="151" spans="1:14" ht="25.5" x14ac:dyDescent="0.25">
      <c r="A151" s="106"/>
      <c r="B151" s="106"/>
      <c r="C151" s="107" t="s">
        <v>266</v>
      </c>
      <c r="D151" s="106"/>
      <c r="E151" s="108" t="s">
        <v>267</v>
      </c>
      <c r="F151" s="109">
        <f>F152+F158</f>
        <v>956.09999999999991</v>
      </c>
      <c r="G151" s="109"/>
      <c r="H151" s="109">
        <f t="shared" ref="H151:N151" si="28">H152+H158</f>
        <v>956.09999999999991</v>
      </c>
      <c r="I151" s="109">
        <f t="shared" si="28"/>
        <v>905.7</v>
      </c>
      <c r="J151" s="109"/>
      <c r="K151" s="109">
        <f t="shared" si="28"/>
        <v>905.7</v>
      </c>
      <c r="L151" s="109">
        <f t="shared" si="28"/>
        <v>905.7</v>
      </c>
      <c r="M151" s="109"/>
      <c r="N151" s="109">
        <f t="shared" si="28"/>
        <v>905.7</v>
      </c>
    </row>
    <row r="152" spans="1:14" ht="26.25" x14ac:dyDescent="0.25">
      <c r="A152" s="31"/>
      <c r="B152" s="31"/>
      <c r="C152" s="31" t="s">
        <v>268</v>
      </c>
      <c r="D152" s="31"/>
      <c r="E152" s="32" t="s">
        <v>269</v>
      </c>
      <c r="F152" s="75">
        <f>F153</f>
        <v>562</v>
      </c>
      <c r="G152" s="75"/>
      <c r="H152" s="75">
        <f>H153</f>
        <v>562</v>
      </c>
      <c r="I152" s="75">
        <f>I153</f>
        <v>562</v>
      </c>
      <c r="J152" s="75"/>
      <c r="K152" s="75">
        <f>K153</f>
        <v>562</v>
      </c>
      <c r="L152" s="75">
        <f>L153</f>
        <v>562</v>
      </c>
      <c r="M152" s="75"/>
      <c r="N152" s="75">
        <f>N153</f>
        <v>562</v>
      </c>
    </row>
    <row r="153" spans="1:14" ht="26.25" x14ac:dyDescent="0.25">
      <c r="A153" s="33"/>
      <c r="B153" s="33"/>
      <c r="C153" s="33" t="s">
        <v>270</v>
      </c>
      <c r="D153" s="36"/>
      <c r="E153" s="34" t="s">
        <v>271</v>
      </c>
      <c r="F153" s="71">
        <f>F154+F156</f>
        <v>562</v>
      </c>
      <c r="G153" s="71"/>
      <c r="H153" s="71">
        <f>H154+H156</f>
        <v>562</v>
      </c>
      <c r="I153" s="71">
        <f>I154+I156</f>
        <v>562</v>
      </c>
      <c r="J153" s="71"/>
      <c r="K153" s="71">
        <f>K154+K156</f>
        <v>562</v>
      </c>
      <c r="L153" s="71">
        <f>L154+L156</f>
        <v>562</v>
      </c>
      <c r="M153" s="71"/>
      <c r="N153" s="71">
        <f>N154+N156</f>
        <v>562</v>
      </c>
    </row>
    <row r="154" spans="1:14" ht="39" x14ac:dyDescent="0.25">
      <c r="A154" s="6"/>
      <c r="B154" s="6"/>
      <c r="C154" s="6" t="s">
        <v>272</v>
      </c>
      <c r="D154" s="6"/>
      <c r="E154" s="3" t="s">
        <v>273</v>
      </c>
      <c r="F154" s="70">
        <f>F155</f>
        <v>10</v>
      </c>
      <c r="G154" s="70"/>
      <c r="H154" s="70">
        <f>H155</f>
        <v>10</v>
      </c>
      <c r="I154" s="70">
        <f t="shared" ref="I154:N154" si="29">I155</f>
        <v>10</v>
      </c>
      <c r="J154" s="70"/>
      <c r="K154" s="70">
        <f t="shared" si="29"/>
        <v>10</v>
      </c>
      <c r="L154" s="70">
        <f t="shared" si="29"/>
        <v>10</v>
      </c>
      <c r="M154" s="70"/>
      <c r="N154" s="70">
        <f t="shared" si="29"/>
        <v>10</v>
      </c>
    </row>
    <row r="155" spans="1:14" x14ac:dyDescent="0.25">
      <c r="A155" s="6"/>
      <c r="B155" s="6"/>
      <c r="C155" s="6"/>
      <c r="D155" s="6" t="s">
        <v>280</v>
      </c>
      <c r="E155" s="3" t="s">
        <v>281</v>
      </c>
      <c r="F155" s="70">
        <v>10</v>
      </c>
      <c r="G155" s="70"/>
      <c r="H155" s="70">
        <v>10</v>
      </c>
      <c r="I155" s="70">
        <v>10</v>
      </c>
      <c r="J155" s="70"/>
      <c r="K155" s="70">
        <v>10</v>
      </c>
      <c r="L155" s="70">
        <v>10</v>
      </c>
      <c r="M155" s="70"/>
      <c r="N155" s="70">
        <v>10</v>
      </c>
    </row>
    <row r="156" spans="1:14" ht="39" x14ac:dyDescent="0.25">
      <c r="A156" s="6"/>
      <c r="B156" s="6"/>
      <c r="C156" s="6" t="s">
        <v>274</v>
      </c>
      <c r="D156" s="6"/>
      <c r="E156" s="3" t="s">
        <v>275</v>
      </c>
      <c r="F156" s="70">
        <f>F157</f>
        <v>552</v>
      </c>
      <c r="G156" s="70"/>
      <c r="H156" s="70">
        <f>H157</f>
        <v>552</v>
      </c>
      <c r="I156" s="70">
        <f t="shared" ref="I156:N156" si="30">I157</f>
        <v>552</v>
      </c>
      <c r="J156" s="70"/>
      <c r="K156" s="70">
        <f t="shared" si="30"/>
        <v>552</v>
      </c>
      <c r="L156" s="70">
        <f t="shared" si="30"/>
        <v>552</v>
      </c>
      <c r="M156" s="70"/>
      <c r="N156" s="70">
        <f t="shared" si="30"/>
        <v>552</v>
      </c>
    </row>
    <row r="157" spans="1:14" x14ac:dyDescent="0.25">
      <c r="A157" s="6"/>
      <c r="B157" s="6"/>
      <c r="C157" s="6"/>
      <c r="D157" s="6" t="s">
        <v>280</v>
      </c>
      <c r="E157" s="3" t="s">
        <v>281</v>
      </c>
      <c r="F157" s="70">
        <v>552</v>
      </c>
      <c r="G157" s="70"/>
      <c r="H157" s="70">
        <v>552</v>
      </c>
      <c r="I157" s="70">
        <v>552</v>
      </c>
      <c r="J157" s="70"/>
      <c r="K157" s="70">
        <v>552</v>
      </c>
      <c r="L157" s="70">
        <v>552</v>
      </c>
      <c r="M157" s="70"/>
      <c r="N157" s="70">
        <v>552</v>
      </c>
    </row>
    <row r="158" spans="1:14" ht="26.25" x14ac:dyDescent="0.25">
      <c r="A158" s="31"/>
      <c r="B158" s="31"/>
      <c r="C158" s="31" t="s">
        <v>276</v>
      </c>
      <c r="D158" s="31"/>
      <c r="E158" s="32" t="s">
        <v>277</v>
      </c>
      <c r="F158" s="75">
        <f>F159</f>
        <v>394.09999999999997</v>
      </c>
      <c r="G158" s="75"/>
      <c r="H158" s="75">
        <f t="shared" ref="H158:N158" si="31">H159</f>
        <v>394.09999999999997</v>
      </c>
      <c r="I158" s="75">
        <f t="shared" si="31"/>
        <v>343.7</v>
      </c>
      <c r="J158" s="75">
        <f t="shared" si="31"/>
        <v>0</v>
      </c>
      <c r="K158" s="75">
        <f t="shared" si="31"/>
        <v>343.7</v>
      </c>
      <c r="L158" s="75">
        <f t="shared" si="31"/>
        <v>343.7</v>
      </c>
      <c r="M158" s="75"/>
      <c r="N158" s="75">
        <f t="shared" si="31"/>
        <v>343.7</v>
      </c>
    </row>
    <row r="159" spans="1:14" ht="26.25" x14ac:dyDescent="0.25">
      <c r="A159" s="33"/>
      <c r="B159" s="33"/>
      <c r="C159" s="33" t="s">
        <v>444</v>
      </c>
      <c r="D159" s="36"/>
      <c r="E159" s="34" t="s">
        <v>278</v>
      </c>
      <c r="F159" s="71">
        <f>F160+F167+F164</f>
        <v>394.09999999999997</v>
      </c>
      <c r="G159" s="71"/>
      <c r="H159" s="71">
        <f t="shared" ref="H159:N159" si="32">H160+H167+H164</f>
        <v>394.09999999999997</v>
      </c>
      <c r="I159" s="71">
        <f t="shared" si="32"/>
        <v>343.7</v>
      </c>
      <c r="J159" s="71">
        <f t="shared" si="32"/>
        <v>0</v>
      </c>
      <c r="K159" s="71">
        <f t="shared" si="32"/>
        <v>343.7</v>
      </c>
      <c r="L159" s="71">
        <f t="shared" si="32"/>
        <v>343.7</v>
      </c>
      <c r="M159" s="71"/>
      <c r="N159" s="71">
        <f t="shared" si="32"/>
        <v>343.7</v>
      </c>
    </row>
    <row r="160" spans="1:14" ht="26.25" x14ac:dyDescent="0.25">
      <c r="A160" s="92"/>
      <c r="B160" s="92"/>
      <c r="C160" s="6" t="s">
        <v>443</v>
      </c>
      <c r="D160" s="6"/>
      <c r="E160" s="45" t="s">
        <v>279</v>
      </c>
      <c r="F160" s="70">
        <f>F163+F162</f>
        <v>342.9</v>
      </c>
      <c r="G160" s="70"/>
      <c r="H160" s="70">
        <f>H163+H162</f>
        <v>342.9</v>
      </c>
      <c r="I160" s="70">
        <f>I163+I162</f>
        <v>292.5</v>
      </c>
      <c r="J160" s="70"/>
      <c r="K160" s="70">
        <f>K163+K162</f>
        <v>292.5</v>
      </c>
      <c r="L160" s="70">
        <f>L163+L162</f>
        <v>292.5</v>
      </c>
      <c r="M160" s="70"/>
      <c r="N160" s="70">
        <f>N163+N162</f>
        <v>292.5</v>
      </c>
    </row>
    <row r="161" spans="1:14" x14ac:dyDescent="0.25">
      <c r="A161" s="92"/>
      <c r="B161" s="92"/>
      <c r="C161" s="6"/>
      <c r="D161" s="6" t="s">
        <v>280</v>
      </c>
      <c r="E161" s="3" t="s">
        <v>281</v>
      </c>
      <c r="F161" s="70">
        <f>SUM(F162:F163)</f>
        <v>342.9</v>
      </c>
      <c r="G161" s="70"/>
      <c r="H161" s="70">
        <f>SUM(H162:H163)</f>
        <v>342.9</v>
      </c>
      <c r="I161" s="70">
        <v>290</v>
      </c>
      <c r="J161" s="70"/>
      <c r="K161" s="70">
        <v>290</v>
      </c>
      <c r="L161" s="70">
        <v>290</v>
      </c>
      <c r="M161" s="70"/>
      <c r="N161" s="70">
        <v>290</v>
      </c>
    </row>
    <row r="162" spans="1:14" x14ac:dyDescent="0.25">
      <c r="A162" s="92"/>
      <c r="B162" s="92"/>
      <c r="C162" s="6"/>
      <c r="D162" s="6"/>
      <c r="E162" s="3" t="s">
        <v>152</v>
      </c>
      <c r="F162" s="70">
        <v>114.1</v>
      </c>
      <c r="G162" s="70"/>
      <c r="H162" s="70">
        <v>114.1</v>
      </c>
      <c r="I162" s="70">
        <v>114.1</v>
      </c>
      <c r="J162" s="70"/>
      <c r="K162" s="70">
        <v>114.1</v>
      </c>
      <c r="L162" s="70">
        <v>114.1</v>
      </c>
      <c r="M162" s="70"/>
      <c r="N162" s="70">
        <v>114.1</v>
      </c>
    </row>
    <row r="163" spans="1:14" x14ac:dyDescent="0.25">
      <c r="A163" s="92"/>
      <c r="B163" s="92"/>
      <c r="C163" s="6"/>
      <c r="D163" s="6"/>
      <c r="E163" s="3" t="s">
        <v>105</v>
      </c>
      <c r="F163" s="70">
        <v>228.8</v>
      </c>
      <c r="G163" s="70"/>
      <c r="H163" s="70">
        <v>228.8</v>
      </c>
      <c r="I163" s="70">
        <v>178.4</v>
      </c>
      <c r="J163" s="70"/>
      <c r="K163" s="70">
        <v>178.4</v>
      </c>
      <c r="L163" s="70">
        <v>178.4</v>
      </c>
      <c r="M163" s="70"/>
      <c r="N163" s="70">
        <v>178.4</v>
      </c>
    </row>
    <row r="164" spans="1:14" ht="39" x14ac:dyDescent="0.25">
      <c r="A164" s="92"/>
      <c r="B164" s="92"/>
      <c r="C164" s="6" t="s">
        <v>445</v>
      </c>
      <c r="D164" s="6"/>
      <c r="E164" s="3" t="s">
        <v>478</v>
      </c>
      <c r="F164" s="80">
        <f>F165+F166</f>
        <v>31.2</v>
      </c>
      <c r="G164" s="80"/>
      <c r="H164" s="80">
        <f>H165+H166</f>
        <v>31.2</v>
      </c>
      <c r="I164" s="80">
        <f>I165+I166</f>
        <v>31.2</v>
      </c>
      <c r="J164" s="80"/>
      <c r="K164" s="80">
        <f>K165+K166</f>
        <v>31.2</v>
      </c>
      <c r="L164" s="80">
        <f>L165+L166</f>
        <v>31.2</v>
      </c>
      <c r="M164" s="80"/>
      <c r="N164" s="80">
        <f>N165+N166</f>
        <v>31.2</v>
      </c>
    </row>
    <row r="165" spans="1:14" x14ac:dyDescent="0.25">
      <c r="A165" s="92"/>
      <c r="B165" s="92"/>
      <c r="C165" s="6"/>
      <c r="D165" s="6" t="s">
        <v>280</v>
      </c>
      <c r="E165" s="3" t="s">
        <v>281</v>
      </c>
      <c r="F165" s="80">
        <v>27.4</v>
      </c>
      <c r="G165" s="80"/>
      <c r="H165" s="80">
        <v>27.4</v>
      </c>
      <c r="I165" s="80">
        <v>27.4</v>
      </c>
      <c r="J165" s="80"/>
      <c r="K165" s="80">
        <v>27.4</v>
      </c>
      <c r="L165" s="80">
        <v>27.4</v>
      </c>
      <c r="M165" s="80"/>
      <c r="N165" s="80">
        <v>27.4</v>
      </c>
    </row>
    <row r="166" spans="1:14" ht="26.25" x14ac:dyDescent="0.25">
      <c r="A166" s="92"/>
      <c r="B166" s="92"/>
      <c r="C166" s="6"/>
      <c r="D166" s="6" t="s">
        <v>470</v>
      </c>
      <c r="E166" s="3" t="s">
        <v>471</v>
      </c>
      <c r="F166" s="80">
        <v>3.8</v>
      </c>
      <c r="G166" s="80"/>
      <c r="H166" s="80">
        <v>3.8</v>
      </c>
      <c r="I166" s="80">
        <v>3.8</v>
      </c>
      <c r="J166" s="80"/>
      <c r="K166" s="80">
        <v>3.8</v>
      </c>
      <c r="L166" s="80">
        <v>3.8</v>
      </c>
      <c r="M166" s="80"/>
      <c r="N166" s="80">
        <v>3.8</v>
      </c>
    </row>
    <row r="167" spans="1:14" x14ac:dyDescent="0.25">
      <c r="A167" s="92"/>
      <c r="B167" s="92"/>
      <c r="C167" s="6" t="s">
        <v>446</v>
      </c>
      <c r="D167" s="6"/>
      <c r="E167" s="3" t="s">
        <v>479</v>
      </c>
      <c r="F167" s="80">
        <f>F168</f>
        <v>20</v>
      </c>
      <c r="G167" s="80"/>
      <c r="H167" s="80">
        <f>H168</f>
        <v>20</v>
      </c>
      <c r="I167" s="80">
        <f t="shared" ref="I167:N167" si="33">I168</f>
        <v>20</v>
      </c>
      <c r="J167" s="80"/>
      <c r="K167" s="80">
        <f t="shared" si="33"/>
        <v>20</v>
      </c>
      <c r="L167" s="80">
        <f t="shared" si="33"/>
        <v>20</v>
      </c>
      <c r="M167" s="80"/>
      <c r="N167" s="80">
        <f t="shared" si="33"/>
        <v>20</v>
      </c>
    </row>
    <row r="168" spans="1:14" ht="26.25" x14ac:dyDescent="0.25">
      <c r="A168" s="92"/>
      <c r="B168" s="92"/>
      <c r="C168" s="6"/>
      <c r="D168" s="6" t="s">
        <v>470</v>
      </c>
      <c r="E168" s="3" t="s">
        <v>471</v>
      </c>
      <c r="F168" s="80">
        <v>20</v>
      </c>
      <c r="G168" s="80"/>
      <c r="H168" s="80">
        <v>20</v>
      </c>
      <c r="I168" s="80">
        <v>20</v>
      </c>
      <c r="J168" s="80"/>
      <c r="K168" s="80">
        <v>20</v>
      </c>
      <c r="L168" s="80">
        <v>20</v>
      </c>
      <c r="M168" s="80"/>
      <c r="N168" s="80">
        <v>20</v>
      </c>
    </row>
    <row r="169" spans="1:14" ht="38.25" x14ac:dyDescent="0.25">
      <c r="A169" s="106"/>
      <c r="B169" s="106"/>
      <c r="C169" s="107" t="s">
        <v>354</v>
      </c>
      <c r="D169" s="106"/>
      <c r="E169" s="108" t="s">
        <v>355</v>
      </c>
      <c r="F169" s="109">
        <f t="shared" ref="F169:N170" si="34">F170</f>
        <v>145.19999999999999</v>
      </c>
      <c r="G169" s="109"/>
      <c r="H169" s="109">
        <f t="shared" si="34"/>
        <v>145.19999999999999</v>
      </c>
      <c r="I169" s="109">
        <f t="shared" si="34"/>
        <v>145.19999999999999</v>
      </c>
      <c r="J169" s="109"/>
      <c r="K169" s="109">
        <f t="shared" si="34"/>
        <v>145.19999999999999</v>
      </c>
      <c r="L169" s="109">
        <f t="shared" si="34"/>
        <v>0</v>
      </c>
      <c r="M169" s="109"/>
      <c r="N169" s="109">
        <f t="shared" si="34"/>
        <v>0</v>
      </c>
    </row>
    <row r="170" spans="1:14" x14ac:dyDescent="0.25">
      <c r="A170" s="33"/>
      <c r="B170" s="33"/>
      <c r="C170" s="33" t="s">
        <v>370</v>
      </c>
      <c r="D170" s="33"/>
      <c r="E170" s="20" t="s">
        <v>371</v>
      </c>
      <c r="F170" s="71">
        <f t="shared" si="34"/>
        <v>145.19999999999999</v>
      </c>
      <c r="G170" s="71"/>
      <c r="H170" s="71">
        <f t="shared" si="34"/>
        <v>145.19999999999999</v>
      </c>
      <c r="I170" s="71">
        <f t="shared" si="34"/>
        <v>145.19999999999999</v>
      </c>
      <c r="J170" s="71"/>
      <c r="K170" s="71">
        <f t="shared" si="34"/>
        <v>145.19999999999999</v>
      </c>
      <c r="L170" s="71">
        <f t="shared" si="34"/>
        <v>0</v>
      </c>
      <c r="M170" s="71"/>
      <c r="N170" s="71">
        <f t="shared" si="34"/>
        <v>0</v>
      </c>
    </row>
    <row r="171" spans="1:14" x14ac:dyDescent="0.25">
      <c r="A171" s="92"/>
      <c r="B171" s="92"/>
      <c r="C171" s="6" t="s">
        <v>372</v>
      </c>
      <c r="D171" s="6"/>
      <c r="E171" s="57" t="s">
        <v>480</v>
      </c>
      <c r="F171" s="70">
        <f>F172</f>
        <v>145.19999999999999</v>
      </c>
      <c r="G171" s="70"/>
      <c r="H171" s="70">
        <f>H172</f>
        <v>145.19999999999999</v>
      </c>
      <c r="I171" s="70">
        <f>I172</f>
        <v>145.19999999999999</v>
      </c>
      <c r="J171" s="70"/>
      <c r="K171" s="70">
        <f>K172</f>
        <v>145.19999999999999</v>
      </c>
      <c r="L171" s="70">
        <f>L172</f>
        <v>0</v>
      </c>
      <c r="M171" s="70"/>
      <c r="N171" s="70">
        <f>N172</f>
        <v>0</v>
      </c>
    </row>
    <row r="172" spans="1:14" x14ac:dyDescent="0.25">
      <c r="A172" s="92"/>
      <c r="B172" s="92"/>
      <c r="C172" s="6"/>
      <c r="D172" s="6" t="s">
        <v>280</v>
      </c>
      <c r="E172" s="3" t="s">
        <v>281</v>
      </c>
      <c r="F172" s="70">
        <v>145.19999999999999</v>
      </c>
      <c r="G172" s="70"/>
      <c r="H172" s="70">
        <v>145.19999999999999</v>
      </c>
      <c r="I172" s="70">
        <v>145.19999999999999</v>
      </c>
      <c r="J172" s="70"/>
      <c r="K172" s="70">
        <v>145.19999999999999</v>
      </c>
      <c r="L172" s="70">
        <v>0</v>
      </c>
      <c r="M172" s="70"/>
      <c r="N172" s="70">
        <v>0</v>
      </c>
    </row>
    <row r="173" spans="1:14" x14ac:dyDescent="0.25">
      <c r="A173" s="102"/>
      <c r="B173" s="17" t="s">
        <v>596</v>
      </c>
      <c r="C173" s="103"/>
      <c r="D173" s="102"/>
      <c r="E173" s="96" t="s">
        <v>597</v>
      </c>
      <c r="F173" s="74">
        <f t="shared" ref="F173:N173" si="35">F174+F199+F206+F252</f>
        <v>126925.80485000001</v>
      </c>
      <c r="G173" s="74">
        <f t="shared" si="35"/>
        <v>-3044.7</v>
      </c>
      <c r="H173" s="74">
        <f t="shared" si="35"/>
        <v>123881.10485</v>
      </c>
      <c r="I173" s="74">
        <f t="shared" si="35"/>
        <v>114797.45175000001</v>
      </c>
      <c r="J173" s="74">
        <f t="shared" si="35"/>
        <v>5303.9</v>
      </c>
      <c r="K173" s="74">
        <f t="shared" si="35"/>
        <v>120101.35175</v>
      </c>
      <c r="L173" s="74">
        <f t="shared" si="35"/>
        <v>63499.499999999993</v>
      </c>
      <c r="M173" s="74"/>
      <c r="N173" s="74">
        <f t="shared" si="35"/>
        <v>63499.499999999993</v>
      </c>
    </row>
    <row r="174" spans="1:14" x14ac:dyDescent="0.25">
      <c r="A174" s="102"/>
      <c r="B174" s="17" t="s">
        <v>598</v>
      </c>
      <c r="C174" s="103"/>
      <c r="D174" s="17"/>
      <c r="E174" s="123" t="s">
        <v>599</v>
      </c>
      <c r="F174" s="74">
        <f>F175+F195</f>
        <v>519.40000000000009</v>
      </c>
      <c r="G174" s="74"/>
      <c r="H174" s="74">
        <f>H175+H195</f>
        <v>519.40000000000009</v>
      </c>
      <c r="I174" s="74">
        <f>I175+I195</f>
        <v>519.40000000000009</v>
      </c>
      <c r="J174" s="74"/>
      <c r="K174" s="74">
        <f>K175+K195</f>
        <v>519.40000000000009</v>
      </c>
      <c r="L174" s="74">
        <f>L175+L195</f>
        <v>519.40000000000009</v>
      </c>
      <c r="M174" s="74"/>
      <c r="N174" s="74">
        <f>N175+N195</f>
        <v>519.40000000000009</v>
      </c>
    </row>
    <row r="175" spans="1:14" x14ac:dyDescent="0.25">
      <c r="A175" s="102"/>
      <c r="B175" s="17"/>
      <c r="C175" s="103" t="s">
        <v>5</v>
      </c>
      <c r="D175" s="102"/>
      <c r="E175" s="123" t="s">
        <v>6</v>
      </c>
      <c r="F175" s="74">
        <f>F176+F190</f>
        <v>346.6</v>
      </c>
      <c r="G175" s="74"/>
      <c r="H175" s="74">
        <f>H176+H190</f>
        <v>346.6</v>
      </c>
      <c r="I175" s="74">
        <f>I176+I190</f>
        <v>346.6</v>
      </c>
      <c r="J175" s="74"/>
      <c r="K175" s="74">
        <f>K176+K190</f>
        <v>346.6</v>
      </c>
      <c r="L175" s="74">
        <f>L176+L190</f>
        <v>346.6</v>
      </c>
      <c r="M175" s="74"/>
      <c r="N175" s="74">
        <f>N176+N190</f>
        <v>346.6</v>
      </c>
    </row>
    <row r="176" spans="1:14" ht="25.5" x14ac:dyDescent="0.25">
      <c r="A176" s="106"/>
      <c r="B176" s="106"/>
      <c r="C176" s="107" t="s">
        <v>282</v>
      </c>
      <c r="D176" s="106"/>
      <c r="E176" s="108" t="s">
        <v>283</v>
      </c>
      <c r="F176" s="109">
        <f>F177</f>
        <v>233.60000000000002</v>
      </c>
      <c r="G176" s="109"/>
      <c r="H176" s="109">
        <f>H177</f>
        <v>233.60000000000002</v>
      </c>
      <c r="I176" s="109">
        <f>I177</f>
        <v>233.60000000000002</v>
      </c>
      <c r="J176" s="109"/>
      <c r="K176" s="109">
        <f>K177</f>
        <v>233.60000000000002</v>
      </c>
      <c r="L176" s="109">
        <f>L177</f>
        <v>233.60000000000002</v>
      </c>
      <c r="M176" s="109"/>
      <c r="N176" s="109">
        <f>N177</f>
        <v>233.60000000000002</v>
      </c>
    </row>
    <row r="177" spans="1:14" ht="26.25" x14ac:dyDescent="0.25">
      <c r="A177" s="31"/>
      <c r="B177" s="31"/>
      <c r="C177" s="31" t="s">
        <v>449</v>
      </c>
      <c r="D177" s="31"/>
      <c r="E177" s="52" t="s">
        <v>450</v>
      </c>
      <c r="F177" s="75">
        <f>F178+F181</f>
        <v>233.60000000000002</v>
      </c>
      <c r="G177" s="75"/>
      <c r="H177" s="75">
        <f>H178+H181</f>
        <v>233.60000000000002</v>
      </c>
      <c r="I177" s="75">
        <f>I178+I181</f>
        <v>233.60000000000002</v>
      </c>
      <c r="J177" s="75"/>
      <c r="K177" s="75">
        <f>K178+K181</f>
        <v>233.60000000000002</v>
      </c>
      <c r="L177" s="75">
        <f>L178+L181</f>
        <v>233.60000000000002</v>
      </c>
      <c r="M177" s="75"/>
      <c r="N177" s="75">
        <f>N178+N181</f>
        <v>233.60000000000002</v>
      </c>
    </row>
    <row r="178" spans="1:14" x14ac:dyDescent="0.25">
      <c r="A178" s="33"/>
      <c r="B178" s="33"/>
      <c r="C178" s="33" t="s">
        <v>451</v>
      </c>
      <c r="D178" s="33"/>
      <c r="E178" s="20" t="s">
        <v>352</v>
      </c>
      <c r="F178" s="71">
        <f t="shared" ref="F178:N179" si="36">F179</f>
        <v>112.7</v>
      </c>
      <c r="G178" s="71"/>
      <c r="H178" s="71">
        <f t="shared" si="36"/>
        <v>112.7</v>
      </c>
      <c r="I178" s="71">
        <f t="shared" si="36"/>
        <v>112.7</v>
      </c>
      <c r="J178" s="71"/>
      <c r="K178" s="71">
        <f t="shared" si="36"/>
        <v>112.7</v>
      </c>
      <c r="L178" s="71">
        <f t="shared" si="36"/>
        <v>112.7</v>
      </c>
      <c r="M178" s="71"/>
      <c r="N178" s="71">
        <f t="shared" si="36"/>
        <v>112.7</v>
      </c>
    </row>
    <row r="179" spans="1:14" x14ac:dyDescent="0.25">
      <c r="A179" s="6"/>
      <c r="B179" s="6"/>
      <c r="C179" s="6" t="s">
        <v>452</v>
      </c>
      <c r="D179" s="6"/>
      <c r="E179" s="19" t="s">
        <v>284</v>
      </c>
      <c r="F179" s="80">
        <f t="shared" si="36"/>
        <v>112.7</v>
      </c>
      <c r="G179" s="80"/>
      <c r="H179" s="80">
        <f t="shared" si="36"/>
        <v>112.7</v>
      </c>
      <c r="I179" s="80">
        <f t="shared" si="36"/>
        <v>112.7</v>
      </c>
      <c r="J179" s="80"/>
      <c r="K179" s="80">
        <f t="shared" si="36"/>
        <v>112.7</v>
      </c>
      <c r="L179" s="80">
        <f t="shared" si="36"/>
        <v>112.7</v>
      </c>
      <c r="M179" s="80"/>
      <c r="N179" s="80">
        <f t="shared" si="36"/>
        <v>112.7</v>
      </c>
    </row>
    <row r="180" spans="1:14" x14ac:dyDescent="0.25">
      <c r="A180" s="6"/>
      <c r="B180" s="6"/>
      <c r="C180" s="6"/>
      <c r="D180" s="6" t="s">
        <v>280</v>
      </c>
      <c r="E180" s="3" t="s">
        <v>281</v>
      </c>
      <c r="F180" s="80">
        <v>112.7</v>
      </c>
      <c r="G180" s="80"/>
      <c r="H180" s="80">
        <v>112.7</v>
      </c>
      <c r="I180" s="80">
        <v>112.7</v>
      </c>
      <c r="J180" s="80"/>
      <c r="K180" s="80">
        <v>112.7</v>
      </c>
      <c r="L180" s="80">
        <v>112.7</v>
      </c>
      <c r="M180" s="80"/>
      <c r="N180" s="80">
        <v>112.7</v>
      </c>
    </row>
    <row r="181" spans="1:14" x14ac:dyDescent="0.25">
      <c r="A181" s="33"/>
      <c r="B181" s="33"/>
      <c r="C181" s="33" t="s">
        <v>453</v>
      </c>
      <c r="D181" s="33"/>
      <c r="E181" s="20" t="s">
        <v>353</v>
      </c>
      <c r="F181" s="71">
        <f>F182+F184+F186+F188</f>
        <v>120.9</v>
      </c>
      <c r="G181" s="71"/>
      <c r="H181" s="71">
        <f>H182+H184+H186+H188</f>
        <v>120.9</v>
      </c>
      <c r="I181" s="71">
        <f>I182+I184+I186+I188</f>
        <v>120.9</v>
      </c>
      <c r="J181" s="71"/>
      <c r="K181" s="71">
        <f>K182+K184+K186+K188</f>
        <v>120.9</v>
      </c>
      <c r="L181" s="71">
        <f>L182+L184+L186+L188</f>
        <v>120.9</v>
      </c>
      <c r="M181" s="71"/>
      <c r="N181" s="71">
        <f>N182+N184+N186+N188</f>
        <v>120.9</v>
      </c>
    </row>
    <row r="182" spans="1:14" ht="26.25" x14ac:dyDescent="0.25">
      <c r="A182" s="92"/>
      <c r="B182" s="92"/>
      <c r="C182" s="6" t="s">
        <v>454</v>
      </c>
      <c r="D182" s="6"/>
      <c r="E182" s="19" t="s">
        <v>285</v>
      </c>
      <c r="F182" s="80">
        <f>F183</f>
        <v>32.6</v>
      </c>
      <c r="G182" s="80"/>
      <c r="H182" s="80">
        <f>H183</f>
        <v>32.6</v>
      </c>
      <c r="I182" s="80">
        <f>I183</f>
        <v>32.6</v>
      </c>
      <c r="J182" s="80"/>
      <c r="K182" s="80">
        <f>K183</f>
        <v>32.6</v>
      </c>
      <c r="L182" s="80">
        <f>L183</f>
        <v>32.6</v>
      </c>
      <c r="M182" s="80"/>
      <c r="N182" s="80">
        <f>N183</f>
        <v>32.6</v>
      </c>
    </row>
    <row r="183" spans="1:14" x14ac:dyDescent="0.25">
      <c r="A183" s="92"/>
      <c r="B183" s="92"/>
      <c r="C183" s="6"/>
      <c r="D183" s="6" t="s">
        <v>280</v>
      </c>
      <c r="E183" s="3" t="s">
        <v>281</v>
      </c>
      <c r="F183" s="80">
        <v>32.6</v>
      </c>
      <c r="G183" s="80"/>
      <c r="H183" s="80">
        <v>32.6</v>
      </c>
      <c r="I183" s="80">
        <v>32.6</v>
      </c>
      <c r="J183" s="80"/>
      <c r="K183" s="80">
        <v>32.6</v>
      </c>
      <c r="L183" s="80">
        <v>32.6</v>
      </c>
      <c r="M183" s="80"/>
      <c r="N183" s="80">
        <v>32.6</v>
      </c>
    </row>
    <row r="184" spans="1:14" x14ac:dyDescent="0.25">
      <c r="A184" s="92"/>
      <c r="B184" s="92"/>
      <c r="C184" s="6" t="s">
        <v>455</v>
      </c>
      <c r="D184" s="6"/>
      <c r="E184" s="19" t="s">
        <v>286</v>
      </c>
      <c r="F184" s="80">
        <f>F185</f>
        <v>40</v>
      </c>
      <c r="G184" s="80"/>
      <c r="H184" s="80">
        <f>H185</f>
        <v>40</v>
      </c>
      <c r="I184" s="80">
        <f>I185</f>
        <v>40</v>
      </c>
      <c r="J184" s="80"/>
      <c r="K184" s="80">
        <f>K185</f>
        <v>40</v>
      </c>
      <c r="L184" s="80">
        <f>L185</f>
        <v>40</v>
      </c>
      <c r="M184" s="80"/>
      <c r="N184" s="80">
        <f>N185</f>
        <v>40</v>
      </c>
    </row>
    <row r="185" spans="1:14" x14ac:dyDescent="0.25">
      <c r="A185" s="92"/>
      <c r="B185" s="92"/>
      <c r="C185" s="6"/>
      <c r="D185" s="6" t="s">
        <v>280</v>
      </c>
      <c r="E185" s="3" t="s">
        <v>281</v>
      </c>
      <c r="F185" s="80">
        <v>40</v>
      </c>
      <c r="G185" s="80"/>
      <c r="H185" s="80">
        <v>40</v>
      </c>
      <c r="I185" s="80">
        <v>40</v>
      </c>
      <c r="J185" s="80"/>
      <c r="K185" s="80">
        <v>40</v>
      </c>
      <c r="L185" s="80">
        <v>40</v>
      </c>
      <c r="M185" s="80"/>
      <c r="N185" s="80">
        <v>40</v>
      </c>
    </row>
    <row r="186" spans="1:14" x14ac:dyDescent="0.25">
      <c r="A186" s="92"/>
      <c r="B186" s="92"/>
      <c r="C186" s="6" t="s">
        <v>456</v>
      </c>
      <c r="D186" s="6"/>
      <c r="E186" s="19" t="s">
        <v>287</v>
      </c>
      <c r="F186" s="80">
        <f>F187</f>
        <v>25.4</v>
      </c>
      <c r="G186" s="80"/>
      <c r="H186" s="80">
        <f>H187</f>
        <v>25.4</v>
      </c>
      <c r="I186" s="80">
        <f>I187</f>
        <v>25.4</v>
      </c>
      <c r="J186" s="80"/>
      <c r="K186" s="80">
        <f>K187</f>
        <v>25.4</v>
      </c>
      <c r="L186" s="80">
        <f>L187</f>
        <v>25.4</v>
      </c>
      <c r="M186" s="80"/>
      <c r="N186" s="80">
        <f>N187</f>
        <v>25.4</v>
      </c>
    </row>
    <row r="187" spans="1:14" x14ac:dyDescent="0.25">
      <c r="A187" s="92"/>
      <c r="B187" s="92"/>
      <c r="C187" s="6"/>
      <c r="D187" s="6" t="s">
        <v>280</v>
      </c>
      <c r="E187" s="3" t="s">
        <v>281</v>
      </c>
      <c r="F187" s="80">
        <v>25.4</v>
      </c>
      <c r="G187" s="80"/>
      <c r="H187" s="80">
        <v>25.4</v>
      </c>
      <c r="I187" s="80">
        <v>25.4</v>
      </c>
      <c r="J187" s="80"/>
      <c r="K187" s="80">
        <v>25.4</v>
      </c>
      <c r="L187" s="80">
        <v>25.4</v>
      </c>
      <c r="M187" s="80"/>
      <c r="N187" s="80">
        <v>25.4</v>
      </c>
    </row>
    <row r="188" spans="1:14" x14ac:dyDescent="0.25">
      <c r="A188" s="92"/>
      <c r="B188" s="92"/>
      <c r="C188" s="6" t="s">
        <v>457</v>
      </c>
      <c r="D188" s="6"/>
      <c r="E188" s="19" t="s">
        <v>288</v>
      </c>
      <c r="F188" s="80">
        <f>F189</f>
        <v>22.9</v>
      </c>
      <c r="G188" s="80"/>
      <c r="H188" s="80">
        <f>H189</f>
        <v>22.9</v>
      </c>
      <c r="I188" s="80">
        <f>I189</f>
        <v>22.9</v>
      </c>
      <c r="J188" s="80"/>
      <c r="K188" s="80">
        <f>K189</f>
        <v>22.9</v>
      </c>
      <c r="L188" s="80">
        <f>L189</f>
        <v>22.9</v>
      </c>
      <c r="M188" s="80"/>
      <c r="N188" s="80">
        <f>N189</f>
        <v>22.9</v>
      </c>
    </row>
    <row r="189" spans="1:14" x14ac:dyDescent="0.25">
      <c r="A189" s="92"/>
      <c r="B189" s="92"/>
      <c r="C189" s="6"/>
      <c r="D189" s="6" t="s">
        <v>280</v>
      </c>
      <c r="E189" s="3" t="s">
        <v>281</v>
      </c>
      <c r="F189" s="80">
        <v>22.9</v>
      </c>
      <c r="G189" s="80"/>
      <c r="H189" s="80">
        <v>22.9</v>
      </c>
      <c r="I189" s="80">
        <v>22.9</v>
      </c>
      <c r="J189" s="80"/>
      <c r="K189" s="80">
        <v>22.9</v>
      </c>
      <c r="L189" s="80">
        <v>22.9</v>
      </c>
      <c r="M189" s="80"/>
      <c r="N189" s="80">
        <v>22.9</v>
      </c>
    </row>
    <row r="190" spans="1:14" ht="25.5" x14ac:dyDescent="0.25">
      <c r="A190" s="106"/>
      <c r="B190" s="106"/>
      <c r="C190" s="107" t="s">
        <v>289</v>
      </c>
      <c r="D190" s="106"/>
      <c r="E190" s="108" t="s">
        <v>290</v>
      </c>
      <c r="F190" s="109">
        <f t="shared" ref="F190:N193" si="37">F191</f>
        <v>113</v>
      </c>
      <c r="G190" s="109"/>
      <c r="H190" s="109">
        <f t="shared" si="37"/>
        <v>113</v>
      </c>
      <c r="I190" s="109">
        <f t="shared" si="37"/>
        <v>113</v>
      </c>
      <c r="J190" s="109"/>
      <c r="K190" s="109">
        <f t="shared" si="37"/>
        <v>113</v>
      </c>
      <c r="L190" s="109">
        <f t="shared" si="37"/>
        <v>113</v>
      </c>
      <c r="M190" s="109"/>
      <c r="N190" s="109">
        <f t="shared" si="37"/>
        <v>113</v>
      </c>
    </row>
    <row r="191" spans="1:14" ht="26.25" x14ac:dyDescent="0.25">
      <c r="A191" s="31"/>
      <c r="B191" s="31"/>
      <c r="C191" s="31" t="s">
        <v>300</v>
      </c>
      <c r="D191" s="31"/>
      <c r="E191" s="52" t="s">
        <v>301</v>
      </c>
      <c r="F191" s="75">
        <f t="shared" si="37"/>
        <v>113</v>
      </c>
      <c r="G191" s="75"/>
      <c r="H191" s="75">
        <f t="shared" si="37"/>
        <v>113</v>
      </c>
      <c r="I191" s="75">
        <f t="shared" si="37"/>
        <v>113</v>
      </c>
      <c r="J191" s="75"/>
      <c r="K191" s="75">
        <f t="shared" si="37"/>
        <v>113</v>
      </c>
      <c r="L191" s="75">
        <f t="shared" si="37"/>
        <v>113</v>
      </c>
      <c r="M191" s="75"/>
      <c r="N191" s="75">
        <f t="shared" si="37"/>
        <v>113</v>
      </c>
    </row>
    <row r="192" spans="1:14" ht="26.25" x14ac:dyDescent="0.25">
      <c r="A192" s="33"/>
      <c r="B192" s="33"/>
      <c r="C192" s="33" t="s">
        <v>316</v>
      </c>
      <c r="D192" s="36"/>
      <c r="E192" s="20" t="s">
        <v>472</v>
      </c>
      <c r="F192" s="71">
        <f t="shared" si="37"/>
        <v>113</v>
      </c>
      <c r="G192" s="71"/>
      <c r="H192" s="71">
        <f t="shared" si="37"/>
        <v>113</v>
      </c>
      <c r="I192" s="71">
        <f t="shared" si="37"/>
        <v>113</v>
      </c>
      <c r="J192" s="71"/>
      <c r="K192" s="71">
        <f t="shared" si="37"/>
        <v>113</v>
      </c>
      <c r="L192" s="71">
        <f t="shared" si="37"/>
        <v>113</v>
      </c>
      <c r="M192" s="71"/>
      <c r="N192" s="71">
        <f t="shared" si="37"/>
        <v>113</v>
      </c>
    </row>
    <row r="193" spans="1:14" ht="25.5" x14ac:dyDescent="0.25">
      <c r="A193" s="92"/>
      <c r="B193" s="92"/>
      <c r="C193" s="16" t="s">
        <v>511</v>
      </c>
      <c r="D193" s="16"/>
      <c r="E193" s="1" t="s">
        <v>547</v>
      </c>
      <c r="F193" s="80">
        <f>F194</f>
        <v>113</v>
      </c>
      <c r="G193" s="80"/>
      <c r="H193" s="80">
        <f>H194</f>
        <v>113</v>
      </c>
      <c r="I193" s="80">
        <f t="shared" si="37"/>
        <v>113</v>
      </c>
      <c r="J193" s="80"/>
      <c r="K193" s="80">
        <f t="shared" si="37"/>
        <v>113</v>
      </c>
      <c r="L193" s="80">
        <f t="shared" si="37"/>
        <v>113</v>
      </c>
      <c r="M193" s="80"/>
      <c r="N193" s="80">
        <f t="shared" si="37"/>
        <v>113</v>
      </c>
    </row>
    <row r="194" spans="1:14" x14ac:dyDescent="0.25">
      <c r="A194" s="92"/>
      <c r="B194" s="92"/>
      <c r="C194" s="16"/>
      <c r="D194" s="6" t="s">
        <v>280</v>
      </c>
      <c r="E194" s="3" t="s">
        <v>281</v>
      </c>
      <c r="F194" s="80">
        <v>113</v>
      </c>
      <c r="G194" s="80"/>
      <c r="H194" s="80">
        <v>113</v>
      </c>
      <c r="I194" s="80">
        <v>113</v>
      </c>
      <c r="J194" s="80"/>
      <c r="K194" s="80">
        <v>113</v>
      </c>
      <c r="L194" s="80">
        <v>113</v>
      </c>
      <c r="M194" s="80"/>
      <c r="N194" s="80">
        <v>113</v>
      </c>
    </row>
    <row r="195" spans="1:14" x14ac:dyDescent="0.25">
      <c r="A195" s="112"/>
      <c r="B195" s="112"/>
      <c r="C195" s="113" t="s">
        <v>574</v>
      </c>
      <c r="D195" s="114"/>
      <c r="E195" s="136" t="s">
        <v>575</v>
      </c>
      <c r="F195" s="116">
        <f t="shared" ref="F195:N197" si="38">F196</f>
        <v>172.8</v>
      </c>
      <c r="G195" s="116"/>
      <c r="H195" s="116">
        <f t="shared" si="38"/>
        <v>172.8</v>
      </c>
      <c r="I195" s="116">
        <f t="shared" si="38"/>
        <v>172.8</v>
      </c>
      <c r="J195" s="116"/>
      <c r="K195" s="116">
        <f t="shared" si="38"/>
        <v>172.8</v>
      </c>
      <c r="L195" s="116">
        <f t="shared" si="38"/>
        <v>172.8</v>
      </c>
      <c r="M195" s="116"/>
      <c r="N195" s="116">
        <f t="shared" si="38"/>
        <v>172.8</v>
      </c>
    </row>
    <row r="196" spans="1:14" ht="25.5" x14ac:dyDescent="0.25">
      <c r="A196" s="137"/>
      <c r="B196" s="137"/>
      <c r="C196" s="138" t="s">
        <v>401</v>
      </c>
      <c r="D196" s="139"/>
      <c r="E196" s="140" t="s">
        <v>402</v>
      </c>
      <c r="F196" s="141">
        <f t="shared" si="38"/>
        <v>172.8</v>
      </c>
      <c r="G196" s="141"/>
      <c r="H196" s="141">
        <f t="shared" si="38"/>
        <v>172.8</v>
      </c>
      <c r="I196" s="141">
        <f t="shared" si="38"/>
        <v>172.8</v>
      </c>
      <c r="J196" s="141"/>
      <c r="K196" s="141">
        <f t="shared" si="38"/>
        <v>172.8</v>
      </c>
      <c r="L196" s="141">
        <f t="shared" si="38"/>
        <v>172.8</v>
      </c>
      <c r="M196" s="141"/>
      <c r="N196" s="141">
        <f t="shared" si="38"/>
        <v>172.8</v>
      </c>
    </row>
    <row r="197" spans="1:14" x14ac:dyDescent="0.25">
      <c r="A197" s="92"/>
      <c r="B197" s="92"/>
      <c r="C197" s="6" t="s">
        <v>417</v>
      </c>
      <c r="D197" s="6"/>
      <c r="E197" s="8" t="s">
        <v>418</v>
      </c>
      <c r="F197" s="70">
        <f t="shared" si="38"/>
        <v>172.8</v>
      </c>
      <c r="G197" s="70"/>
      <c r="H197" s="70">
        <f t="shared" si="38"/>
        <v>172.8</v>
      </c>
      <c r="I197" s="70">
        <f t="shared" si="38"/>
        <v>172.8</v>
      </c>
      <c r="J197" s="70"/>
      <c r="K197" s="70">
        <f t="shared" si="38"/>
        <v>172.8</v>
      </c>
      <c r="L197" s="70">
        <f t="shared" si="38"/>
        <v>172.8</v>
      </c>
      <c r="M197" s="70"/>
      <c r="N197" s="70">
        <f t="shared" si="38"/>
        <v>172.8</v>
      </c>
    </row>
    <row r="198" spans="1:14" x14ac:dyDescent="0.25">
      <c r="A198" s="92"/>
      <c r="B198" s="92"/>
      <c r="C198" s="6"/>
      <c r="D198" s="6" t="s">
        <v>280</v>
      </c>
      <c r="E198" s="3" t="s">
        <v>281</v>
      </c>
      <c r="F198" s="70">
        <v>172.8</v>
      </c>
      <c r="G198" s="70"/>
      <c r="H198" s="70">
        <v>172.8</v>
      </c>
      <c r="I198" s="70">
        <v>172.8</v>
      </c>
      <c r="J198" s="70"/>
      <c r="K198" s="70">
        <v>172.8</v>
      </c>
      <c r="L198" s="70">
        <v>172.8</v>
      </c>
      <c r="M198" s="70"/>
      <c r="N198" s="70">
        <v>172.8</v>
      </c>
    </row>
    <row r="199" spans="1:14" x14ac:dyDescent="0.25">
      <c r="A199" s="102"/>
      <c r="B199" s="17" t="s">
        <v>600</v>
      </c>
      <c r="C199" s="103"/>
      <c r="D199" s="102"/>
      <c r="E199" s="96" t="s">
        <v>601</v>
      </c>
      <c r="F199" s="124">
        <f t="shared" ref="F199:L199" si="39">F201</f>
        <v>3807.2</v>
      </c>
      <c r="G199" s="124">
        <f t="shared" si="39"/>
        <v>439.9</v>
      </c>
      <c r="H199" s="124">
        <f t="shared" si="39"/>
        <v>4247.1000000000004</v>
      </c>
      <c r="I199" s="124">
        <f t="shared" si="39"/>
        <v>3807.2</v>
      </c>
      <c r="J199" s="124">
        <f t="shared" si="39"/>
        <v>660.7</v>
      </c>
      <c r="K199" s="124">
        <f t="shared" si="39"/>
        <v>4467.8999999999996</v>
      </c>
      <c r="L199" s="124">
        <f t="shared" si="39"/>
        <v>0</v>
      </c>
      <c r="M199" s="124"/>
      <c r="N199" s="124">
        <f>N201</f>
        <v>0</v>
      </c>
    </row>
    <row r="200" spans="1:14" x14ac:dyDescent="0.25">
      <c r="A200" s="102"/>
      <c r="B200" s="17"/>
      <c r="C200" s="103" t="s">
        <v>5</v>
      </c>
      <c r="D200" s="102"/>
      <c r="E200" s="123" t="s">
        <v>6</v>
      </c>
      <c r="F200" s="124">
        <f t="shared" ref="F200:N201" si="40">F201</f>
        <v>3807.2</v>
      </c>
      <c r="G200" s="124">
        <f t="shared" si="40"/>
        <v>439.9</v>
      </c>
      <c r="H200" s="124">
        <f t="shared" si="40"/>
        <v>4247.1000000000004</v>
      </c>
      <c r="I200" s="124">
        <f t="shared" si="40"/>
        <v>3807.2</v>
      </c>
      <c r="J200" s="124">
        <f t="shared" si="40"/>
        <v>660.7</v>
      </c>
      <c r="K200" s="124">
        <f t="shared" si="40"/>
        <v>4467.8999999999996</v>
      </c>
      <c r="L200" s="124">
        <f t="shared" si="40"/>
        <v>0</v>
      </c>
      <c r="M200" s="124"/>
      <c r="N200" s="124">
        <f t="shared" si="40"/>
        <v>0</v>
      </c>
    </row>
    <row r="201" spans="1:14" ht="25.5" x14ac:dyDescent="0.25">
      <c r="A201" s="106"/>
      <c r="B201" s="106"/>
      <c r="C201" s="107" t="s">
        <v>328</v>
      </c>
      <c r="D201" s="106"/>
      <c r="E201" s="108" t="s">
        <v>329</v>
      </c>
      <c r="F201" s="109">
        <f t="shared" si="40"/>
        <v>3807.2</v>
      </c>
      <c r="G201" s="109">
        <f t="shared" si="40"/>
        <v>439.9</v>
      </c>
      <c r="H201" s="109">
        <f t="shared" si="40"/>
        <v>4247.1000000000004</v>
      </c>
      <c r="I201" s="109">
        <f t="shared" si="40"/>
        <v>3807.2</v>
      </c>
      <c r="J201" s="109">
        <f t="shared" si="40"/>
        <v>660.7</v>
      </c>
      <c r="K201" s="109">
        <f t="shared" si="40"/>
        <v>4467.8999999999996</v>
      </c>
      <c r="L201" s="109">
        <f t="shared" si="40"/>
        <v>0</v>
      </c>
      <c r="M201" s="109"/>
      <c r="N201" s="109">
        <f t="shared" si="40"/>
        <v>0</v>
      </c>
    </row>
    <row r="202" spans="1:14" ht="26.25" x14ac:dyDescent="0.25">
      <c r="A202" s="31"/>
      <c r="B202" s="31"/>
      <c r="C202" s="31" t="s">
        <v>341</v>
      </c>
      <c r="D202" s="31"/>
      <c r="E202" s="32" t="s">
        <v>342</v>
      </c>
      <c r="F202" s="75">
        <f t="shared" ref="F202:N204" si="41">F203</f>
        <v>3807.2</v>
      </c>
      <c r="G202" s="75">
        <f t="shared" si="41"/>
        <v>439.9</v>
      </c>
      <c r="H202" s="75">
        <f t="shared" si="41"/>
        <v>4247.1000000000004</v>
      </c>
      <c r="I202" s="75">
        <f t="shared" si="41"/>
        <v>3807.2</v>
      </c>
      <c r="J202" s="75">
        <f t="shared" si="41"/>
        <v>660.7</v>
      </c>
      <c r="K202" s="75">
        <f t="shared" si="41"/>
        <v>4467.8999999999996</v>
      </c>
      <c r="L202" s="75">
        <f t="shared" si="41"/>
        <v>0</v>
      </c>
      <c r="M202" s="75"/>
      <c r="N202" s="75">
        <f t="shared" si="41"/>
        <v>0</v>
      </c>
    </row>
    <row r="203" spans="1:14" ht="26.25" x14ac:dyDescent="0.25">
      <c r="A203" s="33"/>
      <c r="B203" s="33"/>
      <c r="C203" s="33" t="s">
        <v>343</v>
      </c>
      <c r="D203" s="33"/>
      <c r="E203" s="34" t="s">
        <v>344</v>
      </c>
      <c r="F203" s="71">
        <f t="shared" si="41"/>
        <v>3807.2</v>
      </c>
      <c r="G203" s="71">
        <f t="shared" si="41"/>
        <v>439.9</v>
      </c>
      <c r="H203" s="71">
        <f t="shared" si="41"/>
        <v>4247.1000000000004</v>
      </c>
      <c r="I203" s="71">
        <f t="shared" si="41"/>
        <v>3807.2</v>
      </c>
      <c r="J203" s="71">
        <f t="shared" si="41"/>
        <v>660.7</v>
      </c>
      <c r="K203" s="71">
        <f t="shared" si="41"/>
        <v>4467.8999999999996</v>
      </c>
      <c r="L203" s="71">
        <f t="shared" si="41"/>
        <v>0</v>
      </c>
      <c r="M203" s="71"/>
      <c r="N203" s="71">
        <f t="shared" si="41"/>
        <v>0</v>
      </c>
    </row>
    <row r="204" spans="1:14" ht="26.25" x14ac:dyDescent="0.25">
      <c r="A204" s="92"/>
      <c r="B204" s="92"/>
      <c r="C204" s="6" t="s">
        <v>345</v>
      </c>
      <c r="D204" s="12"/>
      <c r="E204" s="3" t="s">
        <v>346</v>
      </c>
      <c r="F204" s="70">
        <f>F205</f>
        <v>3807.2</v>
      </c>
      <c r="G204" s="70">
        <f>G205</f>
        <v>439.9</v>
      </c>
      <c r="H204" s="70">
        <f>H205</f>
        <v>4247.1000000000004</v>
      </c>
      <c r="I204" s="70">
        <f t="shared" si="41"/>
        <v>3807.2</v>
      </c>
      <c r="J204" s="70">
        <f t="shared" si="41"/>
        <v>660.7</v>
      </c>
      <c r="K204" s="70">
        <f t="shared" si="41"/>
        <v>4467.8999999999996</v>
      </c>
      <c r="L204" s="70">
        <f t="shared" si="41"/>
        <v>0</v>
      </c>
      <c r="M204" s="70"/>
      <c r="N204" s="70">
        <f t="shared" si="41"/>
        <v>0</v>
      </c>
    </row>
    <row r="205" spans="1:14" x14ac:dyDescent="0.25">
      <c r="A205" s="92"/>
      <c r="B205" s="92"/>
      <c r="C205" s="6"/>
      <c r="D205" s="6" t="s">
        <v>280</v>
      </c>
      <c r="E205" s="3" t="s">
        <v>281</v>
      </c>
      <c r="F205" s="70">
        <v>3807.2</v>
      </c>
      <c r="G205" s="70">
        <v>439.9</v>
      </c>
      <c r="H205" s="70">
        <v>4247.1000000000004</v>
      </c>
      <c r="I205" s="70">
        <f>3959.5-152.3</f>
        <v>3807.2</v>
      </c>
      <c r="J205" s="70">
        <v>660.7</v>
      </c>
      <c r="K205" s="70">
        <v>4467.8999999999996</v>
      </c>
      <c r="L205" s="70">
        <v>0</v>
      </c>
      <c r="M205" s="70"/>
      <c r="N205" s="70">
        <v>0</v>
      </c>
    </row>
    <row r="206" spans="1:14" x14ac:dyDescent="0.25">
      <c r="A206" s="68"/>
      <c r="B206" s="17" t="s">
        <v>602</v>
      </c>
      <c r="C206" s="103"/>
      <c r="D206" s="102"/>
      <c r="E206" s="96" t="s">
        <v>603</v>
      </c>
      <c r="F206" s="124">
        <f t="shared" ref="F206:N207" si="42">F207</f>
        <v>108964.38245</v>
      </c>
      <c r="G206" s="124">
        <f t="shared" si="42"/>
        <v>509.8</v>
      </c>
      <c r="H206" s="124">
        <f t="shared" si="42"/>
        <v>109474.18245000001</v>
      </c>
      <c r="I206" s="124">
        <f t="shared" si="42"/>
        <v>104452.15175</v>
      </c>
      <c r="J206" s="124"/>
      <c r="K206" s="124">
        <f t="shared" si="42"/>
        <v>104452.15175</v>
      </c>
      <c r="L206" s="124">
        <f t="shared" si="42"/>
        <v>58326.899999999994</v>
      </c>
      <c r="M206" s="124"/>
      <c r="N206" s="124">
        <f t="shared" si="42"/>
        <v>58326.899999999994</v>
      </c>
    </row>
    <row r="207" spans="1:14" x14ac:dyDescent="0.25">
      <c r="A207" s="68"/>
      <c r="B207" s="17"/>
      <c r="C207" s="103" t="s">
        <v>5</v>
      </c>
      <c r="D207" s="102"/>
      <c r="E207" s="123" t="s">
        <v>6</v>
      </c>
      <c r="F207" s="124">
        <f t="shared" si="42"/>
        <v>108964.38245</v>
      </c>
      <c r="G207" s="124">
        <f t="shared" si="42"/>
        <v>509.8</v>
      </c>
      <c r="H207" s="124">
        <f t="shared" si="42"/>
        <v>109474.18245000001</v>
      </c>
      <c r="I207" s="124">
        <f t="shared" si="42"/>
        <v>104452.15175</v>
      </c>
      <c r="J207" s="124"/>
      <c r="K207" s="124">
        <f t="shared" si="42"/>
        <v>104452.15175</v>
      </c>
      <c r="L207" s="124">
        <f t="shared" si="42"/>
        <v>58326.899999999994</v>
      </c>
      <c r="M207" s="124"/>
      <c r="N207" s="124">
        <f t="shared" si="42"/>
        <v>58326.899999999994</v>
      </c>
    </row>
    <row r="208" spans="1:14" ht="25.5" x14ac:dyDescent="0.25">
      <c r="A208" s="106"/>
      <c r="B208" s="106"/>
      <c r="C208" s="107" t="s">
        <v>328</v>
      </c>
      <c r="D208" s="106"/>
      <c r="E208" s="108" t="s">
        <v>329</v>
      </c>
      <c r="F208" s="109">
        <f>F209+F239</f>
        <v>108964.38245</v>
      </c>
      <c r="G208" s="109">
        <f>G209+G239</f>
        <v>509.8</v>
      </c>
      <c r="H208" s="109">
        <f>H209+H239</f>
        <v>109474.18245000001</v>
      </c>
      <c r="I208" s="109">
        <f>I209+I239</f>
        <v>104452.15175</v>
      </c>
      <c r="J208" s="109"/>
      <c r="K208" s="109">
        <f>K209+K239</f>
        <v>104452.15175</v>
      </c>
      <c r="L208" s="109">
        <f>L209+L239</f>
        <v>58326.899999999994</v>
      </c>
      <c r="M208" s="109"/>
      <c r="N208" s="109">
        <f>N209+N239</f>
        <v>58326.899999999994</v>
      </c>
    </row>
    <row r="209" spans="1:14" ht="26.25" x14ac:dyDescent="0.25">
      <c r="A209" s="31"/>
      <c r="B209" s="31"/>
      <c r="C209" s="31" t="s">
        <v>330</v>
      </c>
      <c r="D209" s="31"/>
      <c r="E209" s="32" t="s">
        <v>331</v>
      </c>
      <c r="F209" s="75">
        <f>F210+F213+F218+F221+F230+F233</f>
        <v>103480.07</v>
      </c>
      <c r="G209" s="75">
        <f t="shared" ref="G209:N209" si="43">G210+G213+G218+G221+G230+G233</f>
        <v>509.8</v>
      </c>
      <c r="H209" s="75">
        <f t="shared" si="43"/>
        <v>103989.87000000001</v>
      </c>
      <c r="I209" s="75">
        <f t="shared" si="43"/>
        <v>104452.15175</v>
      </c>
      <c r="J209" s="75"/>
      <c r="K209" s="75">
        <f t="shared" si="43"/>
        <v>104452.15175</v>
      </c>
      <c r="L209" s="75">
        <f t="shared" si="43"/>
        <v>58326.899999999994</v>
      </c>
      <c r="M209" s="75"/>
      <c r="N209" s="75">
        <f t="shared" si="43"/>
        <v>58326.899999999994</v>
      </c>
    </row>
    <row r="210" spans="1:14" x14ac:dyDescent="0.25">
      <c r="A210" s="33"/>
      <c r="B210" s="33"/>
      <c r="C210" s="33" t="s">
        <v>332</v>
      </c>
      <c r="D210" s="33"/>
      <c r="E210" s="34" t="s">
        <v>333</v>
      </c>
      <c r="F210" s="71">
        <f>F211</f>
        <v>516</v>
      </c>
      <c r="G210" s="71"/>
      <c r="H210" s="71">
        <f>H211</f>
        <v>516</v>
      </c>
      <c r="I210" s="71">
        <f>I211</f>
        <v>516</v>
      </c>
      <c r="J210" s="71"/>
      <c r="K210" s="71">
        <f>K211</f>
        <v>516</v>
      </c>
      <c r="L210" s="71">
        <f>L211</f>
        <v>0</v>
      </c>
      <c r="M210" s="71"/>
      <c r="N210" s="71">
        <f>N211</f>
        <v>0</v>
      </c>
    </row>
    <row r="211" spans="1:14" ht="26.25" x14ac:dyDescent="0.25">
      <c r="A211" s="6"/>
      <c r="B211" s="6"/>
      <c r="C211" s="6" t="s">
        <v>334</v>
      </c>
      <c r="D211" s="12"/>
      <c r="E211" s="3" t="s">
        <v>553</v>
      </c>
      <c r="F211" s="70">
        <f>SUM(F212)</f>
        <v>516</v>
      </c>
      <c r="G211" s="70"/>
      <c r="H211" s="70">
        <f>SUM(H212)</f>
        <v>516</v>
      </c>
      <c r="I211" s="70">
        <f>SUM(I212)</f>
        <v>516</v>
      </c>
      <c r="J211" s="70"/>
      <c r="K211" s="70">
        <f>SUM(K212)</f>
        <v>516</v>
      </c>
      <c r="L211" s="70">
        <f>SUM(L212)</f>
        <v>0</v>
      </c>
      <c r="M211" s="70"/>
      <c r="N211" s="70">
        <f>SUM(N212)</f>
        <v>0</v>
      </c>
    </row>
    <row r="212" spans="1:14" x14ac:dyDescent="0.25">
      <c r="A212" s="6"/>
      <c r="B212" s="6"/>
      <c r="C212" s="6"/>
      <c r="D212" s="6" t="s">
        <v>280</v>
      </c>
      <c r="E212" s="3" t="s">
        <v>281</v>
      </c>
      <c r="F212" s="70">
        <v>516</v>
      </c>
      <c r="G212" s="70"/>
      <c r="H212" s="70">
        <v>516</v>
      </c>
      <c r="I212" s="70">
        <v>516</v>
      </c>
      <c r="J212" s="70"/>
      <c r="K212" s="70">
        <v>516</v>
      </c>
      <c r="L212" s="70">
        <v>0</v>
      </c>
      <c r="M212" s="70"/>
      <c r="N212" s="70">
        <v>0</v>
      </c>
    </row>
    <row r="213" spans="1:14" x14ac:dyDescent="0.25">
      <c r="A213" s="33"/>
      <c r="B213" s="33"/>
      <c r="C213" s="33" t="s">
        <v>851</v>
      </c>
      <c r="D213" s="33"/>
      <c r="E213" s="34" t="s">
        <v>852</v>
      </c>
      <c r="F213" s="71">
        <f>F214+F216</f>
        <v>3220.5</v>
      </c>
      <c r="G213" s="71">
        <f>G214+G216</f>
        <v>0</v>
      </c>
      <c r="H213" s="71">
        <f>H214+H216</f>
        <v>3220.5</v>
      </c>
      <c r="I213" s="71">
        <f>I214</f>
        <v>0</v>
      </c>
      <c r="J213" s="71"/>
      <c r="K213" s="71">
        <f>K214</f>
        <v>0</v>
      </c>
      <c r="L213" s="71">
        <f>L214</f>
        <v>0</v>
      </c>
      <c r="M213" s="71"/>
      <c r="N213" s="71">
        <f>N214</f>
        <v>0</v>
      </c>
    </row>
    <row r="214" spans="1:14" ht="26.25" x14ac:dyDescent="0.25">
      <c r="A214" s="6"/>
      <c r="B214" s="6"/>
      <c r="C214" s="6" t="s">
        <v>853</v>
      </c>
      <c r="D214" s="12"/>
      <c r="E214" s="3" t="s">
        <v>854</v>
      </c>
      <c r="F214" s="70">
        <f>F215</f>
        <v>3150</v>
      </c>
      <c r="G214" s="70"/>
      <c r="H214" s="70">
        <f>SUM(H215)</f>
        <v>3150</v>
      </c>
      <c r="I214" s="70">
        <f>SUM(I215)</f>
        <v>0</v>
      </c>
      <c r="J214" s="70"/>
      <c r="K214" s="70">
        <f>SUM(K215)</f>
        <v>0</v>
      </c>
      <c r="L214" s="70">
        <f>SUM(L215)</f>
        <v>0</v>
      </c>
      <c r="M214" s="70"/>
      <c r="N214" s="70">
        <f>SUM(N215)</f>
        <v>0</v>
      </c>
    </row>
    <row r="215" spans="1:14" x14ac:dyDescent="0.25">
      <c r="A215" s="6"/>
      <c r="B215" s="6"/>
      <c r="C215" s="6"/>
      <c r="D215" s="6" t="s">
        <v>280</v>
      </c>
      <c r="E215" s="3" t="s">
        <v>281</v>
      </c>
      <c r="F215" s="70">
        <v>3150</v>
      </c>
      <c r="G215" s="70"/>
      <c r="H215" s="70">
        <v>3150</v>
      </c>
      <c r="I215" s="70">
        <v>0</v>
      </c>
      <c r="J215" s="70"/>
      <c r="K215" s="70">
        <v>0</v>
      </c>
      <c r="L215" s="70">
        <v>0</v>
      </c>
      <c r="M215" s="70"/>
      <c r="N215" s="70">
        <v>0</v>
      </c>
    </row>
    <row r="216" spans="1:14" ht="39" x14ac:dyDescent="0.25">
      <c r="A216" s="6"/>
      <c r="B216" s="6"/>
      <c r="C216" s="6" t="s">
        <v>874</v>
      </c>
      <c r="D216" s="6"/>
      <c r="E216" s="3" t="s">
        <v>875</v>
      </c>
      <c r="F216" s="70">
        <v>70.5</v>
      </c>
      <c r="G216" s="70"/>
      <c r="H216" s="70">
        <f>H217</f>
        <v>70.5</v>
      </c>
      <c r="I216" s="70"/>
      <c r="J216" s="70"/>
      <c r="K216" s="70">
        <v>0</v>
      </c>
      <c r="L216" s="70"/>
      <c r="M216" s="70"/>
      <c r="N216" s="70">
        <v>0</v>
      </c>
    </row>
    <row r="217" spans="1:14" x14ac:dyDescent="0.25">
      <c r="A217" s="6"/>
      <c r="B217" s="6"/>
      <c r="C217" s="6"/>
      <c r="D217" s="6" t="s">
        <v>280</v>
      </c>
      <c r="E217" s="3" t="s">
        <v>281</v>
      </c>
      <c r="F217" s="70">
        <v>70.5</v>
      </c>
      <c r="G217" s="70"/>
      <c r="H217" s="70">
        <v>70.5</v>
      </c>
      <c r="I217" s="70"/>
      <c r="J217" s="70"/>
      <c r="K217" s="70">
        <v>0</v>
      </c>
      <c r="L217" s="70"/>
      <c r="M217" s="70"/>
      <c r="N217" s="70">
        <v>0</v>
      </c>
    </row>
    <row r="218" spans="1:14" ht="26.25" x14ac:dyDescent="0.25">
      <c r="A218" s="33"/>
      <c r="B218" s="33"/>
      <c r="C218" s="33" t="s">
        <v>862</v>
      </c>
      <c r="D218" s="33"/>
      <c r="E218" s="34" t="s">
        <v>861</v>
      </c>
      <c r="F218" s="71">
        <f>F219</f>
        <v>974.9</v>
      </c>
      <c r="G218" s="71"/>
      <c r="H218" s="71">
        <f>H219</f>
        <v>974.9</v>
      </c>
      <c r="I218" s="71">
        <f>I219</f>
        <v>0</v>
      </c>
      <c r="J218" s="71"/>
      <c r="K218" s="71">
        <f>K219</f>
        <v>0</v>
      </c>
      <c r="L218" s="71">
        <f>L219</f>
        <v>0</v>
      </c>
      <c r="M218" s="71"/>
      <c r="N218" s="71">
        <f>N219</f>
        <v>0</v>
      </c>
    </row>
    <row r="219" spans="1:14" ht="25.5" x14ac:dyDescent="0.25">
      <c r="A219" s="6"/>
      <c r="B219" s="6"/>
      <c r="C219" s="4" t="s">
        <v>863</v>
      </c>
      <c r="D219" s="4"/>
      <c r="E219" s="5" t="s">
        <v>864</v>
      </c>
      <c r="F219" s="70">
        <f>F220</f>
        <v>974.9</v>
      </c>
      <c r="G219" s="70"/>
      <c r="H219" s="70">
        <f>SUM(H220)</f>
        <v>974.9</v>
      </c>
      <c r="I219" s="70">
        <f>SUM(I220)</f>
        <v>0</v>
      </c>
      <c r="J219" s="70"/>
      <c r="K219" s="70">
        <f>SUM(K220)</f>
        <v>0</v>
      </c>
      <c r="L219" s="70">
        <f>SUM(L220)</f>
        <v>0</v>
      </c>
      <c r="M219" s="70"/>
      <c r="N219" s="70">
        <f>SUM(N220)</f>
        <v>0</v>
      </c>
    </row>
    <row r="220" spans="1:14" x14ac:dyDescent="0.25">
      <c r="A220" s="6"/>
      <c r="B220" s="6"/>
      <c r="C220" s="6"/>
      <c r="D220" s="6" t="s">
        <v>280</v>
      </c>
      <c r="E220" s="3" t="s">
        <v>281</v>
      </c>
      <c r="F220" s="70">
        <v>974.9</v>
      </c>
      <c r="G220" s="70"/>
      <c r="H220" s="70">
        <v>974.9</v>
      </c>
      <c r="I220" s="70">
        <v>0</v>
      </c>
      <c r="J220" s="70"/>
      <c r="K220" s="70">
        <v>0</v>
      </c>
      <c r="L220" s="70">
        <v>0</v>
      </c>
      <c r="M220" s="70"/>
      <c r="N220" s="70">
        <v>0</v>
      </c>
    </row>
    <row r="221" spans="1:14" ht="26.25" x14ac:dyDescent="0.25">
      <c r="A221" s="33"/>
      <c r="B221" s="33"/>
      <c r="C221" s="33" t="s">
        <v>335</v>
      </c>
      <c r="D221" s="33"/>
      <c r="E221" s="34" t="s">
        <v>336</v>
      </c>
      <c r="F221" s="71">
        <f>F222+F226+F228</f>
        <v>34696</v>
      </c>
      <c r="G221" s="71">
        <f>G222+G226+G228</f>
        <v>0</v>
      </c>
      <c r="H221" s="71">
        <f>H222+H226+H228</f>
        <v>34696</v>
      </c>
      <c r="I221" s="71">
        <f>I222+I226+I228</f>
        <v>30690.3</v>
      </c>
      <c r="J221" s="71"/>
      <c r="K221" s="71">
        <f>K222+K226+K228</f>
        <v>30690.3</v>
      </c>
      <c r="L221" s="71">
        <f>L222+L226+L228</f>
        <v>29030.1</v>
      </c>
      <c r="M221" s="71"/>
      <c r="N221" s="71">
        <f>N222+N226+N228</f>
        <v>29030.1</v>
      </c>
    </row>
    <row r="222" spans="1:14" x14ac:dyDescent="0.25">
      <c r="A222" s="6"/>
      <c r="B222" s="6"/>
      <c r="C222" s="6" t="s">
        <v>337</v>
      </c>
      <c r="D222" s="12"/>
      <c r="E222" s="3" t="s">
        <v>554</v>
      </c>
      <c r="F222" s="70">
        <f>F224+F225</f>
        <v>29008.6</v>
      </c>
      <c r="G222" s="70"/>
      <c r="H222" s="70">
        <f>H224+H225</f>
        <v>29008.6</v>
      </c>
      <c r="I222" s="70">
        <f>I224+I225</f>
        <v>29030.1</v>
      </c>
      <c r="J222" s="70"/>
      <c r="K222" s="70">
        <f>K224+K225</f>
        <v>29030.1</v>
      </c>
      <c r="L222" s="70">
        <f>L224+L225</f>
        <v>29030.1</v>
      </c>
      <c r="M222" s="70"/>
      <c r="N222" s="70">
        <f>N224+N225</f>
        <v>29030.1</v>
      </c>
    </row>
    <row r="223" spans="1:14" x14ac:dyDescent="0.25">
      <c r="A223" s="6"/>
      <c r="B223" s="6"/>
      <c r="C223" s="6"/>
      <c r="D223" s="6" t="s">
        <v>280</v>
      </c>
      <c r="E223" s="3" t="s">
        <v>281</v>
      </c>
      <c r="F223" s="70">
        <f>SUM(F224+F225)</f>
        <v>29008.6</v>
      </c>
      <c r="G223" s="70"/>
      <c r="H223" s="70">
        <f>SUM(H224+H225)</f>
        <v>29008.6</v>
      </c>
      <c r="I223" s="70">
        <f>SUM(I224+I225)</f>
        <v>29030.1</v>
      </c>
      <c r="J223" s="70"/>
      <c r="K223" s="70">
        <f>SUM(K224+K225)</f>
        <v>29030.1</v>
      </c>
      <c r="L223" s="70">
        <f>SUM(L224+L225)</f>
        <v>29030.1</v>
      </c>
      <c r="M223" s="70"/>
      <c r="N223" s="70">
        <f>SUM(N224+N225)</f>
        <v>29030.1</v>
      </c>
    </row>
    <row r="224" spans="1:14" x14ac:dyDescent="0.25">
      <c r="A224" s="6"/>
      <c r="B224" s="6"/>
      <c r="C224" s="6"/>
      <c r="D224" s="6"/>
      <c r="E224" s="3" t="s">
        <v>83</v>
      </c>
      <c r="F224" s="70">
        <v>26107.599999999999</v>
      </c>
      <c r="G224" s="70"/>
      <c r="H224" s="70">
        <v>26107.599999999999</v>
      </c>
      <c r="I224" s="70">
        <v>26127.1</v>
      </c>
      <c r="J224" s="70"/>
      <c r="K224" s="70">
        <v>26127.1</v>
      </c>
      <c r="L224" s="70">
        <v>26127.1</v>
      </c>
      <c r="M224" s="70"/>
      <c r="N224" s="70">
        <v>26127.1</v>
      </c>
    </row>
    <row r="225" spans="1:14" x14ac:dyDescent="0.25">
      <c r="A225" s="6"/>
      <c r="B225" s="6"/>
      <c r="C225" s="6"/>
      <c r="D225" s="6"/>
      <c r="E225" s="3" t="s">
        <v>150</v>
      </c>
      <c r="F225" s="70">
        <v>2901</v>
      </c>
      <c r="G225" s="70"/>
      <c r="H225" s="70">
        <v>2901</v>
      </c>
      <c r="I225" s="70">
        <v>2903</v>
      </c>
      <c r="J225" s="70"/>
      <c r="K225" s="70">
        <v>2903</v>
      </c>
      <c r="L225" s="70">
        <v>2903</v>
      </c>
      <c r="M225" s="70"/>
      <c r="N225" s="70">
        <v>2903</v>
      </c>
    </row>
    <row r="226" spans="1:14" x14ac:dyDescent="0.25">
      <c r="A226" s="6"/>
      <c r="B226" s="6"/>
      <c r="C226" s="6" t="s">
        <v>460</v>
      </c>
      <c r="D226" s="12"/>
      <c r="E226" s="3" t="s">
        <v>555</v>
      </c>
      <c r="F226" s="70">
        <v>4287.5</v>
      </c>
      <c r="G226" s="70"/>
      <c r="H226" s="70">
        <f>H227</f>
        <v>4287.5</v>
      </c>
      <c r="I226" s="70">
        <f>I227</f>
        <v>0</v>
      </c>
      <c r="J226" s="70"/>
      <c r="K226" s="70">
        <f>K227</f>
        <v>0</v>
      </c>
      <c r="L226" s="70">
        <f>L227</f>
        <v>0</v>
      </c>
      <c r="M226" s="70"/>
      <c r="N226" s="70">
        <f>N227</f>
        <v>0</v>
      </c>
    </row>
    <row r="227" spans="1:14" x14ac:dyDescent="0.25">
      <c r="A227" s="6"/>
      <c r="B227" s="6"/>
      <c r="C227" s="6"/>
      <c r="D227" s="6" t="s">
        <v>280</v>
      </c>
      <c r="E227" s="3" t="s">
        <v>281</v>
      </c>
      <c r="F227" s="70">
        <v>4287.5</v>
      </c>
      <c r="G227" s="70"/>
      <c r="H227" s="70">
        <v>4287.5</v>
      </c>
      <c r="I227" s="70">
        <v>0</v>
      </c>
      <c r="J227" s="70"/>
      <c r="K227" s="70">
        <v>0</v>
      </c>
      <c r="L227" s="70">
        <v>0</v>
      </c>
      <c r="M227" s="70"/>
      <c r="N227" s="70">
        <v>0</v>
      </c>
    </row>
    <row r="228" spans="1:14" x14ac:dyDescent="0.25">
      <c r="A228" s="6"/>
      <c r="B228" s="6"/>
      <c r="C228" s="6" t="s">
        <v>338</v>
      </c>
      <c r="D228" s="12"/>
      <c r="E228" s="3" t="s">
        <v>686</v>
      </c>
      <c r="F228" s="70">
        <v>1399.9</v>
      </c>
      <c r="G228" s="70"/>
      <c r="H228" s="70">
        <f>H229</f>
        <v>1399.9</v>
      </c>
      <c r="I228" s="70">
        <f>I229</f>
        <v>1660.2</v>
      </c>
      <c r="J228" s="70"/>
      <c r="K228" s="70">
        <f>K229</f>
        <v>1660.2</v>
      </c>
      <c r="L228" s="70">
        <f>L229</f>
        <v>0</v>
      </c>
      <c r="M228" s="70"/>
      <c r="N228" s="70">
        <f>N229</f>
        <v>0</v>
      </c>
    </row>
    <row r="229" spans="1:14" x14ac:dyDescent="0.25">
      <c r="A229" s="4"/>
      <c r="B229" s="4"/>
      <c r="C229" s="4"/>
      <c r="D229" s="6" t="s">
        <v>280</v>
      </c>
      <c r="E229" s="3" t="s">
        <v>281</v>
      </c>
      <c r="F229" s="70">
        <v>1399.9</v>
      </c>
      <c r="G229" s="70"/>
      <c r="H229" s="70">
        <f>SUM(F229:G229)</f>
        <v>1399.9</v>
      </c>
      <c r="I229" s="70">
        <v>1660.2</v>
      </c>
      <c r="J229" s="70"/>
      <c r="K229" s="70">
        <v>1660.2</v>
      </c>
      <c r="L229" s="70">
        <v>0</v>
      </c>
      <c r="M229" s="70"/>
      <c r="N229" s="70">
        <v>0</v>
      </c>
    </row>
    <row r="230" spans="1:14" x14ac:dyDescent="0.25">
      <c r="A230" s="33"/>
      <c r="B230" s="33"/>
      <c r="C230" s="33" t="s">
        <v>339</v>
      </c>
      <c r="D230" s="33"/>
      <c r="E230" s="34" t="s">
        <v>687</v>
      </c>
      <c r="F230" s="71">
        <f>F231</f>
        <v>22207.9</v>
      </c>
      <c r="G230" s="71">
        <f>G231</f>
        <v>509.8</v>
      </c>
      <c r="H230" s="71">
        <f>H231</f>
        <v>22717.7</v>
      </c>
      <c r="I230" s="71">
        <f>I231</f>
        <v>23096.2</v>
      </c>
      <c r="J230" s="71"/>
      <c r="K230" s="71">
        <f>K231</f>
        <v>23096.2</v>
      </c>
      <c r="L230" s="71">
        <f>L231</f>
        <v>29296.799999999996</v>
      </c>
      <c r="M230" s="71"/>
      <c r="N230" s="71">
        <f>N231</f>
        <v>29296.799999999996</v>
      </c>
    </row>
    <row r="231" spans="1:14" ht="26.25" x14ac:dyDescent="0.25">
      <c r="A231" s="6"/>
      <c r="B231" s="6"/>
      <c r="C231" s="6" t="s">
        <v>340</v>
      </c>
      <c r="D231" s="12"/>
      <c r="E231" s="3" t="s">
        <v>688</v>
      </c>
      <c r="F231" s="70">
        <v>22207.9</v>
      </c>
      <c r="G231" s="70">
        <v>509.8</v>
      </c>
      <c r="H231" s="70">
        <f>H232</f>
        <v>22717.7</v>
      </c>
      <c r="I231" s="70">
        <v>23096.2</v>
      </c>
      <c r="J231" s="70"/>
      <c r="K231" s="70">
        <v>23096.2</v>
      </c>
      <c r="L231" s="70">
        <f>34650.2-5353.4</f>
        <v>29296.799999999996</v>
      </c>
      <c r="M231" s="70"/>
      <c r="N231" s="70">
        <f>34650.2-5353.4</f>
        <v>29296.799999999996</v>
      </c>
    </row>
    <row r="232" spans="1:14" x14ac:dyDescent="0.25">
      <c r="A232" s="6"/>
      <c r="B232" s="6"/>
      <c r="C232" s="6"/>
      <c r="D232" s="6" t="s">
        <v>280</v>
      </c>
      <c r="E232" s="3" t="s">
        <v>281</v>
      </c>
      <c r="F232" s="70">
        <v>22207.9</v>
      </c>
      <c r="G232" s="70">
        <v>509.8</v>
      </c>
      <c r="H232" s="70">
        <f>SUM(F232:G232)</f>
        <v>22717.7</v>
      </c>
      <c r="I232" s="70">
        <v>23096.2</v>
      </c>
      <c r="J232" s="70"/>
      <c r="K232" s="70">
        <v>23096.2</v>
      </c>
      <c r="L232" s="70">
        <f>34650.2-5353.4</f>
        <v>29296.799999999996</v>
      </c>
      <c r="M232" s="70"/>
      <c r="N232" s="70">
        <f>34650.2-5353.4</f>
        <v>29296.799999999996</v>
      </c>
    </row>
    <row r="233" spans="1:14" ht="26.25" x14ac:dyDescent="0.25">
      <c r="A233" s="33"/>
      <c r="B233" s="33"/>
      <c r="C233" s="33" t="s">
        <v>512</v>
      </c>
      <c r="D233" s="33"/>
      <c r="E233" s="34" t="s">
        <v>513</v>
      </c>
      <c r="F233" s="71">
        <f>F234</f>
        <v>41864.770000000004</v>
      </c>
      <c r="G233" s="71"/>
      <c r="H233" s="71">
        <f>H234</f>
        <v>41864.770000000004</v>
      </c>
      <c r="I233" s="71">
        <f>I234</f>
        <v>50149.651750000005</v>
      </c>
      <c r="J233" s="71"/>
      <c r="K233" s="71">
        <f>K234</f>
        <v>50149.651750000005</v>
      </c>
      <c r="L233" s="71">
        <v>0</v>
      </c>
      <c r="M233" s="71"/>
      <c r="N233" s="71">
        <v>0</v>
      </c>
    </row>
    <row r="234" spans="1:14" x14ac:dyDescent="0.25">
      <c r="A234" s="6"/>
      <c r="B234" s="6"/>
      <c r="C234" s="6" t="s">
        <v>514</v>
      </c>
      <c r="D234" s="6"/>
      <c r="E234" s="3" t="s">
        <v>515</v>
      </c>
      <c r="F234" s="70">
        <f>F235</f>
        <v>41864.770000000004</v>
      </c>
      <c r="G234" s="70"/>
      <c r="H234" s="70">
        <f>H235</f>
        <v>41864.770000000004</v>
      </c>
      <c r="I234" s="70">
        <f>I235</f>
        <v>50149.651750000005</v>
      </c>
      <c r="J234" s="70"/>
      <c r="K234" s="70">
        <f>K235</f>
        <v>50149.651750000005</v>
      </c>
      <c r="L234" s="70">
        <v>0</v>
      </c>
      <c r="M234" s="70"/>
      <c r="N234" s="70">
        <v>0</v>
      </c>
    </row>
    <row r="235" spans="1:14" x14ac:dyDescent="0.25">
      <c r="A235" s="6"/>
      <c r="B235" s="6"/>
      <c r="C235" s="6"/>
      <c r="D235" s="6" t="s">
        <v>280</v>
      </c>
      <c r="E235" s="3" t="s">
        <v>281</v>
      </c>
      <c r="F235" s="70">
        <f>F236+F237+F238</f>
        <v>41864.770000000004</v>
      </c>
      <c r="G235" s="70"/>
      <c r="H235" s="70">
        <f>H236+H237+H238</f>
        <v>41864.770000000004</v>
      </c>
      <c r="I235" s="70">
        <f>I236+I237+I238</f>
        <v>50149.651750000005</v>
      </c>
      <c r="J235" s="70"/>
      <c r="K235" s="70">
        <f>K236+K237+K238</f>
        <v>50149.651750000005</v>
      </c>
      <c r="L235" s="70">
        <v>0</v>
      </c>
      <c r="M235" s="70"/>
      <c r="N235" s="70">
        <v>0</v>
      </c>
    </row>
    <row r="236" spans="1:14" x14ac:dyDescent="0.25">
      <c r="A236" s="6"/>
      <c r="B236" s="6"/>
      <c r="C236" s="6"/>
      <c r="D236" s="6"/>
      <c r="E236" s="3" t="s">
        <v>187</v>
      </c>
      <c r="F236" s="70">
        <v>39572.673840000003</v>
      </c>
      <c r="G236" s="70"/>
      <c r="H236" s="70">
        <v>39572.673840000003</v>
      </c>
      <c r="I236" s="70">
        <v>47403.956680000003</v>
      </c>
      <c r="J236" s="70"/>
      <c r="K236" s="70">
        <v>47403.956680000003</v>
      </c>
      <c r="L236" s="70">
        <v>0</v>
      </c>
      <c r="M236" s="70"/>
      <c r="N236" s="70">
        <v>0</v>
      </c>
    </row>
    <row r="237" spans="1:14" x14ac:dyDescent="0.25">
      <c r="A237" s="6"/>
      <c r="B237" s="6"/>
      <c r="C237" s="6"/>
      <c r="D237" s="6"/>
      <c r="E237" s="3" t="s">
        <v>185</v>
      </c>
      <c r="F237" s="70">
        <v>2082.7723099999998</v>
      </c>
      <c r="G237" s="70"/>
      <c r="H237" s="70">
        <v>2082.7723099999998</v>
      </c>
      <c r="I237" s="70">
        <v>2494.9450700000002</v>
      </c>
      <c r="J237" s="70"/>
      <c r="K237" s="70">
        <v>2494.9450700000002</v>
      </c>
      <c r="L237" s="70">
        <v>0</v>
      </c>
      <c r="M237" s="70"/>
      <c r="N237" s="70">
        <v>0</v>
      </c>
    </row>
    <row r="238" spans="1:14" x14ac:dyDescent="0.25">
      <c r="A238" s="6"/>
      <c r="B238" s="6"/>
      <c r="C238" s="6"/>
      <c r="D238" s="6"/>
      <c r="E238" s="3" t="s">
        <v>150</v>
      </c>
      <c r="F238" s="70">
        <v>209.32384999999999</v>
      </c>
      <c r="G238" s="70"/>
      <c r="H238" s="70">
        <v>209.32384999999999</v>
      </c>
      <c r="I238" s="70">
        <v>250.75</v>
      </c>
      <c r="J238" s="70"/>
      <c r="K238" s="70">
        <v>250.75</v>
      </c>
      <c r="L238" s="70">
        <v>0</v>
      </c>
      <c r="M238" s="70"/>
      <c r="N238" s="70">
        <v>0</v>
      </c>
    </row>
    <row r="239" spans="1:14" ht="26.25" x14ac:dyDescent="0.25">
      <c r="A239" s="31"/>
      <c r="B239" s="31"/>
      <c r="C239" s="31" t="s">
        <v>347</v>
      </c>
      <c r="D239" s="31"/>
      <c r="E239" s="32" t="s">
        <v>348</v>
      </c>
      <c r="F239" s="75">
        <f>F240+F247</f>
        <v>5484.3124499999994</v>
      </c>
      <c r="G239" s="75"/>
      <c r="H239" s="75">
        <f>H240+H247</f>
        <v>5484.3124499999994</v>
      </c>
      <c r="I239" s="75">
        <f t="shared" ref="I239:N241" si="44">I240</f>
        <v>0</v>
      </c>
      <c r="J239" s="75"/>
      <c r="K239" s="75">
        <f t="shared" si="44"/>
        <v>0</v>
      </c>
      <c r="L239" s="75">
        <f t="shared" si="44"/>
        <v>0</v>
      </c>
      <c r="M239" s="75"/>
      <c r="N239" s="75">
        <f t="shared" si="44"/>
        <v>0</v>
      </c>
    </row>
    <row r="240" spans="1:14" ht="26.25" x14ac:dyDescent="0.25">
      <c r="A240" s="33"/>
      <c r="B240" s="33"/>
      <c r="C240" s="33" t="s">
        <v>349</v>
      </c>
      <c r="D240" s="33"/>
      <c r="E240" s="56" t="s">
        <v>551</v>
      </c>
      <c r="F240" s="71">
        <f>F241+F243</f>
        <v>4642.9124499999998</v>
      </c>
      <c r="G240" s="71"/>
      <c r="H240" s="71">
        <f>H241+H243</f>
        <v>4642.9124499999998</v>
      </c>
      <c r="I240" s="71">
        <f t="shared" si="44"/>
        <v>0</v>
      </c>
      <c r="J240" s="71"/>
      <c r="K240" s="71">
        <f t="shared" si="44"/>
        <v>0</v>
      </c>
      <c r="L240" s="71">
        <f t="shared" si="44"/>
        <v>0</v>
      </c>
      <c r="M240" s="71"/>
      <c r="N240" s="71">
        <f t="shared" si="44"/>
        <v>0</v>
      </c>
    </row>
    <row r="241" spans="1:14" ht="26.25" x14ac:dyDescent="0.25">
      <c r="A241" s="92"/>
      <c r="B241" s="92"/>
      <c r="C241" s="6" t="s">
        <v>350</v>
      </c>
      <c r="D241" s="6"/>
      <c r="E241" s="9" t="s">
        <v>799</v>
      </c>
      <c r="F241" s="70">
        <f>F242</f>
        <v>1663.8</v>
      </c>
      <c r="G241" s="70"/>
      <c r="H241" s="70">
        <f>H242</f>
        <v>1663.8</v>
      </c>
      <c r="I241" s="70">
        <f t="shared" si="44"/>
        <v>0</v>
      </c>
      <c r="J241" s="70"/>
      <c r="K241" s="70">
        <f t="shared" si="44"/>
        <v>0</v>
      </c>
      <c r="L241" s="70">
        <f t="shared" si="44"/>
        <v>0</v>
      </c>
      <c r="M241" s="70"/>
      <c r="N241" s="70">
        <f t="shared" si="44"/>
        <v>0</v>
      </c>
    </row>
    <row r="242" spans="1:14" x14ac:dyDescent="0.25">
      <c r="A242" s="92"/>
      <c r="B242" s="92"/>
      <c r="C242" s="6"/>
      <c r="D242" s="6" t="s">
        <v>280</v>
      </c>
      <c r="E242" s="3" t="s">
        <v>281</v>
      </c>
      <c r="F242" s="70">
        <v>1663.8</v>
      </c>
      <c r="G242" s="70"/>
      <c r="H242" s="70">
        <v>1663.8</v>
      </c>
      <c r="I242" s="70">
        <v>0</v>
      </c>
      <c r="J242" s="70"/>
      <c r="K242" s="70">
        <v>0</v>
      </c>
      <c r="L242" s="70">
        <v>0</v>
      </c>
      <c r="M242" s="70"/>
      <c r="N242" s="70">
        <v>0</v>
      </c>
    </row>
    <row r="243" spans="1:14" ht="26.25" x14ac:dyDescent="0.25">
      <c r="A243" s="92"/>
      <c r="B243" s="92"/>
      <c r="C243" s="6" t="s">
        <v>794</v>
      </c>
      <c r="D243" s="6"/>
      <c r="E243" s="3" t="s">
        <v>795</v>
      </c>
      <c r="F243" s="70">
        <f>F244</f>
        <v>2979.1124500000001</v>
      </c>
      <c r="G243" s="70"/>
      <c r="H243" s="70">
        <f>H244</f>
        <v>2979.1124500000001</v>
      </c>
      <c r="I243" s="70">
        <v>0</v>
      </c>
      <c r="J243" s="70"/>
      <c r="K243" s="70">
        <v>0</v>
      </c>
      <c r="L243" s="70">
        <v>0</v>
      </c>
      <c r="M243" s="70"/>
      <c r="N243" s="70">
        <v>0</v>
      </c>
    </row>
    <row r="244" spans="1:14" x14ac:dyDescent="0.25">
      <c r="A244" s="92"/>
      <c r="B244" s="92"/>
      <c r="C244" s="6"/>
      <c r="D244" s="6" t="s">
        <v>280</v>
      </c>
      <c r="E244" s="3" t="s">
        <v>281</v>
      </c>
      <c r="F244" s="70">
        <f>F245+F246</f>
        <v>2979.1124500000001</v>
      </c>
      <c r="G244" s="70"/>
      <c r="H244" s="70">
        <f>H245+H246</f>
        <v>2979.1124500000001</v>
      </c>
      <c r="I244" s="70">
        <v>0</v>
      </c>
      <c r="J244" s="70"/>
      <c r="K244" s="70">
        <v>0</v>
      </c>
      <c r="L244" s="70">
        <v>0</v>
      </c>
      <c r="M244" s="70"/>
      <c r="N244" s="70">
        <v>0</v>
      </c>
    </row>
    <row r="245" spans="1:14" x14ac:dyDescent="0.25">
      <c r="A245" s="92"/>
      <c r="B245" s="92"/>
      <c r="C245" s="6"/>
      <c r="D245" s="6"/>
      <c r="E245" s="3" t="s">
        <v>185</v>
      </c>
      <c r="F245" s="70">
        <v>2681.2012</v>
      </c>
      <c r="G245" s="70"/>
      <c r="H245" s="70">
        <v>2681.2012</v>
      </c>
      <c r="I245" s="70">
        <v>0</v>
      </c>
      <c r="J245" s="70"/>
      <c r="K245" s="70">
        <v>0</v>
      </c>
      <c r="L245" s="70">
        <v>0</v>
      </c>
      <c r="M245" s="70"/>
      <c r="N245" s="70">
        <v>0</v>
      </c>
    </row>
    <row r="246" spans="1:14" x14ac:dyDescent="0.25">
      <c r="A246" s="92"/>
      <c r="B246" s="92"/>
      <c r="C246" s="6"/>
      <c r="D246" s="6"/>
      <c r="E246" s="3" t="s">
        <v>150</v>
      </c>
      <c r="F246" s="70">
        <v>297.91125</v>
      </c>
      <c r="G246" s="70"/>
      <c r="H246" s="70">
        <v>297.91125</v>
      </c>
      <c r="I246" s="70">
        <v>0</v>
      </c>
      <c r="J246" s="70"/>
      <c r="K246" s="70">
        <v>0</v>
      </c>
      <c r="L246" s="70">
        <v>0</v>
      </c>
      <c r="M246" s="70"/>
      <c r="N246" s="70">
        <v>0</v>
      </c>
    </row>
    <row r="247" spans="1:14" ht="26.25" x14ac:dyDescent="0.25">
      <c r="A247" s="33"/>
      <c r="B247" s="33"/>
      <c r="C247" s="33" t="s">
        <v>516</v>
      </c>
      <c r="D247" s="33"/>
      <c r="E247" s="56" t="s">
        <v>497</v>
      </c>
      <c r="F247" s="71">
        <f>F248+F250</f>
        <v>841.4</v>
      </c>
      <c r="G247" s="71"/>
      <c r="H247" s="71">
        <f>H248+H250</f>
        <v>841.4</v>
      </c>
      <c r="I247" s="71">
        <f>I248</f>
        <v>0</v>
      </c>
      <c r="J247" s="71"/>
      <c r="K247" s="71">
        <f>K248</f>
        <v>0</v>
      </c>
      <c r="L247" s="71">
        <f>L248</f>
        <v>0</v>
      </c>
      <c r="M247" s="71"/>
      <c r="N247" s="71">
        <f>N248</f>
        <v>0</v>
      </c>
    </row>
    <row r="248" spans="1:14" x14ac:dyDescent="0.25">
      <c r="A248" s="92"/>
      <c r="B248" s="92"/>
      <c r="C248" s="6" t="s">
        <v>517</v>
      </c>
      <c r="D248" s="6"/>
      <c r="E248" s="9" t="s">
        <v>498</v>
      </c>
      <c r="F248" s="70">
        <f>F249</f>
        <v>361.7</v>
      </c>
      <c r="G248" s="70"/>
      <c r="H248" s="70">
        <f>H249</f>
        <v>361.7</v>
      </c>
      <c r="I248" s="70">
        <f>I249</f>
        <v>0</v>
      </c>
      <c r="J248" s="70"/>
      <c r="K248" s="70">
        <f>K249</f>
        <v>0</v>
      </c>
      <c r="L248" s="70">
        <f>L249</f>
        <v>0</v>
      </c>
      <c r="M248" s="70"/>
      <c r="N248" s="70">
        <f>N249</f>
        <v>0</v>
      </c>
    </row>
    <row r="249" spans="1:14" x14ac:dyDescent="0.25">
      <c r="A249" s="92"/>
      <c r="B249" s="92"/>
      <c r="C249" s="6"/>
      <c r="D249" s="6" t="s">
        <v>280</v>
      </c>
      <c r="E249" s="3" t="s">
        <v>281</v>
      </c>
      <c r="F249" s="70">
        <v>361.7</v>
      </c>
      <c r="G249" s="70"/>
      <c r="H249" s="70">
        <v>361.7</v>
      </c>
      <c r="I249" s="70">
        <v>0</v>
      </c>
      <c r="J249" s="70"/>
      <c r="K249" s="70">
        <v>0</v>
      </c>
      <c r="L249" s="70">
        <v>0</v>
      </c>
      <c r="M249" s="70"/>
      <c r="N249" s="70">
        <v>0</v>
      </c>
    </row>
    <row r="250" spans="1:14" ht="26.25" x14ac:dyDescent="0.25">
      <c r="A250" s="92"/>
      <c r="B250" s="92"/>
      <c r="C250" s="6" t="s">
        <v>518</v>
      </c>
      <c r="D250" s="6"/>
      <c r="E250" s="9" t="s">
        <v>499</v>
      </c>
      <c r="F250" s="70">
        <f>F251</f>
        <v>479.7</v>
      </c>
      <c r="G250" s="70"/>
      <c r="H250" s="70">
        <f>H251</f>
        <v>479.7</v>
      </c>
      <c r="I250" s="70">
        <f>I251</f>
        <v>0</v>
      </c>
      <c r="J250" s="70"/>
      <c r="K250" s="70">
        <f>K251</f>
        <v>0</v>
      </c>
      <c r="L250" s="70">
        <f>L251</f>
        <v>0</v>
      </c>
      <c r="M250" s="70"/>
      <c r="N250" s="70">
        <f>N251</f>
        <v>0</v>
      </c>
    </row>
    <row r="251" spans="1:14" x14ac:dyDescent="0.25">
      <c r="A251" s="92"/>
      <c r="B251" s="92"/>
      <c r="C251" s="6"/>
      <c r="D251" s="6" t="s">
        <v>280</v>
      </c>
      <c r="E251" s="3" t="s">
        <v>281</v>
      </c>
      <c r="F251" s="70">
        <v>479.7</v>
      </c>
      <c r="G251" s="70"/>
      <c r="H251" s="70">
        <v>479.7</v>
      </c>
      <c r="I251" s="70">
        <v>0</v>
      </c>
      <c r="J251" s="70"/>
      <c r="K251" s="70">
        <v>0</v>
      </c>
      <c r="L251" s="70">
        <v>0</v>
      </c>
      <c r="M251" s="70"/>
      <c r="N251" s="70">
        <v>0</v>
      </c>
    </row>
    <row r="252" spans="1:14" x14ac:dyDescent="0.25">
      <c r="A252" s="92"/>
      <c r="B252" s="17" t="s">
        <v>604</v>
      </c>
      <c r="C252" s="122"/>
      <c r="D252" s="68"/>
      <c r="E252" s="96" t="s">
        <v>605</v>
      </c>
      <c r="F252" s="74">
        <f t="shared" ref="F252:N252" si="45">F253+F280</f>
        <v>13634.822400000001</v>
      </c>
      <c r="G252" s="74">
        <f t="shared" ref="G252" si="46">G253+G280</f>
        <v>-3994.4</v>
      </c>
      <c r="H252" s="74">
        <f t="shared" si="45"/>
        <v>9640.4223999999995</v>
      </c>
      <c r="I252" s="74">
        <f t="shared" si="45"/>
        <v>6018.7000000000007</v>
      </c>
      <c r="J252" s="74">
        <f t="shared" si="45"/>
        <v>4643.2</v>
      </c>
      <c r="K252" s="74">
        <f t="shared" si="45"/>
        <v>10661.9</v>
      </c>
      <c r="L252" s="74">
        <f t="shared" si="45"/>
        <v>4653.2</v>
      </c>
      <c r="M252" s="74"/>
      <c r="N252" s="74">
        <f t="shared" si="45"/>
        <v>4653.2</v>
      </c>
    </row>
    <row r="253" spans="1:14" x14ac:dyDescent="0.25">
      <c r="A253" s="92"/>
      <c r="B253" s="17"/>
      <c r="C253" s="103" t="s">
        <v>5</v>
      </c>
      <c r="D253" s="102"/>
      <c r="E253" s="123" t="s">
        <v>6</v>
      </c>
      <c r="F253" s="74">
        <f t="shared" ref="F253:L253" si="47">F254+F261+F268</f>
        <v>10964.022400000002</v>
      </c>
      <c r="G253" s="74">
        <f t="shared" si="47"/>
        <v>-3910.9</v>
      </c>
      <c r="H253" s="74">
        <f t="shared" si="47"/>
        <v>7053.1224000000002</v>
      </c>
      <c r="I253" s="74">
        <f t="shared" si="47"/>
        <v>2638.6000000000004</v>
      </c>
      <c r="J253" s="74">
        <f t="shared" si="47"/>
        <v>4643.2</v>
      </c>
      <c r="K253" s="74">
        <f t="shared" si="47"/>
        <v>7281.8</v>
      </c>
      <c r="L253" s="74">
        <f t="shared" si="47"/>
        <v>1273.0999999999999</v>
      </c>
      <c r="M253" s="74"/>
      <c r="N253" s="74">
        <f>N254+N261+N268</f>
        <v>1273.0999999999999</v>
      </c>
    </row>
    <row r="254" spans="1:14" s="47" customFormat="1" ht="25.5" x14ac:dyDescent="0.25">
      <c r="A254" s="106"/>
      <c r="B254" s="106"/>
      <c r="C254" s="107" t="s">
        <v>200</v>
      </c>
      <c r="D254" s="106"/>
      <c r="E254" s="108" t="s">
        <v>201</v>
      </c>
      <c r="F254" s="109">
        <f t="shared" ref="F254:L254" si="48">F255+F258</f>
        <v>5002.8</v>
      </c>
      <c r="G254" s="109">
        <f t="shared" si="48"/>
        <v>-3880.9</v>
      </c>
      <c r="H254" s="109">
        <f t="shared" si="48"/>
        <v>1121.9000000000001</v>
      </c>
      <c r="I254" s="109">
        <f t="shared" si="48"/>
        <v>1182.4000000000001</v>
      </c>
      <c r="J254" s="109">
        <f t="shared" si="48"/>
        <v>4643.2</v>
      </c>
      <c r="K254" s="109">
        <f t="shared" si="48"/>
        <v>5825.6</v>
      </c>
      <c r="L254" s="109">
        <f t="shared" si="48"/>
        <v>1229.5999999999999</v>
      </c>
      <c r="M254" s="109"/>
      <c r="N254" s="109">
        <f>N255+N258</f>
        <v>1229.5999999999999</v>
      </c>
    </row>
    <row r="255" spans="1:14" ht="26.25" x14ac:dyDescent="0.25">
      <c r="A255" s="33"/>
      <c r="B255" s="33"/>
      <c r="C255" s="33" t="s">
        <v>202</v>
      </c>
      <c r="D255" s="33"/>
      <c r="E255" s="34" t="s">
        <v>873</v>
      </c>
      <c r="F255" s="71">
        <f t="shared" ref="F255:N256" si="49">F256</f>
        <v>1121.9000000000001</v>
      </c>
      <c r="G255" s="71"/>
      <c r="H255" s="71">
        <f t="shared" si="49"/>
        <v>1121.9000000000001</v>
      </c>
      <c r="I255" s="71">
        <f t="shared" si="49"/>
        <v>1182.4000000000001</v>
      </c>
      <c r="J255" s="71"/>
      <c r="K255" s="71">
        <f t="shared" si="49"/>
        <v>1182.4000000000001</v>
      </c>
      <c r="L255" s="71">
        <f t="shared" si="49"/>
        <v>1229.5999999999999</v>
      </c>
      <c r="M255" s="71"/>
      <c r="N255" s="71">
        <f t="shared" si="49"/>
        <v>1229.5999999999999</v>
      </c>
    </row>
    <row r="256" spans="1:14" ht="25.5" x14ac:dyDescent="0.25">
      <c r="A256" s="92"/>
      <c r="B256" s="92"/>
      <c r="C256" s="6" t="s">
        <v>203</v>
      </c>
      <c r="D256" s="6"/>
      <c r="E256" s="23" t="s">
        <v>536</v>
      </c>
      <c r="F256" s="70">
        <f t="shared" si="49"/>
        <v>1121.9000000000001</v>
      </c>
      <c r="G256" s="70"/>
      <c r="H256" s="70">
        <f t="shared" si="49"/>
        <v>1121.9000000000001</v>
      </c>
      <c r="I256" s="70">
        <f t="shared" si="49"/>
        <v>1182.4000000000001</v>
      </c>
      <c r="J256" s="70"/>
      <c r="K256" s="70">
        <f t="shared" si="49"/>
        <v>1182.4000000000001</v>
      </c>
      <c r="L256" s="70">
        <f t="shared" si="49"/>
        <v>1229.5999999999999</v>
      </c>
      <c r="M256" s="70"/>
      <c r="N256" s="70">
        <f t="shared" si="49"/>
        <v>1229.5999999999999</v>
      </c>
    </row>
    <row r="257" spans="1:14" x14ac:dyDescent="0.25">
      <c r="A257" s="92"/>
      <c r="B257" s="92"/>
      <c r="C257" s="6"/>
      <c r="D257" s="6" t="s">
        <v>280</v>
      </c>
      <c r="E257" s="3" t="s">
        <v>281</v>
      </c>
      <c r="F257" s="70">
        <f>864.2+257.7</f>
        <v>1121.9000000000001</v>
      </c>
      <c r="G257" s="70"/>
      <c r="H257" s="70">
        <f>864.2+257.7</f>
        <v>1121.9000000000001</v>
      </c>
      <c r="I257" s="70">
        <f>914.4+268</f>
        <v>1182.4000000000001</v>
      </c>
      <c r="J257" s="70"/>
      <c r="K257" s="70">
        <f>914.4+268</f>
        <v>1182.4000000000001</v>
      </c>
      <c r="L257" s="70">
        <f>950.9+278.7</f>
        <v>1229.5999999999999</v>
      </c>
      <c r="M257" s="70"/>
      <c r="N257" s="70">
        <f>950.9+278.7</f>
        <v>1229.5999999999999</v>
      </c>
    </row>
    <row r="258" spans="1:14" ht="26.25" x14ac:dyDescent="0.25">
      <c r="A258" s="152"/>
      <c r="B258" s="152"/>
      <c r="C258" s="33" t="s">
        <v>538</v>
      </c>
      <c r="D258" s="33"/>
      <c r="E258" s="34" t="s">
        <v>541</v>
      </c>
      <c r="F258" s="71">
        <f t="shared" ref="F258:N259" si="50">F259</f>
        <v>3880.9</v>
      </c>
      <c r="G258" s="71">
        <f t="shared" si="50"/>
        <v>-3880.9</v>
      </c>
      <c r="H258" s="71">
        <f t="shared" si="50"/>
        <v>0</v>
      </c>
      <c r="I258" s="71">
        <f t="shared" si="50"/>
        <v>0</v>
      </c>
      <c r="J258" s="71">
        <f t="shared" si="50"/>
        <v>4643.2</v>
      </c>
      <c r="K258" s="71">
        <f t="shared" si="50"/>
        <v>4643.2</v>
      </c>
      <c r="L258" s="71">
        <f t="shared" si="50"/>
        <v>0</v>
      </c>
      <c r="M258" s="71"/>
      <c r="N258" s="71">
        <f t="shared" si="50"/>
        <v>0</v>
      </c>
    </row>
    <row r="259" spans="1:14" x14ac:dyDescent="0.25">
      <c r="A259" s="92"/>
      <c r="B259" s="92"/>
      <c r="C259" s="6" t="s">
        <v>539</v>
      </c>
      <c r="D259" s="6"/>
      <c r="E259" s="13" t="s">
        <v>667</v>
      </c>
      <c r="F259" s="70">
        <f t="shared" si="50"/>
        <v>3880.9</v>
      </c>
      <c r="G259" s="70">
        <f t="shared" si="50"/>
        <v>-3880.9</v>
      </c>
      <c r="H259" s="70">
        <f t="shared" si="50"/>
        <v>0</v>
      </c>
      <c r="I259" s="70">
        <f t="shared" si="50"/>
        <v>0</v>
      </c>
      <c r="J259" s="70">
        <f t="shared" si="50"/>
        <v>4643.2</v>
      </c>
      <c r="K259" s="70">
        <f t="shared" si="50"/>
        <v>4643.2</v>
      </c>
      <c r="L259" s="70">
        <f t="shared" si="50"/>
        <v>0</v>
      </c>
      <c r="M259" s="70"/>
      <c r="N259" s="70">
        <f t="shared" si="50"/>
        <v>0</v>
      </c>
    </row>
    <row r="260" spans="1:14" ht="26.25" x14ac:dyDescent="0.25">
      <c r="A260" s="92"/>
      <c r="B260" s="92"/>
      <c r="C260" s="6"/>
      <c r="D260" s="6" t="s">
        <v>298</v>
      </c>
      <c r="E260" s="3" t="s">
        <v>299</v>
      </c>
      <c r="F260" s="80">
        <v>3880.9</v>
      </c>
      <c r="G260" s="80">
        <v>-3880.9</v>
      </c>
      <c r="H260" s="80">
        <v>0</v>
      </c>
      <c r="I260" s="80">
        <v>0</v>
      </c>
      <c r="J260" s="80">
        <v>4643.2</v>
      </c>
      <c r="K260" s="80">
        <v>4643.2</v>
      </c>
      <c r="L260" s="80">
        <v>0</v>
      </c>
      <c r="M260" s="80"/>
      <c r="N260" s="80">
        <v>0</v>
      </c>
    </row>
    <row r="261" spans="1:14" ht="25.5" x14ac:dyDescent="0.25">
      <c r="A261" s="106"/>
      <c r="B261" s="106"/>
      <c r="C261" s="107" t="s">
        <v>282</v>
      </c>
      <c r="D261" s="106"/>
      <c r="E261" s="108" t="s">
        <v>283</v>
      </c>
      <c r="F261" s="109">
        <f>F262</f>
        <v>43.5</v>
      </c>
      <c r="G261" s="109">
        <f>G262</f>
        <v>-30</v>
      </c>
      <c r="H261" s="109">
        <f>H262</f>
        <v>13.5</v>
      </c>
      <c r="I261" s="109">
        <f>I262</f>
        <v>43.5</v>
      </c>
      <c r="J261" s="109"/>
      <c r="K261" s="109">
        <f>K262</f>
        <v>43.5</v>
      </c>
      <c r="L261" s="109">
        <f>L262</f>
        <v>43.5</v>
      </c>
      <c r="M261" s="109"/>
      <c r="N261" s="109">
        <f>N262</f>
        <v>43.5</v>
      </c>
    </row>
    <row r="262" spans="1:14" ht="26.25" x14ac:dyDescent="0.25">
      <c r="A262" s="31"/>
      <c r="B262" s="31"/>
      <c r="C262" s="31" t="s">
        <v>447</v>
      </c>
      <c r="D262" s="31"/>
      <c r="E262" s="52" t="s">
        <v>448</v>
      </c>
      <c r="F262" s="75">
        <f>F263</f>
        <v>43.5</v>
      </c>
      <c r="G262" s="75">
        <f>G263</f>
        <v>-30</v>
      </c>
      <c r="H262" s="75">
        <f>H263</f>
        <v>13.5</v>
      </c>
      <c r="I262" s="75">
        <f t="shared" ref="I262:N262" si="51">I263</f>
        <v>43.5</v>
      </c>
      <c r="J262" s="75"/>
      <c r="K262" s="75">
        <f t="shared" si="51"/>
        <v>43.5</v>
      </c>
      <c r="L262" s="75">
        <f t="shared" si="51"/>
        <v>43.5</v>
      </c>
      <c r="M262" s="75"/>
      <c r="N262" s="75">
        <f t="shared" si="51"/>
        <v>43.5</v>
      </c>
    </row>
    <row r="263" spans="1:14" ht="26.25" x14ac:dyDescent="0.25">
      <c r="A263" s="33"/>
      <c r="B263" s="33"/>
      <c r="C263" s="33" t="s">
        <v>507</v>
      </c>
      <c r="D263" s="36"/>
      <c r="E263" s="20" t="s">
        <v>500</v>
      </c>
      <c r="F263" s="71">
        <f>F264+F266</f>
        <v>43.5</v>
      </c>
      <c r="G263" s="71">
        <f>G264+G266</f>
        <v>-30</v>
      </c>
      <c r="H263" s="71">
        <f>H264+H266</f>
        <v>13.5</v>
      </c>
      <c r="I263" s="71">
        <f>I264+I266</f>
        <v>43.5</v>
      </c>
      <c r="J263" s="71"/>
      <c r="K263" s="71">
        <f>K264+K266</f>
        <v>43.5</v>
      </c>
      <c r="L263" s="71">
        <f>L264+L266</f>
        <v>43.5</v>
      </c>
      <c r="M263" s="71"/>
      <c r="N263" s="71">
        <f>N264+N266</f>
        <v>43.5</v>
      </c>
    </row>
    <row r="264" spans="1:14" x14ac:dyDescent="0.25">
      <c r="A264" s="12"/>
      <c r="B264" s="12"/>
      <c r="C264" s="6" t="s">
        <v>508</v>
      </c>
      <c r="D264" s="6"/>
      <c r="E264" s="19" t="s">
        <v>501</v>
      </c>
      <c r="F264" s="70">
        <f>F265</f>
        <v>13.5</v>
      </c>
      <c r="G264" s="70"/>
      <c r="H264" s="70">
        <f>H265</f>
        <v>13.5</v>
      </c>
      <c r="I264" s="70">
        <f>I265</f>
        <v>13.5</v>
      </c>
      <c r="J264" s="70"/>
      <c r="K264" s="70">
        <f>K265</f>
        <v>13.5</v>
      </c>
      <c r="L264" s="70">
        <f>L265</f>
        <v>13.5</v>
      </c>
      <c r="M264" s="70"/>
      <c r="N264" s="70">
        <f>N265</f>
        <v>13.5</v>
      </c>
    </row>
    <row r="265" spans="1:14" x14ac:dyDescent="0.25">
      <c r="A265" s="12"/>
      <c r="B265" s="12"/>
      <c r="C265" s="6"/>
      <c r="D265" s="6" t="s">
        <v>280</v>
      </c>
      <c r="E265" s="3" t="s">
        <v>281</v>
      </c>
      <c r="F265" s="70">
        <v>13.5</v>
      </c>
      <c r="G265" s="70"/>
      <c r="H265" s="70">
        <v>13.5</v>
      </c>
      <c r="I265" s="70">
        <v>13.5</v>
      </c>
      <c r="J265" s="70"/>
      <c r="K265" s="70">
        <v>13.5</v>
      </c>
      <c r="L265" s="70">
        <v>13.5</v>
      </c>
      <c r="M265" s="70"/>
      <c r="N265" s="70">
        <v>13.5</v>
      </c>
    </row>
    <row r="266" spans="1:14" x14ac:dyDescent="0.25">
      <c r="A266" s="12"/>
      <c r="B266" s="12"/>
      <c r="C266" s="6" t="s">
        <v>509</v>
      </c>
      <c r="D266" s="6"/>
      <c r="E266" s="19" t="s">
        <v>685</v>
      </c>
      <c r="F266" s="70">
        <f>F267</f>
        <v>30</v>
      </c>
      <c r="G266" s="70">
        <f>G267</f>
        <v>-30</v>
      </c>
      <c r="H266" s="70">
        <f>H267</f>
        <v>0</v>
      </c>
      <c r="I266" s="70">
        <f>I267</f>
        <v>30</v>
      </c>
      <c r="J266" s="70"/>
      <c r="K266" s="70">
        <f>K267</f>
        <v>30</v>
      </c>
      <c r="L266" s="70">
        <f>L267</f>
        <v>30</v>
      </c>
      <c r="M266" s="70"/>
      <c r="N266" s="70">
        <f>N267</f>
        <v>30</v>
      </c>
    </row>
    <row r="267" spans="1:14" x14ac:dyDescent="0.25">
      <c r="A267" s="12"/>
      <c r="B267" s="12"/>
      <c r="C267" s="6"/>
      <c r="D267" s="6" t="s">
        <v>280</v>
      </c>
      <c r="E267" s="3" t="s">
        <v>281</v>
      </c>
      <c r="F267" s="70">
        <v>30</v>
      </c>
      <c r="G267" s="70">
        <v>-30</v>
      </c>
      <c r="H267" s="70">
        <f>30-30</f>
        <v>0</v>
      </c>
      <c r="I267" s="70">
        <v>30</v>
      </c>
      <c r="J267" s="70"/>
      <c r="K267" s="70">
        <v>30</v>
      </c>
      <c r="L267" s="70">
        <v>30</v>
      </c>
      <c r="M267" s="70"/>
      <c r="N267" s="70">
        <v>30</v>
      </c>
    </row>
    <row r="268" spans="1:14" ht="25.5" x14ac:dyDescent="0.25">
      <c r="A268" s="106"/>
      <c r="B268" s="106"/>
      <c r="C268" s="107" t="s">
        <v>379</v>
      </c>
      <c r="D268" s="106"/>
      <c r="E268" s="108" t="s">
        <v>606</v>
      </c>
      <c r="F268" s="109">
        <f>F269+F276</f>
        <v>5917.7224000000006</v>
      </c>
      <c r="G268" s="109"/>
      <c r="H268" s="109">
        <f>H269+H276</f>
        <v>5917.7224000000006</v>
      </c>
      <c r="I268" s="109">
        <f>I269+I276</f>
        <v>1412.7</v>
      </c>
      <c r="J268" s="109"/>
      <c r="K268" s="109">
        <f>K269+K276</f>
        <v>1412.7</v>
      </c>
      <c r="L268" s="109">
        <f>L269+L276</f>
        <v>0</v>
      </c>
      <c r="M268" s="109"/>
      <c r="N268" s="109">
        <f>N269+N276</f>
        <v>0</v>
      </c>
    </row>
    <row r="269" spans="1:14" x14ac:dyDescent="0.25">
      <c r="A269" s="33"/>
      <c r="B269" s="33"/>
      <c r="C269" s="33" t="s">
        <v>380</v>
      </c>
      <c r="D269" s="36"/>
      <c r="E269" s="34" t="s">
        <v>381</v>
      </c>
      <c r="F269" s="71">
        <f>F270+F272</f>
        <v>5717.7224000000006</v>
      </c>
      <c r="G269" s="71"/>
      <c r="H269" s="71">
        <f>H270+H272</f>
        <v>5717.7224000000006</v>
      </c>
      <c r="I269" s="71">
        <f>I270+I272</f>
        <v>1412.7</v>
      </c>
      <c r="J269" s="71"/>
      <c r="K269" s="71">
        <f>K270+K272</f>
        <v>1412.7</v>
      </c>
      <c r="L269" s="71">
        <f>L270+L272</f>
        <v>0</v>
      </c>
      <c r="M269" s="71"/>
      <c r="N269" s="71">
        <f>N270+N272</f>
        <v>0</v>
      </c>
    </row>
    <row r="270" spans="1:14" x14ac:dyDescent="0.25">
      <c r="A270" s="6"/>
      <c r="B270" s="6"/>
      <c r="C270" s="6" t="s">
        <v>382</v>
      </c>
      <c r="D270" s="6"/>
      <c r="E270" s="3" t="s">
        <v>383</v>
      </c>
      <c r="F270" s="70">
        <f>F271</f>
        <v>300</v>
      </c>
      <c r="G270" s="70"/>
      <c r="H270" s="70">
        <f>H271</f>
        <v>300</v>
      </c>
      <c r="I270" s="70">
        <f>I271</f>
        <v>600</v>
      </c>
      <c r="J270" s="70"/>
      <c r="K270" s="70">
        <f>K271</f>
        <v>600</v>
      </c>
      <c r="L270" s="70">
        <f>L271</f>
        <v>0</v>
      </c>
      <c r="M270" s="70"/>
      <c r="N270" s="70">
        <f>N271</f>
        <v>0</v>
      </c>
    </row>
    <row r="271" spans="1:14" x14ac:dyDescent="0.25">
      <c r="A271" s="6"/>
      <c r="B271" s="6"/>
      <c r="C271" s="6"/>
      <c r="D271" s="6" t="s">
        <v>280</v>
      </c>
      <c r="E271" s="3" t="s">
        <v>281</v>
      </c>
      <c r="F271" s="70">
        <v>300</v>
      </c>
      <c r="G271" s="70"/>
      <c r="H271" s="70">
        <v>300</v>
      </c>
      <c r="I271" s="70">
        <v>600</v>
      </c>
      <c r="J271" s="70"/>
      <c r="K271" s="70">
        <v>600</v>
      </c>
      <c r="L271" s="70">
        <v>0</v>
      </c>
      <c r="M271" s="70"/>
      <c r="N271" s="70">
        <v>0</v>
      </c>
    </row>
    <row r="272" spans="1:14" x14ac:dyDescent="0.25">
      <c r="A272" s="6"/>
      <c r="B272" s="6"/>
      <c r="C272" s="6" t="s">
        <v>385</v>
      </c>
      <c r="D272" s="6"/>
      <c r="E272" s="1" t="s">
        <v>481</v>
      </c>
      <c r="F272" s="70">
        <f>F273</f>
        <v>5417.7224000000006</v>
      </c>
      <c r="G272" s="70"/>
      <c r="H272" s="70">
        <f>H273</f>
        <v>5417.7224000000006</v>
      </c>
      <c r="I272" s="70">
        <f>I274+I275</f>
        <v>812.7</v>
      </c>
      <c r="J272" s="70"/>
      <c r="K272" s="70">
        <f>K274+K275</f>
        <v>812.7</v>
      </c>
      <c r="L272" s="70">
        <f>L274+L275</f>
        <v>0</v>
      </c>
      <c r="M272" s="70"/>
      <c r="N272" s="70">
        <f>N274+N275</f>
        <v>0</v>
      </c>
    </row>
    <row r="273" spans="1:14" x14ac:dyDescent="0.25">
      <c r="A273" s="6"/>
      <c r="B273" s="6"/>
      <c r="C273" s="6"/>
      <c r="D273" s="6" t="s">
        <v>280</v>
      </c>
      <c r="E273" s="3" t="s">
        <v>281</v>
      </c>
      <c r="F273" s="70">
        <f>F274+F275</f>
        <v>5417.7224000000006</v>
      </c>
      <c r="G273" s="70"/>
      <c r="H273" s="70">
        <f>H274+H275</f>
        <v>5417.7224000000006</v>
      </c>
      <c r="I273" s="70">
        <f>I274+I275</f>
        <v>812.7</v>
      </c>
      <c r="J273" s="70"/>
      <c r="K273" s="70">
        <f>K274+K275</f>
        <v>812.7</v>
      </c>
      <c r="L273" s="70">
        <f>L274+L275</f>
        <v>0</v>
      </c>
      <c r="M273" s="70"/>
      <c r="N273" s="70">
        <f>N274+N275</f>
        <v>0</v>
      </c>
    </row>
    <row r="274" spans="1:14" x14ac:dyDescent="0.25">
      <c r="A274" s="6"/>
      <c r="B274" s="6"/>
      <c r="C274" s="6"/>
      <c r="D274" s="6"/>
      <c r="E274" s="9" t="s">
        <v>209</v>
      </c>
      <c r="F274" s="70">
        <v>4605.0640400000002</v>
      </c>
      <c r="G274" s="70"/>
      <c r="H274" s="70">
        <v>4605.0640400000002</v>
      </c>
      <c r="I274" s="70"/>
      <c r="J274" s="70"/>
      <c r="K274" s="70"/>
      <c r="L274" s="70"/>
      <c r="M274" s="70"/>
      <c r="N274" s="70"/>
    </row>
    <row r="275" spans="1:14" x14ac:dyDescent="0.25">
      <c r="A275" s="6"/>
      <c r="B275" s="6"/>
      <c r="C275" s="6"/>
      <c r="D275" s="6"/>
      <c r="E275" s="3" t="s">
        <v>384</v>
      </c>
      <c r="F275" s="70">
        <v>812.65836000000002</v>
      </c>
      <c r="G275" s="70"/>
      <c r="H275" s="70">
        <v>812.65836000000002</v>
      </c>
      <c r="I275" s="70">
        <v>812.7</v>
      </c>
      <c r="J275" s="70"/>
      <c r="K275" s="70">
        <v>812.7</v>
      </c>
      <c r="L275" s="70">
        <v>0</v>
      </c>
      <c r="M275" s="70"/>
      <c r="N275" s="70">
        <v>0</v>
      </c>
    </row>
    <row r="276" spans="1:14" ht="39" x14ac:dyDescent="0.25">
      <c r="A276" s="33"/>
      <c r="B276" s="33"/>
      <c r="C276" s="33" t="s">
        <v>386</v>
      </c>
      <c r="D276" s="36"/>
      <c r="E276" s="34" t="s">
        <v>387</v>
      </c>
      <c r="F276" s="71">
        <f>F277</f>
        <v>200</v>
      </c>
      <c r="G276" s="71"/>
      <c r="H276" s="71">
        <f>H277</f>
        <v>200</v>
      </c>
      <c r="I276" s="71">
        <f>I277</f>
        <v>0</v>
      </c>
      <c r="J276" s="71"/>
      <c r="K276" s="71">
        <f>K277</f>
        <v>0</v>
      </c>
      <c r="L276" s="71">
        <f>L277</f>
        <v>0</v>
      </c>
      <c r="M276" s="71"/>
      <c r="N276" s="71">
        <f>N277</f>
        <v>0</v>
      </c>
    </row>
    <row r="277" spans="1:14" ht="26.25" x14ac:dyDescent="0.25">
      <c r="A277" s="92"/>
      <c r="B277" s="92"/>
      <c r="C277" s="6" t="s">
        <v>388</v>
      </c>
      <c r="D277" s="6"/>
      <c r="E277" s="3" t="s">
        <v>389</v>
      </c>
      <c r="F277" s="70">
        <f>F278</f>
        <v>200</v>
      </c>
      <c r="G277" s="70"/>
      <c r="H277" s="70">
        <f>H278</f>
        <v>200</v>
      </c>
      <c r="I277" s="70">
        <v>0</v>
      </c>
      <c r="J277" s="70"/>
      <c r="K277" s="70">
        <v>0</v>
      </c>
      <c r="L277" s="70">
        <v>0</v>
      </c>
      <c r="M277" s="70"/>
      <c r="N277" s="70">
        <v>0</v>
      </c>
    </row>
    <row r="278" spans="1:14" x14ac:dyDescent="0.25">
      <c r="A278" s="92"/>
      <c r="B278" s="92"/>
      <c r="C278" s="6"/>
      <c r="D278" s="6" t="s">
        <v>280</v>
      </c>
      <c r="E278" s="3" t="s">
        <v>281</v>
      </c>
      <c r="F278" s="70">
        <v>200</v>
      </c>
      <c r="G278" s="70"/>
      <c r="H278" s="70">
        <v>200</v>
      </c>
      <c r="I278" s="70">
        <v>0</v>
      </c>
      <c r="J278" s="70"/>
      <c r="K278" s="70">
        <v>0</v>
      </c>
      <c r="L278" s="70">
        <v>0</v>
      </c>
      <c r="M278" s="70"/>
      <c r="N278" s="70">
        <v>0</v>
      </c>
    </row>
    <row r="279" spans="1:14" x14ac:dyDescent="0.25">
      <c r="A279" s="142"/>
      <c r="B279" s="142"/>
      <c r="C279" s="133" t="s">
        <v>574</v>
      </c>
      <c r="D279" s="143"/>
      <c r="E279" s="134" t="s">
        <v>575</v>
      </c>
      <c r="F279" s="135">
        <f t="shared" ref="F279:N280" si="52">F280</f>
        <v>2670.7999999999997</v>
      </c>
      <c r="G279" s="135">
        <f t="shared" si="52"/>
        <v>-83.5</v>
      </c>
      <c r="H279" s="135">
        <f t="shared" si="52"/>
        <v>2587.2999999999997</v>
      </c>
      <c r="I279" s="135">
        <f t="shared" si="52"/>
        <v>3380.1</v>
      </c>
      <c r="J279" s="135"/>
      <c r="K279" s="135">
        <f t="shared" si="52"/>
        <v>3380.1</v>
      </c>
      <c r="L279" s="135">
        <f t="shared" si="52"/>
        <v>3380.1</v>
      </c>
      <c r="M279" s="135"/>
      <c r="N279" s="135">
        <f t="shared" si="52"/>
        <v>3380.1</v>
      </c>
    </row>
    <row r="280" spans="1:14" s="42" customFormat="1" ht="25.5" x14ac:dyDescent="0.25">
      <c r="A280" s="137"/>
      <c r="B280" s="137"/>
      <c r="C280" s="138" t="s">
        <v>401</v>
      </c>
      <c r="D280" s="139"/>
      <c r="E280" s="140" t="s">
        <v>402</v>
      </c>
      <c r="F280" s="84">
        <f t="shared" si="52"/>
        <v>2670.7999999999997</v>
      </c>
      <c r="G280" s="84">
        <f t="shared" si="52"/>
        <v>-83.5</v>
      </c>
      <c r="H280" s="84">
        <f t="shared" si="52"/>
        <v>2587.2999999999997</v>
      </c>
      <c r="I280" s="84">
        <f t="shared" si="52"/>
        <v>3380.1</v>
      </c>
      <c r="J280" s="84"/>
      <c r="K280" s="84">
        <f t="shared" si="52"/>
        <v>3380.1</v>
      </c>
      <c r="L280" s="84">
        <f t="shared" si="52"/>
        <v>3380.1</v>
      </c>
      <c r="M280" s="84"/>
      <c r="N280" s="84">
        <f t="shared" si="52"/>
        <v>3380.1</v>
      </c>
    </row>
    <row r="281" spans="1:14" ht="26.25" x14ac:dyDescent="0.25">
      <c r="A281" s="92"/>
      <c r="B281" s="92"/>
      <c r="C281" s="6" t="s">
        <v>403</v>
      </c>
      <c r="D281" s="6"/>
      <c r="E281" s="3" t="s">
        <v>404</v>
      </c>
      <c r="F281" s="70">
        <f t="shared" ref="F281:N281" si="53">F282+F283+F284</f>
        <v>2670.7999999999997</v>
      </c>
      <c r="G281" s="70">
        <f t="shared" si="53"/>
        <v>-83.5</v>
      </c>
      <c r="H281" s="70">
        <f t="shared" si="53"/>
        <v>2587.2999999999997</v>
      </c>
      <c r="I281" s="70">
        <f t="shared" si="53"/>
        <v>3380.1</v>
      </c>
      <c r="J281" s="70"/>
      <c r="K281" s="70">
        <f t="shared" si="53"/>
        <v>3380.1</v>
      </c>
      <c r="L281" s="70">
        <f t="shared" si="53"/>
        <v>3380.1</v>
      </c>
      <c r="M281" s="70"/>
      <c r="N281" s="70">
        <f t="shared" si="53"/>
        <v>3380.1</v>
      </c>
    </row>
    <row r="282" spans="1:14" ht="39" x14ac:dyDescent="0.25">
      <c r="A282" s="92"/>
      <c r="B282" s="92"/>
      <c r="C282" s="12"/>
      <c r="D282" s="6" t="s">
        <v>398</v>
      </c>
      <c r="E282" s="3" t="s">
        <v>399</v>
      </c>
      <c r="F282" s="70">
        <v>2447.6999999999998</v>
      </c>
      <c r="G282" s="70"/>
      <c r="H282" s="70">
        <f>SUM(F282:G282)</f>
        <v>2447.6999999999998</v>
      </c>
      <c r="I282" s="70">
        <v>3157</v>
      </c>
      <c r="J282" s="70"/>
      <c r="K282" s="70">
        <v>3157</v>
      </c>
      <c r="L282" s="70">
        <v>3157</v>
      </c>
      <c r="M282" s="70"/>
      <c r="N282" s="70">
        <v>3157</v>
      </c>
    </row>
    <row r="283" spans="1:14" x14ac:dyDescent="0.25">
      <c r="A283" s="92"/>
      <c r="B283" s="92"/>
      <c r="C283" s="12"/>
      <c r="D283" s="6" t="s">
        <v>280</v>
      </c>
      <c r="E283" s="3" t="s">
        <v>281</v>
      </c>
      <c r="F283" s="70">
        <f>105.6-2.1</f>
        <v>103.5</v>
      </c>
      <c r="G283" s="70"/>
      <c r="H283" s="70">
        <f>105.6-2.1</f>
        <v>103.5</v>
      </c>
      <c r="I283" s="70">
        <f t="shared" ref="I283:N283" si="54">105.6-2.1</f>
        <v>103.5</v>
      </c>
      <c r="J283" s="70"/>
      <c r="K283" s="70">
        <f t="shared" si="54"/>
        <v>103.5</v>
      </c>
      <c r="L283" s="70">
        <f t="shared" si="54"/>
        <v>103.5</v>
      </c>
      <c r="M283" s="70"/>
      <c r="N283" s="70">
        <f t="shared" si="54"/>
        <v>103.5</v>
      </c>
    </row>
    <row r="284" spans="1:14" x14ac:dyDescent="0.25">
      <c r="A284" s="92"/>
      <c r="B284" s="92"/>
      <c r="C284" s="12"/>
      <c r="D284" s="16" t="s">
        <v>405</v>
      </c>
      <c r="E284" s="7" t="s">
        <v>406</v>
      </c>
      <c r="F284" s="70">
        <v>119.6</v>
      </c>
      <c r="G284" s="70">
        <v>-83.5</v>
      </c>
      <c r="H284" s="70">
        <f>119.6-83.5</f>
        <v>36.099999999999994</v>
      </c>
      <c r="I284" s="70">
        <v>119.6</v>
      </c>
      <c r="J284" s="70"/>
      <c r="K284" s="70">
        <v>119.6</v>
      </c>
      <c r="L284" s="70">
        <v>119.6</v>
      </c>
      <c r="M284" s="70"/>
      <c r="N284" s="70">
        <v>119.6</v>
      </c>
    </row>
    <row r="285" spans="1:14" x14ac:dyDescent="0.25">
      <c r="A285" s="102"/>
      <c r="B285" s="17" t="s">
        <v>607</v>
      </c>
      <c r="C285" s="103"/>
      <c r="D285" s="102"/>
      <c r="E285" s="96" t="s">
        <v>608</v>
      </c>
      <c r="F285" s="74">
        <f t="shared" ref="F285:N285" si="55">F286+F313+F346</f>
        <v>54669.525730000008</v>
      </c>
      <c r="G285" s="74">
        <f t="shared" si="55"/>
        <v>4559.95838</v>
      </c>
      <c r="H285" s="74">
        <f t="shared" si="55"/>
        <v>59229.484110000005</v>
      </c>
      <c r="I285" s="74">
        <f t="shared" si="55"/>
        <v>63963.917839999995</v>
      </c>
      <c r="J285" s="74">
        <f>J286+J313+J346</f>
        <v>-9754.6667400000006</v>
      </c>
      <c r="K285" s="74">
        <f t="shared" si="55"/>
        <v>54209.251100000001</v>
      </c>
      <c r="L285" s="74">
        <f t="shared" si="55"/>
        <v>55961.988669999999</v>
      </c>
      <c r="M285" s="74">
        <f t="shared" ref="M285" si="56">M286+M313+M346</f>
        <v>3707.7204000000002</v>
      </c>
      <c r="N285" s="74">
        <f t="shared" si="55"/>
        <v>59669.709070000004</v>
      </c>
    </row>
    <row r="286" spans="1:14" x14ac:dyDescent="0.25">
      <c r="A286" s="102"/>
      <c r="B286" s="17" t="s">
        <v>609</v>
      </c>
      <c r="C286" s="103"/>
      <c r="D286" s="102"/>
      <c r="E286" s="96" t="s">
        <v>610</v>
      </c>
      <c r="F286" s="74">
        <f t="shared" ref="F286:N286" si="57">F287+F309</f>
        <v>1271</v>
      </c>
      <c r="G286" s="74"/>
      <c r="H286" s="74">
        <f t="shared" si="57"/>
        <v>1271</v>
      </c>
      <c r="I286" s="74">
        <f t="shared" si="57"/>
        <v>11518.48085</v>
      </c>
      <c r="J286" s="74">
        <f>J287</f>
        <v>-11217.055329999999</v>
      </c>
      <c r="K286" s="74">
        <f t="shared" si="57"/>
        <v>301.42552000000001</v>
      </c>
      <c r="L286" s="74">
        <f t="shared" si="57"/>
        <v>215.9</v>
      </c>
      <c r="M286" s="74">
        <f>M287</f>
        <v>1632.7214799999999</v>
      </c>
      <c r="N286" s="74">
        <f t="shared" si="57"/>
        <v>1848.62148</v>
      </c>
    </row>
    <row r="287" spans="1:14" x14ac:dyDescent="0.25">
      <c r="A287" s="102"/>
      <c r="B287" s="17"/>
      <c r="C287" s="103" t="s">
        <v>5</v>
      </c>
      <c r="D287" s="102"/>
      <c r="E287" s="123" t="s">
        <v>6</v>
      </c>
      <c r="F287" s="74">
        <f>F288+F303</f>
        <v>1271</v>
      </c>
      <c r="G287" s="74"/>
      <c r="H287" s="74">
        <f t="shared" ref="H287:N287" si="58">H288+H303</f>
        <v>1271</v>
      </c>
      <c r="I287" s="74">
        <f t="shared" si="58"/>
        <v>11518.48085</v>
      </c>
      <c r="J287" s="74">
        <f t="shared" si="58"/>
        <v>-11217.055329999999</v>
      </c>
      <c r="K287" s="74">
        <f t="shared" si="58"/>
        <v>301.42552000000001</v>
      </c>
      <c r="L287" s="74">
        <f t="shared" si="58"/>
        <v>215.9</v>
      </c>
      <c r="M287" s="74">
        <f t="shared" si="58"/>
        <v>1632.7214799999999</v>
      </c>
      <c r="N287" s="74">
        <f t="shared" si="58"/>
        <v>1848.62148</v>
      </c>
    </row>
    <row r="288" spans="1:14" ht="25.5" x14ac:dyDescent="0.25">
      <c r="A288" s="105"/>
      <c r="B288" s="106"/>
      <c r="C288" s="107" t="s">
        <v>200</v>
      </c>
      <c r="D288" s="106"/>
      <c r="E288" s="108" t="s">
        <v>201</v>
      </c>
      <c r="F288" s="109">
        <f>F289</f>
        <v>1271</v>
      </c>
      <c r="G288" s="109"/>
      <c r="H288" s="109">
        <f>H289</f>
        <v>1271</v>
      </c>
      <c r="I288" s="109">
        <f>I289</f>
        <v>301.42552000000001</v>
      </c>
      <c r="J288" s="109"/>
      <c r="K288" s="109">
        <f>K289</f>
        <v>301.42552000000001</v>
      </c>
      <c r="L288" s="109">
        <f>L289</f>
        <v>215.9</v>
      </c>
      <c r="M288" s="109"/>
      <c r="N288" s="109">
        <f>N289</f>
        <v>215.9</v>
      </c>
    </row>
    <row r="289" spans="1:14" ht="26.25" x14ac:dyDescent="0.25">
      <c r="A289" s="33"/>
      <c r="B289" s="33"/>
      <c r="C289" s="33" t="s">
        <v>202</v>
      </c>
      <c r="D289" s="33"/>
      <c r="E289" s="34" t="s">
        <v>873</v>
      </c>
      <c r="F289" s="71">
        <f>F290+F292+F295</f>
        <v>1271</v>
      </c>
      <c r="G289" s="71"/>
      <c r="H289" s="71">
        <f>H290+H292+H295</f>
        <v>1271</v>
      </c>
      <c r="I289" s="71">
        <f>I290+I292+I295+I297+I299</f>
        <v>301.42552000000001</v>
      </c>
      <c r="J289" s="71"/>
      <c r="K289" s="71">
        <f>K290+K292+K295+K297+K299</f>
        <v>301.42552000000001</v>
      </c>
      <c r="L289" s="71">
        <f>L290+L292+L295</f>
        <v>215.9</v>
      </c>
      <c r="M289" s="71"/>
      <c r="N289" s="71">
        <f>N290+N292+N295</f>
        <v>215.9</v>
      </c>
    </row>
    <row r="290" spans="1:14" ht="39" x14ac:dyDescent="0.25">
      <c r="A290" s="92"/>
      <c r="B290" s="92"/>
      <c r="C290" s="6" t="s">
        <v>204</v>
      </c>
      <c r="D290" s="6"/>
      <c r="E290" s="13" t="s">
        <v>205</v>
      </c>
      <c r="F290" s="70">
        <f>F291</f>
        <v>95.3</v>
      </c>
      <c r="G290" s="70"/>
      <c r="H290" s="70">
        <f>H291</f>
        <v>95.3</v>
      </c>
      <c r="I290" s="70">
        <f>I291</f>
        <v>99.2</v>
      </c>
      <c r="J290" s="70"/>
      <c r="K290" s="70">
        <f>K291</f>
        <v>99.2</v>
      </c>
      <c r="L290" s="70">
        <f>L291</f>
        <v>103.2</v>
      </c>
      <c r="M290" s="70"/>
      <c r="N290" s="70">
        <f>N291</f>
        <v>103.2</v>
      </c>
    </row>
    <row r="291" spans="1:14" x14ac:dyDescent="0.25">
      <c r="A291" s="92"/>
      <c r="B291" s="92"/>
      <c r="C291" s="6"/>
      <c r="D291" s="6" t="s">
        <v>280</v>
      </c>
      <c r="E291" s="3" t="s">
        <v>281</v>
      </c>
      <c r="F291" s="70">
        <v>95.3</v>
      </c>
      <c r="G291" s="70"/>
      <c r="H291" s="70">
        <v>95.3</v>
      </c>
      <c r="I291" s="70">
        <v>99.2</v>
      </c>
      <c r="J291" s="70"/>
      <c r="K291" s="70">
        <v>99.2</v>
      </c>
      <c r="L291" s="70">
        <v>103.2</v>
      </c>
      <c r="M291" s="70"/>
      <c r="N291" s="70">
        <v>103.2</v>
      </c>
    </row>
    <row r="292" spans="1:14" ht="26.25" x14ac:dyDescent="0.25">
      <c r="A292" s="92"/>
      <c r="B292" s="92"/>
      <c r="C292" s="6" t="s">
        <v>206</v>
      </c>
      <c r="D292" s="6"/>
      <c r="E292" s="13" t="s">
        <v>207</v>
      </c>
      <c r="F292" s="70">
        <f>SUM(F294+F293)</f>
        <v>1071.5</v>
      </c>
      <c r="G292" s="70"/>
      <c r="H292" s="70">
        <f>SUM(H294+H293)</f>
        <v>1071.5</v>
      </c>
      <c r="I292" s="70">
        <f>SUM(I294+I293)</f>
        <v>0</v>
      </c>
      <c r="J292" s="70"/>
      <c r="K292" s="70">
        <f>SUM(K294+K293)</f>
        <v>0</v>
      </c>
      <c r="L292" s="70">
        <f>SUM(L294+L293)</f>
        <v>0</v>
      </c>
      <c r="M292" s="70"/>
      <c r="N292" s="70">
        <f>SUM(N294+N293)</f>
        <v>0</v>
      </c>
    </row>
    <row r="293" spans="1:14" x14ac:dyDescent="0.25">
      <c r="A293" s="92"/>
      <c r="B293" s="92"/>
      <c r="C293" s="6"/>
      <c r="D293" s="6" t="s">
        <v>280</v>
      </c>
      <c r="E293" s="3" t="s">
        <v>281</v>
      </c>
      <c r="F293" s="70">
        <f>5357.4-4285.9</f>
        <v>1071.5</v>
      </c>
      <c r="G293" s="70"/>
      <c r="H293" s="70">
        <f>5357.4-4285.9</f>
        <v>1071.5</v>
      </c>
      <c r="I293" s="70">
        <v>0</v>
      </c>
      <c r="J293" s="70"/>
      <c r="K293" s="70">
        <v>0</v>
      </c>
      <c r="L293" s="70">
        <v>0</v>
      </c>
      <c r="M293" s="70"/>
      <c r="N293" s="70">
        <v>0</v>
      </c>
    </row>
    <row r="294" spans="1:14" x14ac:dyDescent="0.25">
      <c r="A294" s="92"/>
      <c r="B294" s="92"/>
      <c r="C294" s="6"/>
      <c r="D294" s="6" t="s">
        <v>423</v>
      </c>
      <c r="E294" s="3" t="s">
        <v>424</v>
      </c>
      <c r="F294" s="70">
        <v>0</v>
      </c>
      <c r="G294" s="70"/>
      <c r="H294" s="70">
        <v>0</v>
      </c>
      <c r="I294" s="70">
        <v>0</v>
      </c>
      <c r="J294" s="70"/>
      <c r="K294" s="70">
        <v>0</v>
      </c>
      <c r="L294" s="70">
        <v>0</v>
      </c>
      <c r="M294" s="70"/>
      <c r="N294" s="70">
        <v>0</v>
      </c>
    </row>
    <row r="295" spans="1:14" ht="26.25" x14ac:dyDescent="0.25">
      <c r="A295" s="92"/>
      <c r="B295" s="92"/>
      <c r="C295" s="6" t="s">
        <v>208</v>
      </c>
      <c r="D295" s="6"/>
      <c r="E295" s="3" t="s">
        <v>537</v>
      </c>
      <c r="F295" s="70">
        <f>F296</f>
        <v>104.2</v>
      </c>
      <c r="G295" s="70"/>
      <c r="H295" s="70">
        <f>H296</f>
        <v>104.2</v>
      </c>
      <c r="I295" s="70">
        <f>I296</f>
        <v>108.4</v>
      </c>
      <c r="J295" s="70"/>
      <c r="K295" s="70">
        <f>K296</f>
        <v>108.4</v>
      </c>
      <c r="L295" s="70">
        <f>L296</f>
        <v>112.7</v>
      </c>
      <c r="M295" s="70"/>
      <c r="N295" s="70">
        <f>N296</f>
        <v>112.7</v>
      </c>
    </row>
    <row r="296" spans="1:14" x14ac:dyDescent="0.25">
      <c r="A296" s="92"/>
      <c r="B296" s="92"/>
      <c r="C296" s="6"/>
      <c r="D296" s="6" t="s">
        <v>280</v>
      </c>
      <c r="E296" s="3" t="s">
        <v>281</v>
      </c>
      <c r="F296" s="70">
        <v>104.2</v>
      </c>
      <c r="G296" s="70"/>
      <c r="H296" s="70">
        <v>104.2</v>
      </c>
      <c r="I296" s="70">
        <v>108.4</v>
      </c>
      <c r="J296" s="70"/>
      <c r="K296" s="70">
        <v>108.4</v>
      </c>
      <c r="L296" s="70">
        <v>112.7</v>
      </c>
      <c r="M296" s="70"/>
      <c r="N296" s="70">
        <v>112.7</v>
      </c>
    </row>
    <row r="297" spans="1:14" x14ac:dyDescent="0.25">
      <c r="A297" s="92"/>
      <c r="B297" s="92"/>
      <c r="C297" s="6" t="s">
        <v>506</v>
      </c>
      <c r="D297" s="6"/>
      <c r="E297" s="3" t="s">
        <v>504</v>
      </c>
      <c r="F297" s="70">
        <v>0</v>
      </c>
      <c r="G297" s="70"/>
      <c r="H297" s="70">
        <v>0</v>
      </c>
      <c r="I297" s="70">
        <f>I298</f>
        <v>0</v>
      </c>
      <c r="J297" s="70"/>
      <c r="K297" s="70">
        <f>K298</f>
        <v>0</v>
      </c>
      <c r="L297" s="70">
        <f>L298</f>
        <v>0</v>
      </c>
      <c r="M297" s="70"/>
      <c r="N297" s="70">
        <f>N298</f>
        <v>0</v>
      </c>
    </row>
    <row r="298" spans="1:14" x14ac:dyDescent="0.25">
      <c r="A298" s="92"/>
      <c r="B298" s="92"/>
      <c r="C298" s="6"/>
      <c r="D298" s="6" t="s">
        <v>280</v>
      </c>
      <c r="E298" s="3" t="s">
        <v>281</v>
      </c>
      <c r="F298" s="70">
        <v>0</v>
      </c>
      <c r="G298" s="70"/>
      <c r="H298" s="70">
        <v>0</v>
      </c>
      <c r="I298" s="70">
        <v>0</v>
      </c>
      <c r="J298" s="70"/>
      <c r="K298" s="70">
        <v>0</v>
      </c>
      <c r="L298" s="70">
        <v>0</v>
      </c>
      <c r="M298" s="70"/>
      <c r="N298" s="70">
        <v>0</v>
      </c>
    </row>
    <row r="299" spans="1:14" ht="26.25" x14ac:dyDescent="0.25">
      <c r="A299" s="92"/>
      <c r="B299" s="92"/>
      <c r="C299" s="6" t="s">
        <v>493</v>
      </c>
      <c r="D299" s="6"/>
      <c r="E299" s="3" t="s">
        <v>494</v>
      </c>
      <c r="F299" s="70">
        <v>0</v>
      </c>
      <c r="G299" s="70"/>
      <c r="H299" s="70">
        <v>0</v>
      </c>
      <c r="I299" s="70">
        <f>I300</f>
        <v>93.825519999999997</v>
      </c>
      <c r="J299" s="70"/>
      <c r="K299" s="70">
        <f>K300</f>
        <v>93.825519999999997</v>
      </c>
      <c r="L299" s="70">
        <v>0</v>
      </c>
      <c r="M299" s="70"/>
      <c r="N299" s="70">
        <v>0</v>
      </c>
    </row>
    <row r="300" spans="1:14" x14ac:dyDescent="0.25">
      <c r="A300" s="92"/>
      <c r="B300" s="92"/>
      <c r="C300" s="6"/>
      <c r="D300" s="6" t="s">
        <v>280</v>
      </c>
      <c r="E300" s="3" t="s">
        <v>281</v>
      </c>
      <c r="F300" s="70">
        <v>0</v>
      </c>
      <c r="G300" s="70"/>
      <c r="H300" s="70">
        <v>0</v>
      </c>
      <c r="I300" s="70">
        <f>I301+I302</f>
        <v>93.825519999999997</v>
      </c>
      <c r="J300" s="70"/>
      <c r="K300" s="70">
        <f>K301+K302</f>
        <v>93.825519999999997</v>
      </c>
      <c r="L300" s="70">
        <v>0</v>
      </c>
      <c r="M300" s="70"/>
      <c r="N300" s="70">
        <v>0</v>
      </c>
    </row>
    <row r="301" spans="1:14" x14ac:dyDescent="0.25">
      <c r="A301" s="92"/>
      <c r="B301" s="92"/>
      <c r="C301" s="6"/>
      <c r="D301" s="6"/>
      <c r="E301" s="3" t="s">
        <v>666</v>
      </c>
      <c r="F301" s="70">
        <v>0</v>
      </c>
      <c r="G301" s="70"/>
      <c r="H301" s="70">
        <v>0</v>
      </c>
      <c r="I301" s="70">
        <v>91.948999999999998</v>
      </c>
      <c r="J301" s="70"/>
      <c r="K301" s="70">
        <v>91.948999999999998</v>
      </c>
      <c r="L301" s="70">
        <v>0</v>
      </c>
      <c r="M301" s="70"/>
      <c r="N301" s="70">
        <v>0</v>
      </c>
    </row>
    <row r="302" spans="1:14" x14ac:dyDescent="0.25">
      <c r="A302" s="92"/>
      <c r="B302" s="92"/>
      <c r="C302" s="6"/>
      <c r="D302" s="6"/>
      <c r="E302" s="3" t="s">
        <v>384</v>
      </c>
      <c r="F302" s="70">
        <v>0</v>
      </c>
      <c r="G302" s="70"/>
      <c r="H302" s="70">
        <v>0</v>
      </c>
      <c r="I302" s="70">
        <v>1.87652</v>
      </c>
      <c r="J302" s="70"/>
      <c r="K302" s="70">
        <v>1.8765199999999997</v>
      </c>
      <c r="L302" s="70">
        <v>0</v>
      </c>
      <c r="M302" s="70"/>
      <c r="N302" s="70">
        <v>0</v>
      </c>
    </row>
    <row r="303" spans="1:14" ht="25.5" x14ac:dyDescent="0.25">
      <c r="A303" s="105"/>
      <c r="B303" s="106"/>
      <c r="C303" s="107" t="s">
        <v>373</v>
      </c>
      <c r="D303" s="106"/>
      <c r="E303" s="108" t="s">
        <v>374</v>
      </c>
      <c r="F303" s="109">
        <f t="shared" ref="F303:N305" si="59">F304</f>
        <v>0</v>
      </c>
      <c r="G303" s="109"/>
      <c r="H303" s="109">
        <f t="shared" si="59"/>
        <v>0</v>
      </c>
      <c r="I303" s="109">
        <f t="shared" si="59"/>
        <v>11217.055329999999</v>
      </c>
      <c r="J303" s="109">
        <f t="shared" si="59"/>
        <v>-11217.055329999999</v>
      </c>
      <c r="K303" s="109">
        <f t="shared" si="59"/>
        <v>0</v>
      </c>
      <c r="L303" s="109">
        <f t="shared" si="59"/>
        <v>0</v>
      </c>
      <c r="M303" s="109">
        <f t="shared" si="59"/>
        <v>1632.7214799999999</v>
      </c>
      <c r="N303" s="109">
        <f t="shared" si="59"/>
        <v>1632.7214799999999</v>
      </c>
    </row>
    <row r="304" spans="1:14" ht="39" x14ac:dyDescent="0.25">
      <c r="A304" s="31"/>
      <c r="B304" s="31"/>
      <c r="C304" s="31" t="s">
        <v>375</v>
      </c>
      <c r="D304" s="43"/>
      <c r="E304" s="32" t="s">
        <v>376</v>
      </c>
      <c r="F304" s="75">
        <f t="shared" si="59"/>
        <v>0</v>
      </c>
      <c r="G304" s="75"/>
      <c r="H304" s="75">
        <f t="shared" si="59"/>
        <v>0</v>
      </c>
      <c r="I304" s="75">
        <f t="shared" si="59"/>
        <v>11217.055329999999</v>
      </c>
      <c r="J304" s="75">
        <f t="shared" si="59"/>
        <v>-11217.055329999999</v>
      </c>
      <c r="K304" s="75">
        <f t="shared" si="59"/>
        <v>0</v>
      </c>
      <c r="L304" s="75">
        <f t="shared" si="59"/>
        <v>0</v>
      </c>
      <c r="M304" s="75">
        <f t="shared" si="59"/>
        <v>1632.7214799999999</v>
      </c>
      <c r="N304" s="75">
        <f t="shared" si="59"/>
        <v>1632.7214799999999</v>
      </c>
    </row>
    <row r="305" spans="1:14" ht="39" x14ac:dyDescent="0.25">
      <c r="A305" s="33"/>
      <c r="B305" s="33"/>
      <c r="C305" s="33" t="s">
        <v>469</v>
      </c>
      <c r="D305" s="36"/>
      <c r="E305" s="34" t="s">
        <v>377</v>
      </c>
      <c r="F305" s="82">
        <f t="shared" si="59"/>
        <v>0</v>
      </c>
      <c r="G305" s="82"/>
      <c r="H305" s="82">
        <f t="shared" si="59"/>
        <v>0</v>
      </c>
      <c r="I305" s="82">
        <f t="shared" si="59"/>
        <v>11217.055329999999</v>
      </c>
      <c r="J305" s="82">
        <f t="shared" si="59"/>
        <v>-11217.055329999999</v>
      </c>
      <c r="K305" s="82">
        <f t="shared" si="59"/>
        <v>0</v>
      </c>
      <c r="L305" s="82">
        <f t="shared" ref="L305:N307" si="60">L306</f>
        <v>0</v>
      </c>
      <c r="M305" s="82">
        <f t="shared" si="60"/>
        <v>1632.7214799999999</v>
      </c>
      <c r="N305" s="82">
        <f t="shared" si="60"/>
        <v>1632.7214799999999</v>
      </c>
    </row>
    <row r="306" spans="1:14" ht="39" x14ac:dyDescent="0.25">
      <c r="A306" s="92"/>
      <c r="B306" s="92"/>
      <c r="C306" s="6" t="s">
        <v>468</v>
      </c>
      <c r="D306" s="6"/>
      <c r="E306" s="3" t="s">
        <v>378</v>
      </c>
      <c r="F306" s="70">
        <v>0</v>
      </c>
      <c r="G306" s="70"/>
      <c r="H306" s="70">
        <v>0</v>
      </c>
      <c r="I306" s="70">
        <f t="shared" ref="I306:K307" si="61">I307</f>
        <v>11217.055329999999</v>
      </c>
      <c r="J306" s="70">
        <f t="shared" si="61"/>
        <v>-11217.055329999999</v>
      </c>
      <c r="K306" s="70">
        <f t="shared" si="61"/>
        <v>0</v>
      </c>
      <c r="L306" s="70">
        <f t="shared" si="60"/>
        <v>0</v>
      </c>
      <c r="M306" s="70">
        <f t="shared" si="60"/>
        <v>1632.7214799999999</v>
      </c>
      <c r="N306" s="70">
        <f t="shared" si="60"/>
        <v>1632.7214799999999</v>
      </c>
    </row>
    <row r="307" spans="1:14" x14ac:dyDescent="0.25">
      <c r="A307" s="92"/>
      <c r="B307" s="92"/>
      <c r="C307" s="6"/>
      <c r="D307" s="6" t="s">
        <v>423</v>
      </c>
      <c r="E307" s="3" t="s">
        <v>424</v>
      </c>
      <c r="F307" s="70">
        <v>0</v>
      </c>
      <c r="G307" s="70"/>
      <c r="H307" s="70">
        <v>0</v>
      </c>
      <c r="I307" s="70">
        <f t="shared" si="61"/>
        <v>11217.055329999999</v>
      </c>
      <c r="J307" s="70">
        <f t="shared" si="61"/>
        <v>-11217.055329999999</v>
      </c>
      <c r="K307" s="70">
        <f t="shared" si="61"/>
        <v>0</v>
      </c>
      <c r="L307" s="70">
        <f t="shared" si="60"/>
        <v>0</v>
      </c>
      <c r="M307" s="70">
        <f t="shared" si="60"/>
        <v>1632.7214799999999</v>
      </c>
      <c r="N307" s="70">
        <f t="shared" si="60"/>
        <v>1632.7214799999999</v>
      </c>
    </row>
    <row r="308" spans="1:14" x14ac:dyDescent="0.25">
      <c r="A308" s="92"/>
      <c r="B308" s="92"/>
      <c r="C308" s="6"/>
      <c r="D308" s="6"/>
      <c r="E308" s="9" t="s">
        <v>105</v>
      </c>
      <c r="F308" s="70">
        <v>0</v>
      </c>
      <c r="G308" s="70"/>
      <c r="H308" s="70">
        <v>0</v>
      </c>
      <c r="I308" s="70">
        <v>11217.055329999999</v>
      </c>
      <c r="J308" s="70">
        <v>-11217.055329999999</v>
      </c>
      <c r="K308" s="70">
        <v>0</v>
      </c>
      <c r="L308" s="70">
        <v>0</v>
      </c>
      <c r="M308" s="70">
        <v>1632.7214799999999</v>
      </c>
      <c r="N308" s="70">
        <v>1632.7214799999999</v>
      </c>
    </row>
    <row r="309" spans="1:14" x14ac:dyDescent="0.25">
      <c r="A309" s="165"/>
      <c r="B309" s="165"/>
      <c r="C309" s="59" t="s">
        <v>393</v>
      </c>
      <c r="D309" s="59"/>
      <c r="E309" s="60" t="s">
        <v>394</v>
      </c>
      <c r="F309" s="83">
        <f t="shared" ref="F309:H311" si="62">F310</f>
        <v>0</v>
      </c>
      <c r="G309" s="83"/>
      <c r="H309" s="83">
        <f t="shared" si="62"/>
        <v>0</v>
      </c>
      <c r="I309" s="83">
        <f t="shared" ref="I309:N311" si="63">I310</f>
        <v>0</v>
      </c>
      <c r="J309" s="83"/>
      <c r="K309" s="83">
        <f t="shared" si="63"/>
        <v>0</v>
      </c>
      <c r="L309" s="83">
        <f t="shared" si="63"/>
        <v>0</v>
      </c>
      <c r="M309" s="83"/>
      <c r="N309" s="83">
        <f t="shared" si="63"/>
        <v>0</v>
      </c>
    </row>
    <row r="310" spans="1:14" ht="26.25" x14ac:dyDescent="0.25">
      <c r="A310" s="144"/>
      <c r="B310" s="144"/>
      <c r="C310" s="61" t="s">
        <v>401</v>
      </c>
      <c r="D310" s="61"/>
      <c r="E310" s="63" t="s">
        <v>402</v>
      </c>
      <c r="F310" s="84">
        <f t="shared" si="62"/>
        <v>0</v>
      </c>
      <c r="G310" s="84"/>
      <c r="H310" s="84">
        <f t="shared" si="62"/>
        <v>0</v>
      </c>
      <c r="I310" s="84">
        <f t="shared" si="63"/>
        <v>0</v>
      </c>
      <c r="J310" s="84"/>
      <c r="K310" s="84">
        <f t="shared" si="63"/>
        <v>0</v>
      </c>
      <c r="L310" s="84">
        <f t="shared" si="63"/>
        <v>0</v>
      </c>
      <c r="M310" s="84"/>
      <c r="N310" s="84">
        <f t="shared" si="63"/>
        <v>0</v>
      </c>
    </row>
    <row r="311" spans="1:14" x14ac:dyDescent="0.25">
      <c r="A311" s="92"/>
      <c r="B311" s="92"/>
      <c r="C311" s="4" t="s">
        <v>561</v>
      </c>
      <c r="D311" s="12"/>
      <c r="E311" s="3" t="s">
        <v>691</v>
      </c>
      <c r="F311" s="70">
        <f t="shared" si="62"/>
        <v>0</v>
      </c>
      <c r="G311" s="70"/>
      <c r="H311" s="70">
        <f t="shared" si="62"/>
        <v>0</v>
      </c>
      <c r="I311" s="70">
        <f t="shared" si="63"/>
        <v>0</v>
      </c>
      <c r="J311" s="70"/>
      <c r="K311" s="70">
        <f t="shared" si="63"/>
        <v>0</v>
      </c>
      <c r="L311" s="70">
        <f t="shared" si="63"/>
        <v>0</v>
      </c>
      <c r="M311" s="70"/>
      <c r="N311" s="70">
        <f t="shared" si="63"/>
        <v>0</v>
      </c>
    </row>
    <row r="312" spans="1:14" ht="26.25" x14ac:dyDescent="0.25">
      <c r="A312" s="92"/>
      <c r="B312" s="92"/>
      <c r="C312" s="12"/>
      <c r="D312" s="16" t="s">
        <v>470</v>
      </c>
      <c r="E312" s="3" t="s">
        <v>471</v>
      </c>
      <c r="F312" s="70">
        <v>0</v>
      </c>
      <c r="G312" s="70"/>
      <c r="H312" s="70">
        <v>0</v>
      </c>
      <c r="I312" s="70">
        <v>0</v>
      </c>
      <c r="J312" s="70"/>
      <c r="K312" s="70">
        <v>0</v>
      </c>
      <c r="L312" s="70">
        <v>0</v>
      </c>
      <c r="M312" s="70"/>
      <c r="N312" s="70">
        <v>0</v>
      </c>
    </row>
    <row r="313" spans="1:14" x14ac:dyDescent="0.25">
      <c r="A313" s="102"/>
      <c r="B313" s="17" t="s">
        <v>611</v>
      </c>
      <c r="C313" s="103"/>
      <c r="D313" s="102"/>
      <c r="E313" s="96" t="s">
        <v>612</v>
      </c>
      <c r="F313" s="74">
        <f>F314+F340</f>
        <v>15101.212230000001</v>
      </c>
      <c r="G313" s="74">
        <f>G314+G340</f>
        <v>2910.87</v>
      </c>
      <c r="H313" s="74">
        <f>H314+H340</f>
        <v>18012.08223</v>
      </c>
      <c r="I313" s="74">
        <f t="shared" ref="I313:N313" si="64">I314</f>
        <v>13566.183150000001</v>
      </c>
      <c r="J313" s="74">
        <f t="shared" si="64"/>
        <v>833.13653999999997</v>
      </c>
      <c r="K313" s="74">
        <f t="shared" si="64"/>
        <v>14399.31969</v>
      </c>
      <c r="L313" s="74">
        <f t="shared" si="64"/>
        <v>0</v>
      </c>
      <c r="M313" s="74"/>
      <c r="N313" s="74">
        <f t="shared" si="64"/>
        <v>0</v>
      </c>
    </row>
    <row r="314" spans="1:14" x14ac:dyDescent="0.25">
      <c r="A314" s="102"/>
      <c r="B314" s="16"/>
      <c r="C314" s="103" t="s">
        <v>5</v>
      </c>
      <c r="D314" s="102"/>
      <c r="E314" s="123" t="s">
        <v>6</v>
      </c>
      <c r="F314" s="74">
        <f t="shared" ref="F314:L314" si="65">F315</f>
        <v>12470.012230000002</v>
      </c>
      <c r="G314" s="74">
        <f t="shared" si="65"/>
        <v>764.59999999999991</v>
      </c>
      <c r="H314" s="74">
        <f t="shared" si="65"/>
        <v>13234.612230000001</v>
      </c>
      <c r="I314" s="74">
        <f t="shared" si="65"/>
        <v>13566.183150000001</v>
      </c>
      <c r="J314" s="74">
        <f t="shared" si="65"/>
        <v>833.13653999999997</v>
      </c>
      <c r="K314" s="74">
        <f t="shared" si="65"/>
        <v>14399.31969</v>
      </c>
      <c r="L314" s="74">
        <f t="shared" si="65"/>
        <v>0</v>
      </c>
      <c r="M314" s="74"/>
      <c r="N314" s="74">
        <f>N315</f>
        <v>0</v>
      </c>
    </row>
    <row r="315" spans="1:14" ht="25.5" x14ac:dyDescent="0.25">
      <c r="A315" s="105"/>
      <c r="B315" s="106"/>
      <c r="C315" s="107" t="s">
        <v>289</v>
      </c>
      <c r="D315" s="106"/>
      <c r="E315" s="108" t="s">
        <v>290</v>
      </c>
      <c r="F315" s="109">
        <f t="shared" ref="F315:L315" si="66">F316+F320</f>
        <v>12470.012230000002</v>
      </c>
      <c r="G315" s="109">
        <f t="shared" ref="G315" si="67">G316+G320</f>
        <v>764.59999999999991</v>
      </c>
      <c r="H315" s="109">
        <f t="shared" si="66"/>
        <v>13234.612230000001</v>
      </c>
      <c r="I315" s="109">
        <f t="shared" si="66"/>
        <v>13566.183150000001</v>
      </c>
      <c r="J315" s="109">
        <f t="shared" ref="J315" si="68">J316+J320</f>
        <v>833.13653999999997</v>
      </c>
      <c r="K315" s="109">
        <f t="shared" si="66"/>
        <v>14399.31969</v>
      </c>
      <c r="L315" s="109">
        <f t="shared" si="66"/>
        <v>0</v>
      </c>
      <c r="M315" s="109"/>
      <c r="N315" s="109">
        <f>N316+N320</f>
        <v>0</v>
      </c>
    </row>
    <row r="316" spans="1:14" ht="26.25" x14ac:dyDescent="0.25">
      <c r="A316" s="31"/>
      <c r="B316" s="31"/>
      <c r="C316" s="31" t="s">
        <v>300</v>
      </c>
      <c r="D316" s="31"/>
      <c r="E316" s="52" t="s">
        <v>301</v>
      </c>
      <c r="F316" s="75">
        <f t="shared" ref="F316:N317" si="69">F317</f>
        <v>195</v>
      </c>
      <c r="G316" s="75"/>
      <c r="H316" s="75">
        <f t="shared" si="69"/>
        <v>195</v>
      </c>
      <c r="I316" s="75">
        <f t="shared" si="69"/>
        <v>158</v>
      </c>
      <c r="J316" s="75"/>
      <c r="K316" s="75">
        <f t="shared" si="69"/>
        <v>158</v>
      </c>
      <c r="L316" s="75">
        <f t="shared" si="69"/>
        <v>0</v>
      </c>
      <c r="M316" s="75"/>
      <c r="N316" s="75">
        <f t="shared" si="69"/>
        <v>0</v>
      </c>
    </row>
    <row r="317" spans="1:14" x14ac:dyDescent="0.25">
      <c r="A317" s="33"/>
      <c r="B317" s="33"/>
      <c r="C317" s="33" t="s">
        <v>307</v>
      </c>
      <c r="D317" s="36"/>
      <c r="E317" s="20" t="s">
        <v>308</v>
      </c>
      <c r="F317" s="71">
        <f t="shared" si="69"/>
        <v>195</v>
      </c>
      <c r="G317" s="71"/>
      <c r="H317" s="71">
        <f t="shared" si="69"/>
        <v>195</v>
      </c>
      <c r="I317" s="71">
        <f t="shared" si="69"/>
        <v>158</v>
      </c>
      <c r="J317" s="71"/>
      <c r="K317" s="71">
        <f t="shared" si="69"/>
        <v>158</v>
      </c>
      <c r="L317" s="71">
        <f t="shared" si="69"/>
        <v>0</v>
      </c>
      <c r="M317" s="71"/>
      <c r="N317" s="71">
        <f t="shared" si="69"/>
        <v>0</v>
      </c>
    </row>
    <row r="318" spans="1:14" x14ac:dyDescent="0.25">
      <c r="A318" s="92"/>
      <c r="B318" s="92"/>
      <c r="C318" s="6" t="s">
        <v>310</v>
      </c>
      <c r="D318" s="22"/>
      <c r="E318" s="54" t="s">
        <v>311</v>
      </c>
      <c r="F318" s="80">
        <f>F319</f>
        <v>195</v>
      </c>
      <c r="G318" s="80"/>
      <c r="H318" s="80">
        <f>H319</f>
        <v>195</v>
      </c>
      <c r="I318" s="80">
        <f>I319</f>
        <v>158</v>
      </c>
      <c r="J318" s="80"/>
      <c r="K318" s="80">
        <f>K319</f>
        <v>158</v>
      </c>
      <c r="L318" s="80">
        <v>0</v>
      </c>
      <c r="M318" s="80"/>
      <c r="N318" s="80">
        <v>0</v>
      </c>
    </row>
    <row r="319" spans="1:14" x14ac:dyDescent="0.25">
      <c r="A319" s="92"/>
      <c r="B319" s="92"/>
      <c r="C319" s="6"/>
      <c r="D319" s="6" t="s">
        <v>280</v>
      </c>
      <c r="E319" s="3" t="s">
        <v>281</v>
      </c>
      <c r="F319" s="80">
        <v>195</v>
      </c>
      <c r="G319" s="80"/>
      <c r="H319" s="80">
        <v>195</v>
      </c>
      <c r="I319" s="80">
        <v>158</v>
      </c>
      <c r="J319" s="80"/>
      <c r="K319" s="80">
        <v>158</v>
      </c>
      <c r="L319" s="80">
        <v>0</v>
      </c>
      <c r="M319" s="80"/>
      <c r="N319" s="80">
        <v>0</v>
      </c>
    </row>
    <row r="320" spans="1:14" ht="26.25" x14ac:dyDescent="0.25">
      <c r="A320" s="31"/>
      <c r="B320" s="31"/>
      <c r="C320" s="31" t="s">
        <v>317</v>
      </c>
      <c r="D320" s="31"/>
      <c r="E320" s="52" t="s">
        <v>318</v>
      </c>
      <c r="F320" s="75">
        <f t="shared" ref="F320:L320" si="70">F321+F335</f>
        <v>12275.012230000002</v>
      </c>
      <c r="G320" s="75">
        <f t="shared" ref="G320" si="71">G321+G335</f>
        <v>764.59999999999991</v>
      </c>
      <c r="H320" s="75">
        <f t="shared" si="70"/>
        <v>13039.612230000001</v>
      </c>
      <c r="I320" s="75">
        <f t="shared" si="70"/>
        <v>13408.183150000001</v>
      </c>
      <c r="J320" s="75">
        <f t="shared" ref="J320" si="72">J321+J335</f>
        <v>833.13653999999997</v>
      </c>
      <c r="K320" s="75">
        <f t="shared" si="70"/>
        <v>14241.31969</v>
      </c>
      <c r="L320" s="75">
        <f t="shared" si="70"/>
        <v>0</v>
      </c>
      <c r="M320" s="75"/>
      <c r="N320" s="75">
        <f>N321+N335</f>
        <v>0</v>
      </c>
    </row>
    <row r="321" spans="1:14" ht="26.25" x14ac:dyDescent="0.25">
      <c r="A321" s="33"/>
      <c r="B321" s="33"/>
      <c r="C321" s="33" t="s">
        <v>319</v>
      </c>
      <c r="D321" s="33"/>
      <c r="E321" s="20" t="s">
        <v>320</v>
      </c>
      <c r="F321" s="71">
        <f>F324+F327+F322+F329+F333</f>
        <v>11141.312230000001</v>
      </c>
      <c r="G321" s="71">
        <f>G324+G327+G322+G329+G333</f>
        <v>425.4</v>
      </c>
      <c r="H321" s="71">
        <f>H324+H327+H322+H329++H333</f>
        <v>11566.712230000001</v>
      </c>
      <c r="I321" s="71">
        <f>I324+I327+I322+I329</f>
        <v>5189.1831499999998</v>
      </c>
      <c r="J321" s="71">
        <f>J324+J327+J322+J329</f>
        <v>833.13653999999997</v>
      </c>
      <c r="K321" s="71">
        <f>K324+K327+K322+K329</f>
        <v>6022.3196900000003</v>
      </c>
      <c r="L321" s="71">
        <f>L324+L327+L322+L329</f>
        <v>0</v>
      </c>
      <c r="M321" s="71"/>
      <c r="N321" s="71">
        <f>N324+N327+N322+N329</f>
        <v>0</v>
      </c>
    </row>
    <row r="322" spans="1:14" x14ac:dyDescent="0.25">
      <c r="A322" s="12"/>
      <c r="B322" s="12"/>
      <c r="C322" s="16" t="s">
        <v>672</v>
      </c>
      <c r="D322" s="18"/>
      <c r="E322" s="1" t="s">
        <v>502</v>
      </c>
      <c r="F322" s="70">
        <f>F323</f>
        <v>356.8</v>
      </c>
      <c r="G322" s="70"/>
      <c r="H322" s="70">
        <f>H323</f>
        <v>356.8</v>
      </c>
      <c r="I322" s="70">
        <v>0</v>
      </c>
      <c r="J322" s="70"/>
      <c r="K322" s="70">
        <v>0</v>
      </c>
      <c r="L322" s="70">
        <v>0</v>
      </c>
      <c r="M322" s="70"/>
      <c r="N322" s="70">
        <v>0</v>
      </c>
    </row>
    <row r="323" spans="1:14" x14ac:dyDescent="0.25">
      <c r="A323" s="12"/>
      <c r="B323" s="12"/>
      <c r="C323" s="16"/>
      <c r="D323" s="6" t="s">
        <v>280</v>
      </c>
      <c r="E323" s="3" t="s">
        <v>281</v>
      </c>
      <c r="F323" s="70">
        <f>613.5-256.7</f>
        <v>356.8</v>
      </c>
      <c r="G323" s="70"/>
      <c r="H323" s="70">
        <f>613.5-256.7</f>
        <v>356.8</v>
      </c>
      <c r="I323" s="70">
        <v>0</v>
      </c>
      <c r="J323" s="70"/>
      <c r="K323" s="70">
        <v>0</v>
      </c>
      <c r="L323" s="70">
        <v>0</v>
      </c>
      <c r="M323" s="70"/>
      <c r="N323" s="70">
        <v>0</v>
      </c>
    </row>
    <row r="324" spans="1:14" x14ac:dyDescent="0.25">
      <c r="A324" s="6"/>
      <c r="B324" s="6"/>
      <c r="C324" s="6" t="s">
        <v>321</v>
      </c>
      <c r="D324" s="6"/>
      <c r="E324" s="54" t="s">
        <v>322</v>
      </c>
      <c r="F324" s="80">
        <f>F325+F326</f>
        <v>6314.3</v>
      </c>
      <c r="G324" s="80">
        <f>G325</f>
        <v>0</v>
      </c>
      <c r="H324" s="80">
        <f>H325+H326</f>
        <v>6314.3</v>
      </c>
      <c r="I324" s="80">
        <f>I325</f>
        <v>0</v>
      </c>
      <c r="J324" s="80"/>
      <c r="K324" s="80">
        <f>K325</f>
        <v>0</v>
      </c>
      <c r="L324" s="80">
        <f>L325</f>
        <v>0</v>
      </c>
      <c r="M324" s="80"/>
      <c r="N324" s="80">
        <f>N325</f>
        <v>0</v>
      </c>
    </row>
    <row r="325" spans="1:14" x14ac:dyDescent="0.25">
      <c r="A325" s="12"/>
      <c r="B325" s="12"/>
      <c r="C325" s="12"/>
      <c r="D325" s="6" t="s">
        <v>280</v>
      </c>
      <c r="E325" s="3" t="s">
        <v>281</v>
      </c>
      <c r="F325" s="80">
        <v>6024.3</v>
      </c>
      <c r="G325" s="80"/>
      <c r="H325" s="80">
        <f>SUM(F325:G325)</f>
        <v>6024.3</v>
      </c>
      <c r="I325" s="80">
        <v>0</v>
      </c>
      <c r="J325" s="80"/>
      <c r="K325" s="80">
        <v>0</v>
      </c>
      <c r="L325" s="80">
        <f>3880.1-3880.1</f>
        <v>0</v>
      </c>
      <c r="M325" s="80"/>
      <c r="N325" s="80">
        <f>3880.1-3880.1</f>
        <v>0</v>
      </c>
    </row>
    <row r="326" spans="1:14" ht="25.5" x14ac:dyDescent="0.25">
      <c r="A326" s="12"/>
      <c r="B326" s="12"/>
      <c r="C326" s="12"/>
      <c r="D326" s="6" t="s">
        <v>470</v>
      </c>
      <c r="E326" s="1" t="s">
        <v>471</v>
      </c>
      <c r="F326" s="80">
        <v>290</v>
      </c>
      <c r="G326" s="80"/>
      <c r="H326" s="80">
        <v>290</v>
      </c>
      <c r="I326" s="80"/>
      <c r="J326" s="80"/>
      <c r="K326" s="80"/>
      <c r="L326" s="80"/>
      <c r="M326" s="80"/>
      <c r="N326" s="80"/>
    </row>
    <row r="327" spans="1:14" ht="26.25" x14ac:dyDescent="0.25">
      <c r="A327" s="6"/>
      <c r="B327" s="6"/>
      <c r="C327" s="6" t="s">
        <v>459</v>
      </c>
      <c r="D327" s="6"/>
      <c r="E327" s="3" t="s">
        <v>323</v>
      </c>
      <c r="F327" s="70">
        <f>F328</f>
        <v>598</v>
      </c>
      <c r="G327" s="70">
        <f>G328</f>
        <v>425.4</v>
      </c>
      <c r="H327" s="70">
        <f>H328</f>
        <v>1023.4</v>
      </c>
      <c r="I327" s="70">
        <f>I328</f>
        <v>0</v>
      </c>
      <c r="J327" s="70"/>
      <c r="K327" s="70">
        <f>K328</f>
        <v>0</v>
      </c>
      <c r="L327" s="70">
        <f>L328</f>
        <v>0</v>
      </c>
      <c r="M327" s="70"/>
      <c r="N327" s="70">
        <f>N328</f>
        <v>0</v>
      </c>
    </row>
    <row r="328" spans="1:14" x14ac:dyDescent="0.25">
      <c r="A328" s="6"/>
      <c r="B328" s="6"/>
      <c r="C328" s="6"/>
      <c r="D328" s="6" t="s">
        <v>280</v>
      </c>
      <c r="E328" s="3" t="s">
        <v>281</v>
      </c>
      <c r="F328" s="70">
        <f>341.3+256.7</f>
        <v>598</v>
      </c>
      <c r="G328" s="80">
        <v>425.4</v>
      </c>
      <c r="H328" s="70">
        <f>SUM(F328:G328)</f>
        <v>1023.4</v>
      </c>
      <c r="I328" s="70">
        <v>0</v>
      </c>
      <c r="J328" s="70"/>
      <c r="K328" s="70">
        <v>0</v>
      </c>
      <c r="L328" s="70">
        <v>0</v>
      </c>
      <c r="M328" s="70"/>
      <c r="N328" s="70">
        <v>0</v>
      </c>
    </row>
    <row r="329" spans="1:14" ht="38.25" x14ac:dyDescent="0.25">
      <c r="A329" s="6"/>
      <c r="B329" s="6"/>
      <c r="C329" s="6" t="s">
        <v>917</v>
      </c>
      <c r="D329" s="6"/>
      <c r="E329" s="1" t="s">
        <v>503</v>
      </c>
      <c r="F329" s="80">
        <f>F330</f>
        <v>3615.5122299999998</v>
      </c>
      <c r="G329" s="80"/>
      <c r="H329" s="80">
        <f>H330</f>
        <v>3615.5122299999998</v>
      </c>
      <c r="I329" s="80">
        <f>I330</f>
        <v>5189.1831499999998</v>
      </c>
      <c r="J329" s="80">
        <f>J330</f>
        <v>833.13653999999997</v>
      </c>
      <c r="K329" s="80">
        <f>K330</f>
        <v>6022.3196900000003</v>
      </c>
      <c r="L329" s="70">
        <v>0</v>
      </c>
      <c r="M329" s="70"/>
      <c r="N329" s="70">
        <v>0</v>
      </c>
    </row>
    <row r="330" spans="1:14" x14ac:dyDescent="0.25">
      <c r="A330" s="6"/>
      <c r="B330" s="6"/>
      <c r="C330" s="16"/>
      <c r="D330" s="6" t="s">
        <v>280</v>
      </c>
      <c r="E330" s="3" t="s">
        <v>281</v>
      </c>
      <c r="F330" s="80">
        <f>SUM(F331:F332)</f>
        <v>3615.5122299999998</v>
      </c>
      <c r="G330" s="80"/>
      <c r="H330" s="80">
        <f>SUM(H331:H332)</f>
        <v>3615.5122299999998</v>
      </c>
      <c r="I330" s="80">
        <f>SUM(I331:I332)</f>
        <v>5189.1831499999998</v>
      </c>
      <c r="J330" s="80">
        <f>SUM(J331:J332)</f>
        <v>833.13653999999997</v>
      </c>
      <c r="K330" s="80">
        <f>SUM(K331:K332)</f>
        <v>6022.3196900000003</v>
      </c>
      <c r="L330" s="70">
        <v>0</v>
      </c>
      <c r="M330" s="70"/>
      <c r="N330" s="70">
        <v>0</v>
      </c>
    </row>
    <row r="331" spans="1:14" x14ac:dyDescent="0.25">
      <c r="A331" s="6"/>
      <c r="B331" s="6"/>
      <c r="C331" s="16"/>
      <c r="D331" s="6"/>
      <c r="E331" s="3" t="s">
        <v>152</v>
      </c>
      <c r="F331" s="80">
        <v>2711.6341699999998</v>
      </c>
      <c r="G331" s="80"/>
      <c r="H331" s="80">
        <v>2711.6341699999998</v>
      </c>
      <c r="I331" s="80">
        <v>3891.8873600000002</v>
      </c>
      <c r="J331" s="80"/>
      <c r="K331" s="80">
        <v>3891.8873600000002</v>
      </c>
      <c r="L331" s="70">
        <v>0</v>
      </c>
      <c r="M331" s="70"/>
      <c r="N331" s="70">
        <v>0</v>
      </c>
    </row>
    <row r="332" spans="1:14" x14ac:dyDescent="0.25">
      <c r="A332" s="6"/>
      <c r="B332" s="6"/>
      <c r="C332" s="16"/>
      <c r="D332" s="6"/>
      <c r="E332" s="19" t="s">
        <v>105</v>
      </c>
      <c r="F332" s="80">
        <v>903.87806</v>
      </c>
      <c r="G332" s="80"/>
      <c r="H332" s="80">
        <v>903.87806</v>
      </c>
      <c r="I332" s="80">
        <v>1297.2957899999999</v>
      </c>
      <c r="J332" s="80">
        <v>833.13653999999997</v>
      </c>
      <c r="K332" s="80">
        <f>SUM(I332:J332)</f>
        <v>2130.4323299999996</v>
      </c>
      <c r="L332" s="70">
        <v>0</v>
      </c>
      <c r="M332" s="70"/>
      <c r="N332" s="70">
        <v>0</v>
      </c>
    </row>
    <row r="333" spans="1:14" ht="26.25" x14ac:dyDescent="0.25">
      <c r="A333" s="6"/>
      <c r="B333" s="6"/>
      <c r="C333" s="22" t="s">
        <v>839</v>
      </c>
      <c r="D333" s="22"/>
      <c r="E333" s="54" t="s">
        <v>885</v>
      </c>
      <c r="F333" s="80">
        <f>F334</f>
        <v>256.7</v>
      </c>
      <c r="G333" s="80"/>
      <c r="H333" s="80">
        <f>H334</f>
        <v>256.7</v>
      </c>
      <c r="I333" s="80">
        <v>0</v>
      </c>
      <c r="J333" s="80"/>
      <c r="K333" s="80">
        <v>0</v>
      </c>
      <c r="L333" s="70">
        <v>0</v>
      </c>
      <c r="M333" s="70"/>
      <c r="N333" s="70">
        <v>0</v>
      </c>
    </row>
    <row r="334" spans="1:14" x14ac:dyDescent="0.25">
      <c r="A334" s="6"/>
      <c r="B334" s="6"/>
      <c r="C334" s="22"/>
      <c r="D334" s="22" t="s">
        <v>280</v>
      </c>
      <c r="E334" s="54" t="s">
        <v>281</v>
      </c>
      <c r="F334" s="80">
        <v>256.7</v>
      </c>
      <c r="G334" s="80"/>
      <c r="H334" s="80">
        <v>256.7</v>
      </c>
      <c r="I334" s="80">
        <v>0</v>
      </c>
      <c r="J334" s="80"/>
      <c r="K334" s="80">
        <v>0</v>
      </c>
      <c r="L334" s="70">
        <v>0</v>
      </c>
      <c r="M334" s="70"/>
      <c r="N334" s="70">
        <v>0</v>
      </c>
    </row>
    <row r="335" spans="1:14" x14ac:dyDescent="0.25">
      <c r="A335" s="33"/>
      <c r="B335" s="33"/>
      <c r="C335" s="33" t="s">
        <v>324</v>
      </c>
      <c r="D335" s="33"/>
      <c r="E335" s="20" t="s">
        <v>325</v>
      </c>
      <c r="F335" s="71">
        <f>F336+F338</f>
        <v>1133.7</v>
      </c>
      <c r="G335" s="71">
        <f>G338</f>
        <v>339.2</v>
      </c>
      <c r="H335" s="71">
        <f>H336+H338</f>
        <v>1472.9</v>
      </c>
      <c r="I335" s="71">
        <f t="shared" ref="I335:N335" si="73">I336+I338</f>
        <v>8219</v>
      </c>
      <c r="J335" s="71"/>
      <c r="K335" s="71">
        <f t="shared" si="73"/>
        <v>8219</v>
      </c>
      <c r="L335" s="71">
        <f t="shared" si="73"/>
        <v>0</v>
      </c>
      <c r="M335" s="71"/>
      <c r="N335" s="71">
        <f t="shared" si="73"/>
        <v>0</v>
      </c>
    </row>
    <row r="336" spans="1:14" x14ac:dyDescent="0.25">
      <c r="A336" s="6"/>
      <c r="B336" s="6"/>
      <c r="C336" s="6" t="s">
        <v>326</v>
      </c>
      <c r="D336" s="16"/>
      <c r="E336" s="1" t="s">
        <v>327</v>
      </c>
      <c r="F336" s="70">
        <f>F337</f>
        <v>1133.7</v>
      </c>
      <c r="G336" s="70"/>
      <c r="H336" s="70">
        <f>H337</f>
        <v>1133.7</v>
      </c>
      <c r="I336" s="70">
        <f>I337</f>
        <v>0</v>
      </c>
      <c r="J336" s="70"/>
      <c r="K336" s="70">
        <f>K337</f>
        <v>0</v>
      </c>
      <c r="L336" s="70">
        <f>L337</f>
        <v>0</v>
      </c>
      <c r="M336" s="70"/>
      <c r="N336" s="70">
        <f>N337</f>
        <v>0</v>
      </c>
    </row>
    <row r="337" spans="1:14" x14ac:dyDescent="0.25">
      <c r="A337" s="6"/>
      <c r="B337" s="6"/>
      <c r="C337" s="6"/>
      <c r="D337" s="6" t="s">
        <v>280</v>
      </c>
      <c r="E337" s="3" t="s">
        <v>281</v>
      </c>
      <c r="F337" s="70">
        <v>1133.7</v>
      </c>
      <c r="G337" s="70"/>
      <c r="H337" s="70">
        <v>1133.7</v>
      </c>
      <c r="I337" s="70">
        <v>0</v>
      </c>
      <c r="J337" s="70"/>
      <c r="K337" s="70">
        <v>0</v>
      </c>
      <c r="L337" s="70">
        <v>0</v>
      </c>
      <c r="M337" s="70"/>
      <c r="N337" s="70">
        <v>0</v>
      </c>
    </row>
    <row r="338" spans="1:14" x14ac:dyDescent="0.25">
      <c r="A338" s="6"/>
      <c r="B338" s="6"/>
      <c r="C338" s="6" t="s">
        <v>865</v>
      </c>
      <c r="D338" s="4"/>
      <c r="E338" s="19" t="s">
        <v>866</v>
      </c>
      <c r="F338" s="70">
        <v>0</v>
      </c>
      <c r="G338" s="70">
        <f>G339</f>
        <v>339.2</v>
      </c>
      <c r="H338" s="70">
        <f>H339</f>
        <v>339.2</v>
      </c>
      <c r="I338" s="70">
        <f>I339</f>
        <v>8219</v>
      </c>
      <c r="J338" s="70"/>
      <c r="K338" s="70">
        <f>K339</f>
        <v>8219</v>
      </c>
      <c r="L338" s="70"/>
      <c r="M338" s="70"/>
      <c r="N338" s="70"/>
    </row>
    <row r="339" spans="1:14" x14ac:dyDescent="0.25">
      <c r="A339" s="6"/>
      <c r="B339" s="6"/>
      <c r="C339" s="6"/>
      <c r="D339" s="6" t="s">
        <v>280</v>
      </c>
      <c r="E339" s="3" t="s">
        <v>281</v>
      </c>
      <c r="F339" s="70">
        <v>0</v>
      </c>
      <c r="G339" s="70">
        <v>339.2</v>
      </c>
      <c r="H339" s="70">
        <v>339.2</v>
      </c>
      <c r="I339" s="70">
        <v>8219</v>
      </c>
      <c r="J339" s="70"/>
      <c r="K339" s="70">
        <v>8219</v>
      </c>
      <c r="L339" s="70"/>
      <c r="M339" s="70"/>
      <c r="N339" s="70"/>
    </row>
    <row r="340" spans="1:14" x14ac:dyDescent="0.25">
      <c r="A340" s="283"/>
      <c r="B340" s="283"/>
      <c r="C340" s="59" t="s">
        <v>393</v>
      </c>
      <c r="D340" s="59"/>
      <c r="E340" s="60" t="s">
        <v>394</v>
      </c>
      <c r="F340" s="83">
        <v>2631.2</v>
      </c>
      <c r="G340" s="83">
        <f>G341</f>
        <v>2146.27</v>
      </c>
      <c r="H340" s="83">
        <f>H341</f>
        <v>4777.4699999999993</v>
      </c>
      <c r="I340" s="83">
        <f t="shared" ref="I340:N340" si="74">I341</f>
        <v>0</v>
      </c>
      <c r="J340" s="83"/>
      <c r="K340" s="83">
        <f t="shared" si="74"/>
        <v>0</v>
      </c>
      <c r="L340" s="83">
        <f t="shared" si="74"/>
        <v>0</v>
      </c>
      <c r="M340" s="83"/>
      <c r="N340" s="83">
        <f t="shared" si="74"/>
        <v>0</v>
      </c>
    </row>
    <row r="341" spans="1:14" ht="26.25" x14ac:dyDescent="0.25">
      <c r="A341" s="62"/>
      <c r="B341" s="62"/>
      <c r="C341" s="61" t="s">
        <v>401</v>
      </c>
      <c r="D341" s="61"/>
      <c r="E341" s="63" t="s">
        <v>402</v>
      </c>
      <c r="F341" s="84">
        <f>F342+F344</f>
        <v>2631.2</v>
      </c>
      <c r="G341" s="84">
        <f t="shared" ref="G341:H341" si="75">G342+G344</f>
        <v>2146.27</v>
      </c>
      <c r="H341" s="84">
        <f t="shared" si="75"/>
        <v>4777.4699999999993</v>
      </c>
      <c r="I341" s="84">
        <f t="shared" ref="I341" si="76">I342+I344</f>
        <v>0</v>
      </c>
      <c r="J341" s="84"/>
      <c r="K341" s="84">
        <f t="shared" ref="K341" si="77">K342+K344</f>
        <v>0</v>
      </c>
      <c r="L341" s="84">
        <f t="shared" ref="L341" si="78">L342+L344</f>
        <v>0</v>
      </c>
      <c r="M341" s="84"/>
      <c r="N341" s="84">
        <f t="shared" ref="N341" si="79">N342+N344</f>
        <v>0</v>
      </c>
    </row>
    <row r="342" spans="1:14" ht="26.25" x14ac:dyDescent="0.25">
      <c r="A342" s="6"/>
      <c r="B342" s="6"/>
      <c r="C342" s="22" t="s">
        <v>878</v>
      </c>
      <c r="D342" s="16"/>
      <c r="E342" s="53" t="s">
        <v>877</v>
      </c>
      <c r="F342" s="70">
        <v>2631.2</v>
      </c>
      <c r="G342" s="70"/>
      <c r="H342" s="70">
        <f>H343</f>
        <v>2631.2</v>
      </c>
      <c r="I342" s="70">
        <v>0</v>
      </c>
      <c r="J342" s="70"/>
      <c r="K342" s="70">
        <v>0</v>
      </c>
      <c r="L342" s="70">
        <v>0</v>
      </c>
      <c r="M342" s="70"/>
      <c r="N342" s="70">
        <v>0</v>
      </c>
    </row>
    <row r="343" spans="1:14" ht="26.25" x14ac:dyDescent="0.25">
      <c r="A343" s="6"/>
      <c r="B343" s="6"/>
      <c r="C343" s="17"/>
      <c r="D343" s="6" t="s">
        <v>298</v>
      </c>
      <c r="E343" s="3" t="s">
        <v>299</v>
      </c>
      <c r="F343" s="70">
        <v>2631.2</v>
      </c>
      <c r="G343" s="70"/>
      <c r="H343" s="70">
        <v>2631.2</v>
      </c>
      <c r="I343" s="70">
        <v>0</v>
      </c>
      <c r="J343" s="70"/>
      <c r="K343" s="70">
        <v>0</v>
      </c>
      <c r="L343" s="70">
        <v>0</v>
      </c>
      <c r="M343" s="70"/>
      <c r="N343" s="70">
        <v>0</v>
      </c>
    </row>
    <row r="344" spans="1:14" x14ac:dyDescent="0.25">
      <c r="A344" s="6"/>
      <c r="B344" s="6"/>
      <c r="C344" s="22" t="s">
        <v>916</v>
      </c>
      <c r="D344" s="16"/>
      <c r="E344" s="53" t="s">
        <v>915</v>
      </c>
      <c r="F344" s="70">
        <f>F345</f>
        <v>0</v>
      </c>
      <c r="G344" s="70">
        <f>G345</f>
        <v>2146.27</v>
      </c>
      <c r="H344" s="70">
        <f>H345</f>
        <v>2146.27</v>
      </c>
      <c r="I344" s="70">
        <v>0</v>
      </c>
      <c r="J344" s="70"/>
      <c r="K344" s="70">
        <v>0</v>
      </c>
      <c r="L344" s="70">
        <v>0</v>
      </c>
      <c r="M344" s="70"/>
      <c r="N344" s="70">
        <v>0</v>
      </c>
    </row>
    <row r="345" spans="1:14" ht="25.5" x14ac:dyDescent="0.25">
      <c r="A345" s="6"/>
      <c r="B345" s="6"/>
      <c r="C345" s="17"/>
      <c r="D345" s="6" t="s">
        <v>470</v>
      </c>
      <c r="E345" s="1" t="s">
        <v>471</v>
      </c>
      <c r="F345" s="70">
        <v>0</v>
      </c>
      <c r="G345" s="70">
        <f>2084.8+61.47</f>
        <v>2146.27</v>
      </c>
      <c r="H345" s="70">
        <f>SUM(F345:G345)</f>
        <v>2146.27</v>
      </c>
      <c r="I345" s="70">
        <v>0</v>
      </c>
      <c r="J345" s="70"/>
      <c r="K345" s="70">
        <v>0</v>
      </c>
      <c r="L345" s="70">
        <v>0</v>
      </c>
      <c r="M345" s="70"/>
      <c r="N345" s="70">
        <v>0</v>
      </c>
    </row>
    <row r="346" spans="1:14" x14ac:dyDescent="0.25">
      <c r="A346" s="92"/>
      <c r="B346" s="17" t="s">
        <v>613</v>
      </c>
      <c r="C346" s="103"/>
      <c r="D346" s="102"/>
      <c r="E346" s="96" t="s">
        <v>614</v>
      </c>
      <c r="F346" s="124">
        <f t="shared" ref="F346:N346" si="80">F347</f>
        <v>38297.313500000004</v>
      </c>
      <c r="G346" s="124">
        <f t="shared" si="80"/>
        <v>1649.0883799999999</v>
      </c>
      <c r="H346" s="124">
        <f t="shared" si="80"/>
        <v>39946.401880000005</v>
      </c>
      <c r="I346" s="124">
        <f t="shared" si="80"/>
        <v>38879.253839999998</v>
      </c>
      <c r="J346" s="124">
        <f t="shared" si="80"/>
        <v>629.25205000000005</v>
      </c>
      <c r="K346" s="124">
        <f t="shared" si="80"/>
        <v>39508.50589</v>
      </c>
      <c r="L346" s="124">
        <f t="shared" si="80"/>
        <v>55746.088669999997</v>
      </c>
      <c r="M346" s="124">
        <f t="shared" si="80"/>
        <v>2074.99892</v>
      </c>
      <c r="N346" s="124">
        <f t="shared" si="80"/>
        <v>57821.087590000003</v>
      </c>
    </row>
    <row r="347" spans="1:14" x14ac:dyDescent="0.25">
      <c r="A347" s="92"/>
      <c r="B347" s="17"/>
      <c r="C347" s="103" t="s">
        <v>5</v>
      </c>
      <c r="D347" s="17"/>
      <c r="E347" s="123" t="s">
        <v>6</v>
      </c>
      <c r="F347" s="124">
        <f t="shared" ref="F347:N347" si="81">F348+F386</f>
        <v>38297.313500000004</v>
      </c>
      <c r="G347" s="124">
        <f t="shared" si="81"/>
        <v>1649.0883799999999</v>
      </c>
      <c r="H347" s="124">
        <f t="shared" si="81"/>
        <v>39946.401880000005</v>
      </c>
      <c r="I347" s="124">
        <f t="shared" si="81"/>
        <v>38879.253839999998</v>
      </c>
      <c r="J347" s="124">
        <f t="shared" ref="J347" si="82">J348+J386</f>
        <v>629.25205000000005</v>
      </c>
      <c r="K347" s="124">
        <f t="shared" si="81"/>
        <v>39508.50589</v>
      </c>
      <c r="L347" s="124">
        <f t="shared" si="81"/>
        <v>55746.088669999997</v>
      </c>
      <c r="M347" s="124">
        <f t="shared" ref="M347" si="83">M348+M386</f>
        <v>2074.99892</v>
      </c>
      <c r="N347" s="124">
        <f t="shared" si="81"/>
        <v>57821.087590000003</v>
      </c>
    </row>
    <row r="348" spans="1:14" ht="25.5" x14ac:dyDescent="0.25">
      <c r="A348" s="105"/>
      <c r="B348" s="106"/>
      <c r="C348" s="107" t="s">
        <v>289</v>
      </c>
      <c r="D348" s="106"/>
      <c r="E348" s="108" t="s">
        <v>290</v>
      </c>
      <c r="F348" s="109">
        <f t="shared" ref="F348:N348" si="84">F349+F355</f>
        <v>28115.242689999999</v>
      </c>
      <c r="G348" s="109">
        <f t="shared" si="84"/>
        <v>1649.0883799999999</v>
      </c>
      <c r="H348" s="109">
        <f t="shared" si="84"/>
        <v>29764.33107</v>
      </c>
      <c r="I348" s="109">
        <f t="shared" si="84"/>
        <v>36481.398359999999</v>
      </c>
      <c r="J348" s="109">
        <f t="shared" ref="J348" si="85">J349+J355</f>
        <v>629.25205000000005</v>
      </c>
      <c r="K348" s="109">
        <f t="shared" si="84"/>
        <v>37110.650410000002</v>
      </c>
      <c r="L348" s="109">
        <f t="shared" si="84"/>
        <v>53348.233189999999</v>
      </c>
      <c r="M348" s="109">
        <f t="shared" ref="M348" si="86">M349+M355</f>
        <v>2074.99892</v>
      </c>
      <c r="N348" s="109">
        <f t="shared" si="84"/>
        <v>55423.232110000004</v>
      </c>
    </row>
    <row r="349" spans="1:14" x14ac:dyDescent="0.25">
      <c r="A349" s="31"/>
      <c r="B349" s="31"/>
      <c r="C349" s="31" t="s">
        <v>291</v>
      </c>
      <c r="D349" s="31"/>
      <c r="E349" s="52" t="s">
        <v>292</v>
      </c>
      <c r="F349" s="75">
        <f>F350</f>
        <v>4104.9799899999998</v>
      </c>
      <c r="G349" s="75"/>
      <c r="H349" s="75">
        <f t="shared" ref="H349:N349" si="87">H350</f>
        <v>4104.9799899999998</v>
      </c>
      <c r="I349" s="75">
        <f t="shared" si="87"/>
        <v>18820.898359999999</v>
      </c>
      <c r="J349" s="75">
        <f t="shared" si="87"/>
        <v>1.91123</v>
      </c>
      <c r="K349" s="75">
        <f t="shared" si="87"/>
        <v>18822.809590000001</v>
      </c>
      <c r="L349" s="75">
        <f t="shared" si="87"/>
        <v>33906.13319</v>
      </c>
      <c r="M349" s="75">
        <f t="shared" si="87"/>
        <v>2074.99892</v>
      </c>
      <c r="N349" s="75">
        <f t="shared" si="87"/>
        <v>35981.132110000006</v>
      </c>
    </row>
    <row r="350" spans="1:14" ht="26.25" x14ac:dyDescent="0.25">
      <c r="A350" s="22"/>
      <c r="B350" s="22"/>
      <c r="C350" s="22" t="s">
        <v>296</v>
      </c>
      <c r="D350" s="6"/>
      <c r="E350" s="3" t="s">
        <v>297</v>
      </c>
      <c r="F350" s="70">
        <f>F352+F353+F354</f>
        <v>4104.9799899999998</v>
      </c>
      <c r="G350" s="70"/>
      <c r="H350" s="70">
        <f t="shared" ref="H350:N350" si="88">H352+H353+H354</f>
        <v>4104.9799899999998</v>
      </c>
      <c r="I350" s="70">
        <f t="shared" si="88"/>
        <v>18820.898359999999</v>
      </c>
      <c r="J350" s="70">
        <f t="shared" si="88"/>
        <v>1.91123</v>
      </c>
      <c r="K350" s="70">
        <f t="shared" si="88"/>
        <v>18822.809590000001</v>
      </c>
      <c r="L350" s="70">
        <f t="shared" si="88"/>
        <v>33906.13319</v>
      </c>
      <c r="M350" s="70">
        <f t="shared" si="88"/>
        <v>2074.99892</v>
      </c>
      <c r="N350" s="70">
        <f t="shared" si="88"/>
        <v>35981.132110000006</v>
      </c>
    </row>
    <row r="351" spans="1:14" x14ac:dyDescent="0.25">
      <c r="A351" s="22"/>
      <c r="B351" s="22"/>
      <c r="C351" s="22"/>
      <c r="D351" s="22" t="s">
        <v>280</v>
      </c>
      <c r="E351" s="54" t="s">
        <v>281</v>
      </c>
      <c r="F351" s="70">
        <f>F352+F353+F354</f>
        <v>4104.9799899999998</v>
      </c>
      <c r="G351" s="70"/>
      <c r="H351" s="70">
        <f t="shared" ref="H351:N351" si="89">H352+H353+H354</f>
        <v>4104.9799899999998</v>
      </c>
      <c r="I351" s="70">
        <f t="shared" si="89"/>
        <v>18820.898359999999</v>
      </c>
      <c r="J351" s="70">
        <f>J354</f>
        <v>1.91123</v>
      </c>
      <c r="K351" s="70">
        <f t="shared" si="89"/>
        <v>18822.809590000001</v>
      </c>
      <c r="L351" s="70">
        <f t="shared" si="89"/>
        <v>33906.13319</v>
      </c>
      <c r="M351" s="70">
        <f t="shared" si="89"/>
        <v>2074.99892</v>
      </c>
      <c r="N351" s="70">
        <f t="shared" si="89"/>
        <v>35981.132110000006</v>
      </c>
    </row>
    <row r="352" spans="1:14" x14ac:dyDescent="0.25">
      <c r="A352" s="22"/>
      <c r="B352" s="22"/>
      <c r="C352" s="22"/>
      <c r="D352" s="6"/>
      <c r="E352" s="53" t="s">
        <v>151</v>
      </c>
      <c r="F352" s="70">
        <v>2729.81169</v>
      </c>
      <c r="G352" s="70"/>
      <c r="H352" s="70">
        <v>2729.81169</v>
      </c>
      <c r="I352" s="70">
        <v>12515.89741</v>
      </c>
      <c r="J352" s="70"/>
      <c r="K352" s="70">
        <v>12515.897410000001</v>
      </c>
      <c r="L352" s="70">
        <v>22547.57863</v>
      </c>
      <c r="M352" s="70"/>
      <c r="N352" s="70">
        <v>22547.57863</v>
      </c>
    </row>
    <row r="353" spans="1:14" x14ac:dyDescent="0.25">
      <c r="A353" s="22"/>
      <c r="B353" s="22"/>
      <c r="C353" s="22"/>
      <c r="D353" s="6"/>
      <c r="E353" s="53" t="s">
        <v>209</v>
      </c>
      <c r="F353" s="70">
        <v>143.67429999999999</v>
      </c>
      <c r="G353" s="70"/>
      <c r="H353" s="70">
        <v>143.67429999999999</v>
      </c>
      <c r="I353" s="70">
        <v>658.73144000000002</v>
      </c>
      <c r="J353" s="70"/>
      <c r="K353" s="70">
        <v>658.73144000000002</v>
      </c>
      <c r="L353" s="70">
        <v>1186.7146600000001</v>
      </c>
      <c r="M353" s="70"/>
      <c r="N353" s="70">
        <v>1186.7146599999999</v>
      </c>
    </row>
    <row r="354" spans="1:14" x14ac:dyDescent="0.25">
      <c r="A354" s="22"/>
      <c r="B354" s="22"/>
      <c r="C354" s="22"/>
      <c r="D354" s="6"/>
      <c r="E354" s="53" t="s">
        <v>295</v>
      </c>
      <c r="F354" s="70">
        <v>1231.4939999999999</v>
      </c>
      <c r="G354" s="70"/>
      <c r="H354" s="70">
        <v>1231.4939999999999</v>
      </c>
      <c r="I354" s="70">
        <v>5646.2695100000001</v>
      </c>
      <c r="J354" s="70">
        <v>1.91123</v>
      </c>
      <c r="K354" s="70">
        <f>SUM(I354:J354)</f>
        <v>5648.1807399999998</v>
      </c>
      <c r="L354" s="70">
        <v>10171.839900000001</v>
      </c>
      <c r="M354" s="70">
        <v>2074.99892</v>
      </c>
      <c r="N354" s="70">
        <f>SUM(L354:M354)</f>
        <v>12246.838820000001</v>
      </c>
    </row>
    <row r="355" spans="1:14" ht="26.25" x14ac:dyDescent="0.25">
      <c r="A355" s="31"/>
      <c r="B355" s="31"/>
      <c r="C355" s="31" t="s">
        <v>300</v>
      </c>
      <c r="D355" s="31"/>
      <c r="E355" s="52" t="s">
        <v>301</v>
      </c>
      <c r="F355" s="75">
        <f>F356+F376+F383</f>
        <v>24010.262699999999</v>
      </c>
      <c r="G355" s="75">
        <f>G356+G383</f>
        <v>1649.0883799999999</v>
      </c>
      <c r="H355" s="75">
        <f>H356+H376+H383</f>
        <v>25659.35108</v>
      </c>
      <c r="I355" s="75">
        <f>I356+I376+I383</f>
        <v>17660.5</v>
      </c>
      <c r="J355" s="75">
        <f>J356</f>
        <v>627.34082000000001</v>
      </c>
      <c r="K355" s="75">
        <f>K356+K376+K383</f>
        <v>18287.840819999998</v>
      </c>
      <c r="L355" s="75">
        <f>L356+L376+L383</f>
        <v>19442.099999999999</v>
      </c>
      <c r="M355" s="75">
        <f>M356+M376+M383</f>
        <v>0</v>
      </c>
      <c r="N355" s="75">
        <f>N356+N376+N383</f>
        <v>19442.099999999999</v>
      </c>
    </row>
    <row r="356" spans="1:14" ht="26.25" x14ac:dyDescent="0.25">
      <c r="A356" s="33"/>
      <c r="B356" s="33"/>
      <c r="C356" s="33" t="s">
        <v>302</v>
      </c>
      <c r="D356" s="33"/>
      <c r="E356" s="20" t="s">
        <v>303</v>
      </c>
      <c r="F356" s="71">
        <f>F365+F367+F361+F357+F369+F371</f>
        <v>6504.1510799999987</v>
      </c>
      <c r="G356" s="71">
        <f>G374</f>
        <v>126.3</v>
      </c>
      <c r="H356" s="71">
        <f>H365+H367+H361+H357+H369+H371+H374</f>
        <v>6630.4510799999989</v>
      </c>
      <c r="I356" s="71">
        <f t="shared" ref="I356:N356" si="90">I365+I367+I361</f>
        <v>0</v>
      </c>
      <c r="J356" s="71">
        <f>J372</f>
        <v>627.34082000000001</v>
      </c>
      <c r="K356" s="71">
        <f>K365+K367+K361+K372</f>
        <v>627.34082000000001</v>
      </c>
      <c r="L356" s="71">
        <f t="shared" si="90"/>
        <v>0</v>
      </c>
      <c r="M356" s="71"/>
      <c r="N356" s="71">
        <f t="shared" si="90"/>
        <v>0</v>
      </c>
    </row>
    <row r="357" spans="1:14" s="39" customFormat="1" x14ac:dyDescent="0.25">
      <c r="A357" s="12"/>
      <c r="B357" s="12"/>
      <c r="C357" s="22" t="s">
        <v>837</v>
      </c>
      <c r="D357" s="6"/>
      <c r="E357" s="19" t="s">
        <v>838</v>
      </c>
      <c r="F357" s="70">
        <f>F358</f>
        <v>462.50008000000003</v>
      </c>
      <c r="G357" s="70"/>
      <c r="H357" s="70">
        <f>H358</f>
        <v>462.50008000000003</v>
      </c>
      <c r="I357" s="74"/>
      <c r="J357" s="74"/>
      <c r="K357" s="74">
        <v>0</v>
      </c>
      <c r="L357" s="74"/>
      <c r="M357" s="74"/>
      <c r="N357" s="74">
        <v>0</v>
      </c>
    </row>
    <row r="358" spans="1:14" s="39" customFormat="1" x14ac:dyDescent="0.25">
      <c r="A358" s="12"/>
      <c r="B358" s="12"/>
      <c r="C358" s="6"/>
      <c r="D358" s="6" t="s">
        <v>280</v>
      </c>
      <c r="E358" s="3" t="s">
        <v>281</v>
      </c>
      <c r="F358" s="70">
        <f>F359+F360</f>
        <v>462.50008000000003</v>
      </c>
      <c r="G358" s="70"/>
      <c r="H358" s="70">
        <f>H359+H360</f>
        <v>462.50008000000003</v>
      </c>
      <c r="I358" s="74"/>
      <c r="J358" s="74"/>
      <c r="K358" s="74">
        <v>0</v>
      </c>
      <c r="L358" s="74"/>
      <c r="M358" s="74"/>
      <c r="N358" s="74">
        <v>0</v>
      </c>
    </row>
    <row r="359" spans="1:14" s="39" customFormat="1" x14ac:dyDescent="0.25">
      <c r="A359" s="12"/>
      <c r="B359" s="12"/>
      <c r="C359" s="6"/>
      <c r="D359" s="6"/>
      <c r="E359" s="53" t="s">
        <v>295</v>
      </c>
      <c r="F359" s="70">
        <v>246.251</v>
      </c>
      <c r="G359" s="80"/>
      <c r="H359" s="70">
        <v>246.251</v>
      </c>
      <c r="I359" s="74"/>
      <c r="J359" s="74"/>
      <c r="K359" s="74">
        <v>0</v>
      </c>
      <c r="L359" s="74"/>
      <c r="M359" s="74"/>
      <c r="N359" s="74">
        <v>0</v>
      </c>
    </row>
    <row r="360" spans="1:14" s="39" customFormat="1" x14ac:dyDescent="0.25">
      <c r="A360" s="12"/>
      <c r="B360" s="12"/>
      <c r="C360" s="6"/>
      <c r="D360" s="6"/>
      <c r="E360" s="53" t="s">
        <v>855</v>
      </c>
      <c r="F360" s="80">
        <f>91+125.24908</f>
        <v>216.24907999999999</v>
      </c>
      <c r="G360" s="80"/>
      <c r="H360" s="70">
        <f>91+125.24908</f>
        <v>216.24907999999999</v>
      </c>
      <c r="I360" s="74"/>
      <c r="J360" s="74"/>
      <c r="K360" s="74">
        <v>0</v>
      </c>
      <c r="L360" s="74"/>
      <c r="M360" s="74"/>
      <c r="N360" s="74">
        <v>0</v>
      </c>
    </row>
    <row r="361" spans="1:14" ht="51" x14ac:dyDescent="0.25">
      <c r="A361" s="12"/>
      <c r="B361" s="12"/>
      <c r="C361" s="6" t="s">
        <v>510</v>
      </c>
      <c r="D361" s="6"/>
      <c r="E361" s="1" t="s">
        <v>545</v>
      </c>
      <c r="F361" s="70">
        <f>F362</f>
        <v>3572.0699999999997</v>
      </c>
      <c r="G361" s="70"/>
      <c r="H361" s="70">
        <f>H362</f>
        <v>3572.0699999999997</v>
      </c>
      <c r="I361" s="70">
        <v>0</v>
      </c>
      <c r="J361" s="70"/>
      <c r="K361" s="70">
        <v>0</v>
      </c>
      <c r="L361" s="70">
        <v>0</v>
      </c>
      <c r="M361" s="70"/>
      <c r="N361" s="70">
        <v>0</v>
      </c>
    </row>
    <row r="362" spans="1:14" x14ac:dyDescent="0.25">
      <c r="A362" s="12"/>
      <c r="B362" s="12"/>
      <c r="C362" s="6"/>
      <c r="D362" s="6" t="s">
        <v>280</v>
      </c>
      <c r="E362" s="3" t="s">
        <v>281</v>
      </c>
      <c r="F362" s="70">
        <f>F363+F364</f>
        <v>3572.0699999999997</v>
      </c>
      <c r="G362" s="70"/>
      <c r="H362" s="70">
        <f>H363+H364</f>
        <v>3572.0699999999997</v>
      </c>
      <c r="I362" s="70">
        <v>0</v>
      </c>
      <c r="J362" s="70"/>
      <c r="K362" s="70">
        <v>0</v>
      </c>
      <c r="L362" s="70">
        <v>0</v>
      </c>
      <c r="M362" s="70"/>
      <c r="N362" s="70">
        <v>0</v>
      </c>
    </row>
    <row r="363" spans="1:14" x14ac:dyDescent="0.25">
      <c r="A363" s="12"/>
      <c r="B363" s="12"/>
      <c r="C363" s="6"/>
      <c r="D363" s="6"/>
      <c r="E363" s="53" t="s">
        <v>209</v>
      </c>
      <c r="F363" s="70">
        <v>3214.8629999999998</v>
      </c>
      <c r="G363" s="70"/>
      <c r="H363" s="70">
        <v>3214.8629999999998</v>
      </c>
      <c r="I363" s="70">
        <v>0</v>
      </c>
      <c r="J363" s="70"/>
      <c r="K363" s="70">
        <v>0</v>
      </c>
      <c r="L363" s="70">
        <v>0</v>
      </c>
      <c r="M363" s="70"/>
      <c r="N363" s="70">
        <v>0</v>
      </c>
    </row>
    <row r="364" spans="1:14" x14ac:dyDescent="0.25">
      <c r="A364" s="12"/>
      <c r="B364" s="12"/>
      <c r="C364" s="6"/>
      <c r="D364" s="6"/>
      <c r="E364" s="53" t="s">
        <v>295</v>
      </c>
      <c r="F364" s="70">
        <v>357.20699999999999</v>
      </c>
      <c r="G364" s="70"/>
      <c r="H364" s="70">
        <v>357.20699999999999</v>
      </c>
      <c r="I364" s="70">
        <v>0</v>
      </c>
      <c r="J364" s="70"/>
      <c r="K364" s="70">
        <v>0</v>
      </c>
      <c r="L364" s="70">
        <v>0</v>
      </c>
      <c r="M364" s="70"/>
      <c r="N364" s="70">
        <v>0</v>
      </c>
    </row>
    <row r="365" spans="1:14" ht="25.5" x14ac:dyDescent="0.25">
      <c r="A365" s="16"/>
      <c r="B365" s="16"/>
      <c r="C365" s="16" t="s">
        <v>304</v>
      </c>
      <c r="D365" s="16"/>
      <c r="E365" s="1" t="s">
        <v>458</v>
      </c>
      <c r="F365" s="80">
        <f>F366</f>
        <v>678.79999999999973</v>
      </c>
      <c r="G365" s="80"/>
      <c r="H365" s="80">
        <f t="shared" ref="H365:N365" si="91">H366</f>
        <v>678.79999999999973</v>
      </c>
      <c r="I365" s="80">
        <f t="shared" si="91"/>
        <v>0</v>
      </c>
      <c r="J365" s="80"/>
      <c r="K365" s="80">
        <f t="shared" si="91"/>
        <v>0</v>
      </c>
      <c r="L365" s="80">
        <f t="shared" si="91"/>
        <v>0</v>
      </c>
      <c r="M365" s="80"/>
      <c r="N365" s="80">
        <f t="shared" si="91"/>
        <v>0</v>
      </c>
    </row>
    <row r="366" spans="1:14" x14ac:dyDescent="0.25">
      <c r="A366" s="16"/>
      <c r="B366" s="16"/>
      <c r="C366" s="16"/>
      <c r="D366" s="6" t="s">
        <v>280</v>
      </c>
      <c r="E366" s="3" t="s">
        <v>281</v>
      </c>
      <c r="F366" s="80">
        <f>3394.1-2715.3</f>
        <v>678.79999999999973</v>
      </c>
      <c r="G366" s="80"/>
      <c r="H366" s="80">
        <f>3394.1-2715.3</f>
        <v>678.79999999999973</v>
      </c>
      <c r="I366" s="80">
        <v>0</v>
      </c>
      <c r="J366" s="80"/>
      <c r="K366" s="80">
        <v>0</v>
      </c>
      <c r="L366" s="80">
        <v>0</v>
      </c>
      <c r="M366" s="80"/>
      <c r="N366" s="80">
        <v>0</v>
      </c>
    </row>
    <row r="367" spans="1:14" ht="25.5" x14ac:dyDescent="0.25">
      <c r="A367" s="16"/>
      <c r="B367" s="16"/>
      <c r="C367" s="16" t="s">
        <v>305</v>
      </c>
      <c r="D367" s="16"/>
      <c r="E367" s="1" t="s">
        <v>306</v>
      </c>
      <c r="F367" s="80">
        <f>F368</f>
        <v>452.79999999999995</v>
      </c>
      <c r="G367" s="80"/>
      <c r="H367" s="80">
        <f>H368</f>
        <v>452.79999999999995</v>
      </c>
      <c r="I367" s="80">
        <f>I368</f>
        <v>0</v>
      </c>
      <c r="J367" s="80"/>
      <c r="K367" s="80">
        <f>K368</f>
        <v>0</v>
      </c>
      <c r="L367" s="80">
        <f>L368</f>
        <v>0</v>
      </c>
      <c r="M367" s="80"/>
      <c r="N367" s="80">
        <f>N368</f>
        <v>0</v>
      </c>
    </row>
    <row r="368" spans="1:14" x14ac:dyDescent="0.25">
      <c r="A368" s="16"/>
      <c r="B368" s="16"/>
      <c r="C368" s="16"/>
      <c r="D368" s="6" t="s">
        <v>280</v>
      </c>
      <c r="E368" s="3" t="s">
        <v>281</v>
      </c>
      <c r="F368" s="80">
        <f>2264-1811.2</f>
        <v>452.79999999999995</v>
      </c>
      <c r="G368" s="80"/>
      <c r="H368" s="80">
        <f>2264-1811.2</f>
        <v>452.79999999999995</v>
      </c>
      <c r="I368" s="80">
        <v>0</v>
      </c>
      <c r="J368" s="80"/>
      <c r="K368" s="80">
        <v>0</v>
      </c>
      <c r="L368" s="80">
        <v>0</v>
      </c>
      <c r="M368" s="80"/>
      <c r="N368" s="80">
        <v>0</v>
      </c>
    </row>
    <row r="369" spans="1:14" x14ac:dyDescent="0.25">
      <c r="A369" s="16"/>
      <c r="B369" s="16"/>
      <c r="C369" s="16" t="s">
        <v>882</v>
      </c>
      <c r="D369" s="6"/>
      <c r="E369" s="53" t="s">
        <v>881</v>
      </c>
      <c r="F369" s="80">
        <v>591.70000000000005</v>
      </c>
      <c r="G369" s="80"/>
      <c r="H369" s="80">
        <v>591.70000000000005</v>
      </c>
      <c r="I369" s="80"/>
      <c r="J369" s="80"/>
      <c r="K369" s="80">
        <v>0</v>
      </c>
      <c r="L369" s="80"/>
      <c r="M369" s="80"/>
      <c r="N369" s="80">
        <v>0</v>
      </c>
    </row>
    <row r="370" spans="1:14" x14ac:dyDescent="0.25">
      <c r="A370" s="16"/>
      <c r="B370" s="16"/>
      <c r="C370" s="16"/>
      <c r="D370" s="6" t="s">
        <v>470</v>
      </c>
      <c r="E370" s="3" t="s">
        <v>281</v>
      </c>
      <c r="F370" s="80">
        <v>591.70000000000005</v>
      </c>
      <c r="G370" s="80"/>
      <c r="H370" s="80">
        <v>591.70000000000005</v>
      </c>
      <c r="I370" s="80"/>
      <c r="J370" s="80"/>
      <c r="K370" s="80">
        <v>0</v>
      </c>
      <c r="L370" s="80"/>
      <c r="M370" s="80"/>
      <c r="N370" s="80">
        <v>0</v>
      </c>
    </row>
    <row r="371" spans="1:14" x14ac:dyDescent="0.25">
      <c r="A371" s="16"/>
      <c r="B371" s="16"/>
      <c r="C371" s="6" t="s">
        <v>892</v>
      </c>
      <c r="D371" s="6"/>
      <c r="E371" s="3" t="s">
        <v>886</v>
      </c>
      <c r="F371" s="80">
        <v>746.28099999999995</v>
      </c>
      <c r="G371" s="80"/>
      <c r="H371" s="80">
        <v>746.28099999999995</v>
      </c>
      <c r="I371" s="80"/>
      <c r="J371" s="80"/>
      <c r="K371" s="80">
        <v>0</v>
      </c>
      <c r="L371" s="80"/>
      <c r="M371" s="80"/>
      <c r="N371" s="80">
        <v>0</v>
      </c>
    </row>
    <row r="372" spans="1:14" x14ac:dyDescent="0.25">
      <c r="A372" s="16"/>
      <c r="B372" s="16"/>
      <c r="C372" s="16"/>
      <c r="D372" s="6" t="s">
        <v>280</v>
      </c>
      <c r="E372" s="3" t="s">
        <v>281</v>
      </c>
      <c r="F372" s="80">
        <v>746.28099999999995</v>
      </c>
      <c r="G372" s="80"/>
      <c r="H372" s="80">
        <v>746.28099999999995</v>
      </c>
      <c r="I372" s="80"/>
      <c r="J372" s="80">
        <f>J373</f>
        <v>627.34082000000001</v>
      </c>
      <c r="K372" s="80">
        <f>K373</f>
        <v>627.34082000000001</v>
      </c>
      <c r="L372" s="80"/>
      <c r="M372" s="80"/>
      <c r="N372" s="80">
        <v>0</v>
      </c>
    </row>
    <row r="373" spans="1:14" x14ac:dyDescent="0.25">
      <c r="A373" s="16"/>
      <c r="B373" s="16"/>
      <c r="C373" s="16"/>
      <c r="D373" s="6"/>
      <c r="E373" s="53" t="s">
        <v>295</v>
      </c>
      <c r="F373" s="80">
        <v>746.28099999999995</v>
      </c>
      <c r="G373" s="80"/>
      <c r="H373" s="80">
        <v>746.28099999999995</v>
      </c>
      <c r="I373" s="80"/>
      <c r="J373" s="80">
        <v>627.34082000000001</v>
      </c>
      <c r="K373" s="80">
        <f>J373</f>
        <v>627.34082000000001</v>
      </c>
      <c r="L373" s="80"/>
      <c r="M373" s="80"/>
      <c r="N373" s="80">
        <v>0</v>
      </c>
    </row>
    <row r="374" spans="1:14" ht="26.25" x14ac:dyDescent="0.25">
      <c r="A374" s="16"/>
      <c r="B374" s="16"/>
      <c r="C374" s="16" t="s">
        <v>896</v>
      </c>
      <c r="D374" s="6"/>
      <c r="E374" s="53" t="s">
        <v>897</v>
      </c>
      <c r="F374" s="80"/>
      <c r="G374" s="80">
        <f>G375</f>
        <v>126.3</v>
      </c>
      <c r="H374" s="80">
        <f>H375</f>
        <v>126.3</v>
      </c>
      <c r="I374" s="80"/>
      <c r="J374" s="80"/>
      <c r="K374" s="80">
        <v>0</v>
      </c>
      <c r="L374" s="80"/>
      <c r="M374" s="80"/>
      <c r="N374" s="80">
        <v>0</v>
      </c>
    </row>
    <row r="375" spans="1:14" x14ac:dyDescent="0.25">
      <c r="A375" s="16"/>
      <c r="B375" s="16"/>
      <c r="C375" s="16"/>
      <c r="D375" s="6" t="s">
        <v>280</v>
      </c>
      <c r="E375" s="3" t="s">
        <v>281</v>
      </c>
      <c r="F375" s="80"/>
      <c r="G375" s="80">
        <v>126.3</v>
      </c>
      <c r="H375" s="80">
        <v>126.3</v>
      </c>
      <c r="I375" s="80"/>
      <c r="J375" s="80"/>
      <c r="K375" s="80">
        <v>0</v>
      </c>
      <c r="L375" s="80"/>
      <c r="M375" s="80"/>
      <c r="N375" s="80">
        <v>0</v>
      </c>
    </row>
    <row r="376" spans="1:14" x14ac:dyDescent="0.25">
      <c r="A376" s="33"/>
      <c r="B376" s="33"/>
      <c r="C376" s="33" t="s">
        <v>307</v>
      </c>
      <c r="D376" s="36"/>
      <c r="E376" s="20" t="s">
        <v>308</v>
      </c>
      <c r="F376" s="71">
        <f>F377+F379</f>
        <v>778.40000000000009</v>
      </c>
      <c r="G376" s="71">
        <f>G377+G379+G381</f>
        <v>0</v>
      </c>
      <c r="H376" s="71">
        <f>H377+H379+H381</f>
        <v>778.4</v>
      </c>
      <c r="I376" s="71">
        <f>I377+I379</f>
        <v>431.4</v>
      </c>
      <c r="J376" s="71"/>
      <c r="K376" s="71">
        <f>K377+K379</f>
        <v>431.4</v>
      </c>
      <c r="L376" s="71">
        <f>L377+L379</f>
        <v>1191.5999999999999</v>
      </c>
      <c r="M376" s="71"/>
      <c r="N376" s="71">
        <f>N377+N379</f>
        <v>1191.5999999999999</v>
      </c>
    </row>
    <row r="377" spans="1:14" x14ac:dyDescent="0.25">
      <c r="A377" s="92"/>
      <c r="B377" s="92"/>
      <c r="C377" s="6" t="s">
        <v>309</v>
      </c>
      <c r="D377" s="55"/>
      <c r="E377" s="54" t="s">
        <v>546</v>
      </c>
      <c r="F377" s="80">
        <f>F378</f>
        <v>238.1</v>
      </c>
      <c r="G377" s="80">
        <f>G378</f>
        <v>-32.243760000000002</v>
      </c>
      <c r="H377" s="80">
        <f>H378</f>
        <v>205.85623999999999</v>
      </c>
      <c r="I377" s="80">
        <f>I378</f>
        <v>431.4</v>
      </c>
      <c r="J377" s="80"/>
      <c r="K377" s="80">
        <f>K378</f>
        <v>431.4</v>
      </c>
      <c r="L377" s="80">
        <f>L378</f>
        <v>1191.5999999999999</v>
      </c>
      <c r="M377" s="80"/>
      <c r="N377" s="80">
        <f>N378</f>
        <v>1191.5999999999999</v>
      </c>
    </row>
    <row r="378" spans="1:14" x14ac:dyDescent="0.25">
      <c r="A378" s="92"/>
      <c r="B378" s="92"/>
      <c r="C378" s="12"/>
      <c r="D378" s="6" t="s">
        <v>280</v>
      </c>
      <c r="E378" s="3" t="s">
        <v>281</v>
      </c>
      <c r="F378" s="80">
        <v>238.1</v>
      </c>
      <c r="G378" s="80">
        <v>-32.243760000000002</v>
      </c>
      <c r="H378" s="80">
        <f>SUM(F378:G378)</f>
        <v>205.85623999999999</v>
      </c>
      <c r="I378" s="80">
        <v>431.4</v>
      </c>
      <c r="J378" s="80"/>
      <c r="K378" s="80">
        <v>431.4</v>
      </c>
      <c r="L378" s="80">
        <v>1191.5999999999999</v>
      </c>
      <c r="M378" s="80"/>
      <c r="N378" s="80">
        <v>1191.5999999999999</v>
      </c>
    </row>
    <row r="379" spans="1:14" x14ac:dyDescent="0.25">
      <c r="A379" s="92"/>
      <c r="B379" s="92"/>
      <c r="C379" s="6" t="s">
        <v>314</v>
      </c>
      <c r="D379" s="22"/>
      <c r="E379" s="54" t="s">
        <v>315</v>
      </c>
      <c r="F379" s="80">
        <f>F380</f>
        <v>540.30000000000007</v>
      </c>
      <c r="G379" s="80"/>
      <c r="H379" s="80">
        <f>H380</f>
        <v>540.30000000000007</v>
      </c>
      <c r="I379" s="80">
        <v>0</v>
      </c>
      <c r="J379" s="80"/>
      <c r="K379" s="80">
        <v>0</v>
      </c>
      <c r="L379" s="80">
        <v>0</v>
      </c>
      <c r="M379" s="80"/>
      <c r="N379" s="80">
        <v>0</v>
      </c>
    </row>
    <row r="380" spans="1:14" x14ac:dyDescent="0.25">
      <c r="A380" s="92"/>
      <c r="B380" s="92"/>
      <c r="C380" s="18"/>
      <c r="D380" s="6" t="s">
        <v>280</v>
      </c>
      <c r="E380" s="3" t="s">
        <v>281</v>
      </c>
      <c r="F380" s="80">
        <f>1080.7-540.4</f>
        <v>540.30000000000007</v>
      </c>
      <c r="G380" s="80"/>
      <c r="H380" s="80">
        <f>1080.7-540.4</f>
        <v>540.30000000000007</v>
      </c>
      <c r="I380" s="80">
        <v>0</v>
      </c>
      <c r="J380" s="80"/>
      <c r="K380" s="80">
        <v>0</v>
      </c>
      <c r="L380" s="80">
        <v>0</v>
      </c>
      <c r="M380" s="80"/>
      <c r="N380" s="80">
        <v>0</v>
      </c>
    </row>
    <row r="381" spans="1:14" ht="26.25" x14ac:dyDescent="0.25">
      <c r="A381" s="92"/>
      <c r="B381" s="92"/>
      <c r="C381" s="6" t="s">
        <v>899</v>
      </c>
      <c r="D381" s="6"/>
      <c r="E381" s="3" t="s">
        <v>898</v>
      </c>
      <c r="F381" s="80"/>
      <c r="G381" s="80">
        <f>G382</f>
        <v>32.243760000000002</v>
      </c>
      <c r="H381" s="80">
        <f>H382</f>
        <v>32.243760000000002</v>
      </c>
      <c r="I381" s="80"/>
      <c r="J381" s="80"/>
      <c r="K381" s="80">
        <v>0</v>
      </c>
      <c r="L381" s="80"/>
      <c r="M381" s="80"/>
      <c r="N381" s="80">
        <v>0</v>
      </c>
    </row>
    <row r="382" spans="1:14" x14ac:dyDescent="0.25">
      <c r="A382" s="92"/>
      <c r="B382" s="92"/>
      <c r="C382" s="18"/>
      <c r="D382" s="6" t="s">
        <v>280</v>
      </c>
      <c r="E382" s="3" t="s">
        <v>281</v>
      </c>
      <c r="F382" s="80"/>
      <c r="G382" s="80">
        <v>32.243760000000002</v>
      </c>
      <c r="H382" s="80">
        <v>32.243760000000002</v>
      </c>
      <c r="I382" s="80"/>
      <c r="J382" s="80"/>
      <c r="K382" s="80">
        <v>0</v>
      </c>
      <c r="L382" s="80"/>
      <c r="M382" s="80"/>
      <c r="N382" s="80">
        <v>0</v>
      </c>
    </row>
    <row r="383" spans="1:14" x14ac:dyDescent="0.25">
      <c r="A383" s="33"/>
      <c r="B383" s="33"/>
      <c r="C383" s="33" t="s">
        <v>548</v>
      </c>
      <c r="D383" s="33"/>
      <c r="E383" s="20" t="s">
        <v>549</v>
      </c>
      <c r="F383" s="71">
        <f t="shared" ref="F383:I384" si="92">F384</f>
        <v>16727.711619999998</v>
      </c>
      <c r="G383" s="71">
        <f t="shared" si="92"/>
        <v>1522.78838</v>
      </c>
      <c r="H383" s="71">
        <f t="shared" si="92"/>
        <v>18250.5</v>
      </c>
      <c r="I383" s="71">
        <f t="shared" si="92"/>
        <v>17229.099999999999</v>
      </c>
      <c r="J383" s="71"/>
      <c r="K383" s="71">
        <f>K384</f>
        <v>17229.099999999999</v>
      </c>
      <c r="L383" s="71">
        <f>L384</f>
        <v>18250.5</v>
      </c>
      <c r="M383" s="71"/>
      <c r="N383" s="71">
        <f>N384</f>
        <v>18250.5</v>
      </c>
    </row>
    <row r="384" spans="1:14" x14ac:dyDescent="0.25">
      <c r="A384" s="92"/>
      <c r="B384" s="92"/>
      <c r="C384" s="6" t="s">
        <v>550</v>
      </c>
      <c r="D384" s="6"/>
      <c r="E384" s="21" t="s">
        <v>673</v>
      </c>
      <c r="F384" s="70">
        <f t="shared" si="92"/>
        <v>16727.711619999998</v>
      </c>
      <c r="G384" s="70">
        <f t="shared" si="92"/>
        <v>1522.78838</v>
      </c>
      <c r="H384" s="70">
        <f t="shared" si="92"/>
        <v>18250.5</v>
      </c>
      <c r="I384" s="70">
        <f t="shared" si="92"/>
        <v>17229.099999999999</v>
      </c>
      <c r="J384" s="70"/>
      <c r="K384" s="70">
        <f>K385</f>
        <v>17229.099999999999</v>
      </c>
      <c r="L384" s="70">
        <f>L385</f>
        <v>18250.5</v>
      </c>
      <c r="M384" s="70"/>
      <c r="N384" s="70">
        <f>N385</f>
        <v>18250.5</v>
      </c>
    </row>
    <row r="385" spans="1:14" ht="25.5" x14ac:dyDescent="0.25">
      <c r="A385" s="92"/>
      <c r="B385" s="92"/>
      <c r="C385" s="6"/>
      <c r="D385" s="6" t="s">
        <v>470</v>
      </c>
      <c r="E385" s="1" t="s">
        <v>471</v>
      </c>
      <c r="F385" s="70">
        <v>16727.711619999998</v>
      </c>
      <c r="G385" s="70">
        <v>1522.78838</v>
      </c>
      <c r="H385" s="70">
        <f>F385+G385</f>
        <v>18250.5</v>
      </c>
      <c r="I385" s="70">
        <v>17229.099999999999</v>
      </c>
      <c r="J385" s="70"/>
      <c r="K385" s="70">
        <v>17229.099999999999</v>
      </c>
      <c r="L385" s="80">
        <v>18250.5</v>
      </c>
      <c r="M385" s="80"/>
      <c r="N385" s="80">
        <v>18250.5</v>
      </c>
    </row>
    <row r="386" spans="1:14" ht="25.5" x14ac:dyDescent="0.25">
      <c r="A386" s="105"/>
      <c r="B386" s="106"/>
      <c r="C386" s="107" t="s">
        <v>351</v>
      </c>
      <c r="D386" s="106"/>
      <c r="E386" s="108" t="s">
        <v>390</v>
      </c>
      <c r="F386" s="109">
        <f>F387+F390+F396</f>
        <v>10182.070810000001</v>
      </c>
      <c r="G386" s="109"/>
      <c r="H386" s="109">
        <f t="shared" ref="H386:N386" si="93">H387+H390+H396</f>
        <v>10182.070810000001</v>
      </c>
      <c r="I386" s="109">
        <f t="shared" si="93"/>
        <v>2397.8554800000002</v>
      </c>
      <c r="J386" s="109">
        <f>J390</f>
        <v>0</v>
      </c>
      <c r="K386" s="109">
        <f>K387+K390+K396</f>
        <v>2397.8554800000002</v>
      </c>
      <c r="L386" s="109">
        <f t="shared" si="93"/>
        <v>2397.8554800000002</v>
      </c>
      <c r="M386" s="109">
        <f>M390</f>
        <v>0</v>
      </c>
      <c r="N386" s="109">
        <f t="shared" si="93"/>
        <v>2397.8554800000002</v>
      </c>
    </row>
    <row r="387" spans="1:14" ht="26.25" x14ac:dyDescent="0.25">
      <c r="A387" s="33"/>
      <c r="B387" s="33"/>
      <c r="C387" s="33" t="s">
        <v>461</v>
      </c>
      <c r="D387" s="36"/>
      <c r="E387" s="34" t="s">
        <v>556</v>
      </c>
      <c r="F387" s="71">
        <f>F388</f>
        <v>237.1</v>
      </c>
      <c r="G387" s="71"/>
      <c r="H387" s="71">
        <f>H388</f>
        <v>237.1</v>
      </c>
      <c r="I387" s="71">
        <f>I388</f>
        <v>0</v>
      </c>
      <c r="J387" s="71"/>
      <c r="K387" s="71">
        <f>K388</f>
        <v>0</v>
      </c>
      <c r="L387" s="71">
        <f>L388</f>
        <v>0</v>
      </c>
      <c r="M387" s="71"/>
      <c r="N387" s="71">
        <f>N388</f>
        <v>0</v>
      </c>
    </row>
    <row r="388" spans="1:14" x14ac:dyDescent="0.25">
      <c r="A388" s="4"/>
      <c r="B388" s="4"/>
      <c r="C388" s="4" t="s">
        <v>462</v>
      </c>
      <c r="D388" s="16"/>
      <c r="E388" s="1" t="s">
        <v>391</v>
      </c>
      <c r="F388" s="70">
        <f>F389</f>
        <v>237.1</v>
      </c>
      <c r="G388" s="70"/>
      <c r="H388" s="70">
        <f>H389</f>
        <v>237.1</v>
      </c>
      <c r="I388" s="70">
        <v>0</v>
      </c>
      <c r="J388" s="70"/>
      <c r="K388" s="70">
        <v>0</v>
      </c>
      <c r="L388" s="70">
        <v>0</v>
      </c>
      <c r="M388" s="70"/>
      <c r="N388" s="70">
        <v>0</v>
      </c>
    </row>
    <row r="389" spans="1:14" x14ac:dyDescent="0.25">
      <c r="A389" s="4"/>
      <c r="B389" s="4"/>
      <c r="C389" s="4"/>
      <c r="D389" s="6" t="s">
        <v>280</v>
      </c>
      <c r="E389" s="3" t="s">
        <v>281</v>
      </c>
      <c r="F389" s="70">
        <v>237.1</v>
      </c>
      <c r="G389" s="70"/>
      <c r="H389" s="70">
        <v>237.1</v>
      </c>
      <c r="I389" s="70">
        <v>0</v>
      </c>
      <c r="J389" s="70"/>
      <c r="K389" s="70">
        <v>0</v>
      </c>
      <c r="L389" s="70">
        <v>0</v>
      </c>
      <c r="M389" s="70"/>
      <c r="N389" s="70">
        <v>0</v>
      </c>
    </row>
    <row r="390" spans="1:14" ht="26.25" x14ac:dyDescent="0.25">
      <c r="A390" s="33"/>
      <c r="B390" s="33"/>
      <c r="C390" s="33" t="s">
        <v>463</v>
      </c>
      <c r="D390" s="36"/>
      <c r="E390" s="34" t="s">
        <v>721</v>
      </c>
      <c r="F390" s="71">
        <f>F391</f>
        <v>7528.3618699999997</v>
      </c>
      <c r="G390" s="71"/>
      <c r="H390" s="71">
        <f t="shared" ref="H390:N390" si="94">H391</f>
        <v>7528.3618699999997</v>
      </c>
      <c r="I390" s="71">
        <f t="shared" si="94"/>
        <v>0</v>
      </c>
      <c r="J390" s="71">
        <f t="shared" si="94"/>
        <v>0</v>
      </c>
      <c r="K390" s="71">
        <f t="shared" si="94"/>
        <v>0</v>
      </c>
      <c r="L390" s="71">
        <f t="shared" si="94"/>
        <v>0</v>
      </c>
      <c r="M390" s="71">
        <f t="shared" si="94"/>
        <v>0</v>
      </c>
      <c r="N390" s="71">
        <f t="shared" si="94"/>
        <v>0</v>
      </c>
    </row>
    <row r="391" spans="1:14" ht="25.5" x14ac:dyDescent="0.25">
      <c r="A391" s="4"/>
      <c r="B391" s="4"/>
      <c r="C391" s="4" t="s">
        <v>464</v>
      </c>
      <c r="D391" s="16"/>
      <c r="E391" s="1" t="s">
        <v>392</v>
      </c>
      <c r="F391" s="70">
        <f>F393+F394+F395</f>
        <v>7528.3618699999997</v>
      </c>
      <c r="G391" s="70"/>
      <c r="H391" s="70">
        <f>H393+H394+H395</f>
        <v>7528.3618699999997</v>
      </c>
      <c r="I391" s="70">
        <f>I393+I394+I395</f>
        <v>0</v>
      </c>
      <c r="J391" s="70"/>
      <c r="K391" s="70">
        <f>K392</f>
        <v>0</v>
      </c>
      <c r="L391" s="70">
        <f>L393+L394+L395</f>
        <v>0</v>
      </c>
      <c r="M391" s="70"/>
      <c r="N391" s="70">
        <f>N393+N394+N395</f>
        <v>0</v>
      </c>
    </row>
    <row r="392" spans="1:14" x14ac:dyDescent="0.25">
      <c r="A392" s="4"/>
      <c r="B392" s="4"/>
      <c r="C392" s="4"/>
      <c r="D392" s="6" t="s">
        <v>280</v>
      </c>
      <c r="E392" s="3" t="s">
        <v>281</v>
      </c>
      <c r="F392" s="70">
        <f>F393+F395+F394</f>
        <v>7528.3618699999997</v>
      </c>
      <c r="G392" s="70"/>
      <c r="H392" s="70">
        <f>H393+H395+H394</f>
        <v>7528.3618699999997</v>
      </c>
      <c r="I392" s="70">
        <f>I393+I395+I394</f>
        <v>0</v>
      </c>
      <c r="J392" s="70"/>
      <c r="K392" s="70">
        <f>K395</f>
        <v>0</v>
      </c>
      <c r="L392" s="70">
        <f>L393+L395+L394</f>
        <v>0</v>
      </c>
      <c r="M392" s="70"/>
      <c r="N392" s="70">
        <f>N393+N395+N394</f>
        <v>0</v>
      </c>
    </row>
    <row r="393" spans="1:14" x14ac:dyDescent="0.25">
      <c r="A393" s="4"/>
      <c r="B393" s="4"/>
      <c r="C393" s="4"/>
      <c r="D393" s="6"/>
      <c r="E393" s="3" t="s">
        <v>187</v>
      </c>
      <c r="F393" s="70">
        <v>6436.7493999999997</v>
      </c>
      <c r="G393" s="70"/>
      <c r="H393" s="70">
        <v>6436.7493999999997</v>
      </c>
      <c r="I393" s="70">
        <v>0</v>
      </c>
      <c r="J393" s="70"/>
      <c r="K393" s="70"/>
      <c r="L393" s="70">
        <v>0</v>
      </c>
      <c r="M393" s="70"/>
      <c r="N393" s="70">
        <v>0</v>
      </c>
    </row>
    <row r="394" spans="1:14" x14ac:dyDescent="0.25">
      <c r="A394" s="4"/>
      <c r="B394" s="4"/>
      <c r="C394" s="4"/>
      <c r="D394" s="6"/>
      <c r="E394" s="3" t="s">
        <v>185</v>
      </c>
      <c r="F394" s="70">
        <v>338.77627999999999</v>
      </c>
      <c r="G394" s="70"/>
      <c r="H394" s="70">
        <v>338.77627999999999</v>
      </c>
      <c r="I394" s="70">
        <v>0</v>
      </c>
      <c r="J394" s="70"/>
      <c r="K394" s="70"/>
      <c r="L394" s="70">
        <v>0</v>
      </c>
      <c r="M394" s="70"/>
      <c r="N394" s="70">
        <v>0</v>
      </c>
    </row>
    <row r="395" spans="1:14" x14ac:dyDescent="0.25">
      <c r="A395" s="4"/>
      <c r="B395" s="4"/>
      <c r="C395" s="4"/>
      <c r="D395" s="6"/>
      <c r="E395" s="3" t="s">
        <v>150</v>
      </c>
      <c r="F395" s="70">
        <v>752.83618999999999</v>
      </c>
      <c r="G395" s="70"/>
      <c r="H395" s="70">
        <v>752.83618999999999</v>
      </c>
      <c r="I395" s="70">
        <v>0</v>
      </c>
      <c r="J395" s="70"/>
      <c r="K395" s="70">
        <v>0</v>
      </c>
      <c r="L395" s="70">
        <v>0</v>
      </c>
      <c r="M395" s="70"/>
      <c r="N395" s="70">
        <v>0</v>
      </c>
    </row>
    <row r="396" spans="1:14" ht="26.25" x14ac:dyDescent="0.25">
      <c r="A396" s="33"/>
      <c r="B396" s="33"/>
      <c r="C396" s="33" t="s">
        <v>465</v>
      </c>
      <c r="D396" s="36"/>
      <c r="E396" s="34" t="s">
        <v>722</v>
      </c>
      <c r="F396" s="71">
        <f>F397</f>
        <v>2416.6089400000001</v>
      </c>
      <c r="G396" s="71"/>
      <c r="H396" s="71">
        <f t="shared" ref="H396:N396" si="95">H397</f>
        <v>2416.6089400000001</v>
      </c>
      <c r="I396" s="71">
        <f t="shared" si="95"/>
        <v>2397.8554800000002</v>
      </c>
      <c r="J396" s="71"/>
      <c r="K396" s="71">
        <f t="shared" si="95"/>
        <v>2397.8554800000002</v>
      </c>
      <c r="L396" s="71">
        <f t="shared" si="95"/>
        <v>2397.8554800000002</v>
      </c>
      <c r="M396" s="71"/>
      <c r="N396" s="71">
        <f t="shared" si="95"/>
        <v>2397.8554800000002</v>
      </c>
    </row>
    <row r="397" spans="1:14" ht="25.5" x14ac:dyDescent="0.25">
      <c r="A397" s="92"/>
      <c r="B397" s="92"/>
      <c r="C397" s="4" t="s">
        <v>466</v>
      </c>
      <c r="D397" s="16"/>
      <c r="E397" s="1" t="s">
        <v>557</v>
      </c>
      <c r="F397" s="70">
        <f>F399+F400</f>
        <v>2416.6089400000001</v>
      </c>
      <c r="G397" s="70"/>
      <c r="H397" s="70">
        <f>H399+H400</f>
        <v>2416.6089400000001</v>
      </c>
      <c r="I397" s="70">
        <f>I399+I400</f>
        <v>2397.8554800000002</v>
      </c>
      <c r="J397" s="70"/>
      <c r="K397" s="70">
        <f>K399+K400</f>
        <v>2397.8554800000002</v>
      </c>
      <c r="L397" s="70">
        <f>L399+L400</f>
        <v>2397.8554800000002</v>
      </c>
      <c r="M397" s="70"/>
      <c r="N397" s="70">
        <f>N399+N400</f>
        <v>2397.8554800000002</v>
      </c>
    </row>
    <row r="398" spans="1:14" x14ac:dyDescent="0.25">
      <c r="A398" s="92"/>
      <c r="B398" s="92"/>
      <c r="C398" s="4"/>
      <c r="D398" s="6" t="s">
        <v>280</v>
      </c>
      <c r="E398" s="3" t="s">
        <v>281</v>
      </c>
      <c r="F398" s="70">
        <f>F399+F400</f>
        <v>2416.6089400000001</v>
      </c>
      <c r="G398" s="70"/>
      <c r="H398" s="70">
        <f t="shared" ref="H398:N398" si="96">H399+H400</f>
        <v>2416.6089400000001</v>
      </c>
      <c r="I398" s="70">
        <f t="shared" si="96"/>
        <v>2397.8554800000002</v>
      </c>
      <c r="J398" s="70"/>
      <c r="K398" s="70">
        <f t="shared" si="96"/>
        <v>2397.8554800000002</v>
      </c>
      <c r="L398" s="70">
        <f t="shared" si="96"/>
        <v>2397.8554800000002</v>
      </c>
      <c r="M398" s="70"/>
      <c r="N398" s="70">
        <f t="shared" si="96"/>
        <v>2397.8554800000002</v>
      </c>
    </row>
    <row r="399" spans="1:14" x14ac:dyDescent="0.25">
      <c r="A399" s="92"/>
      <c r="B399" s="92"/>
      <c r="C399" s="4"/>
      <c r="D399" s="6"/>
      <c r="E399" s="3" t="s">
        <v>185</v>
      </c>
      <c r="F399" s="70">
        <v>2174.94805</v>
      </c>
      <c r="G399" s="70"/>
      <c r="H399" s="70">
        <v>2174.94805</v>
      </c>
      <c r="I399" s="70">
        <v>2158.0699300000001</v>
      </c>
      <c r="J399" s="70"/>
      <c r="K399" s="70">
        <v>2158.0699300000001</v>
      </c>
      <c r="L399" s="70">
        <v>2158.0699300000001</v>
      </c>
      <c r="M399" s="70"/>
      <c r="N399" s="70">
        <v>2158.0699300000001</v>
      </c>
    </row>
    <row r="400" spans="1:14" x14ac:dyDescent="0.25">
      <c r="A400" s="92"/>
      <c r="B400" s="92"/>
      <c r="C400" s="4"/>
      <c r="D400" s="6"/>
      <c r="E400" s="3" t="s">
        <v>150</v>
      </c>
      <c r="F400" s="70">
        <v>241.66088999999999</v>
      </c>
      <c r="G400" s="70"/>
      <c r="H400" s="70">
        <v>241.66088999999999</v>
      </c>
      <c r="I400" s="70">
        <v>239.78555</v>
      </c>
      <c r="J400" s="70"/>
      <c r="K400" s="70">
        <v>239.78555</v>
      </c>
      <c r="L400" s="70">
        <v>239.78555</v>
      </c>
      <c r="M400" s="70"/>
      <c r="N400" s="70">
        <v>239.78555</v>
      </c>
    </row>
    <row r="401" spans="1:14" x14ac:dyDescent="0.25">
      <c r="A401" s="92"/>
      <c r="B401" s="17" t="s">
        <v>668</v>
      </c>
      <c r="C401" s="103"/>
      <c r="D401" s="102"/>
      <c r="E401" s="96" t="s">
        <v>670</v>
      </c>
      <c r="F401" s="74">
        <f t="shared" ref="F401:H407" si="97">F402</f>
        <v>22.5</v>
      </c>
      <c r="G401" s="74"/>
      <c r="H401" s="74">
        <f t="shared" si="97"/>
        <v>22.5</v>
      </c>
      <c r="I401" s="74">
        <v>0</v>
      </c>
      <c r="J401" s="74"/>
      <c r="K401" s="74">
        <v>0</v>
      </c>
      <c r="L401" s="74">
        <v>0</v>
      </c>
      <c r="M401" s="74"/>
      <c r="N401" s="74">
        <v>0</v>
      </c>
    </row>
    <row r="402" spans="1:14" x14ac:dyDescent="0.25">
      <c r="A402" s="92"/>
      <c r="B402" s="17" t="s">
        <v>669</v>
      </c>
      <c r="C402" s="103"/>
      <c r="D402" s="102"/>
      <c r="E402" s="96" t="s">
        <v>671</v>
      </c>
      <c r="F402" s="74">
        <f t="shared" si="97"/>
        <v>22.5</v>
      </c>
      <c r="G402" s="74"/>
      <c r="H402" s="74">
        <f t="shared" si="97"/>
        <v>22.5</v>
      </c>
      <c r="I402" s="74">
        <v>0</v>
      </c>
      <c r="J402" s="74"/>
      <c r="K402" s="74">
        <v>0</v>
      </c>
      <c r="L402" s="74">
        <v>0</v>
      </c>
      <c r="M402" s="74"/>
      <c r="N402" s="74">
        <v>0</v>
      </c>
    </row>
    <row r="403" spans="1:14" x14ac:dyDescent="0.25">
      <c r="A403" s="92"/>
      <c r="B403" s="17"/>
      <c r="C403" s="103" t="s">
        <v>5</v>
      </c>
      <c r="D403" s="102"/>
      <c r="E403" s="123" t="s">
        <v>6</v>
      </c>
      <c r="F403" s="74">
        <f t="shared" si="97"/>
        <v>22.5</v>
      </c>
      <c r="G403" s="74"/>
      <c r="H403" s="74">
        <f t="shared" si="97"/>
        <v>22.5</v>
      </c>
      <c r="I403" s="74">
        <v>0</v>
      </c>
      <c r="J403" s="74"/>
      <c r="K403" s="74">
        <v>0</v>
      </c>
      <c r="L403" s="74">
        <v>0</v>
      </c>
      <c r="M403" s="74"/>
      <c r="N403" s="74">
        <v>0</v>
      </c>
    </row>
    <row r="404" spans="1:14" ht="25.5" x14ac:dyDescent="0.25">
      <c r="A404" s="161"/>
      <c r="B404" s="106"/>
      <c r="C404" s="107" t="s">
        <v>289</v>
      </c>
      <c r="D404" s="106"/>
      <c r="E404" s="108" t="s">
        <v>290</v>
      </c>
      <c r="F404" s="163">
        <f t="shared" si="97"/>
        <v>22.5</v>
      </c>
      <c r="G404" s="163"/>
      <c r="H404" s="163">
        <f t="shared" si="97"/>
        <v>22.5</v>
      </c>
      <c r="I404" s="163">
        <v>0</v>
      </c>
      <c r="J404" s="163"/>
      <c r="K404" s="163">
        <v>0</v>
      </c>
      <c r="L404" s="163">
        <v>0</v>
      </c>
      <c r="M404" s="163"/>
      <c r="N404" s="163">
        <v>0</v>
      </c>
    </row>
    <row r="405" spans="1:14" ht="25.5" x14ac:dyDescent="0.25">
      <c r="A405" s="162"/>
      <c r="B405" s="127"/>
      <c r="C405" s="128" t="s">
        <v>300</v>
      </c>
      <c r="D405" s="127"/>
      <c r="E405" s="158" t="s">
        <v>301</v>
      </c>
      <c r="F405" s="164">
        <f t="shared" si="97"/>
        <v>22.5</v>
      </c>
      <c r="G405" s="164"/>
      <c r="H405" s="164">
        <f t="shared" si="97"/>
        <v>22.5</v>
      </c>
      <c r="I405" s="164">
        <v>0</v>
      </c>
      <c r="J405" s="164"/>
      <c r="K405" s="164">
        <v>0</v>
      </c>
      <c r="L405" s="164">
        <v>0</v>
      </c>
      <c r="M405" s="164"/>
      <c r="N405" s="164">
        <v>0</v>
      </c>
    </row>
    <row r="406" spans="1:14" x14ac:dyDescent="0.25">
      <c r="A406" s="92"/>
      <c r="B406" s="17"/>
      <c r="C406" s="103" t="s">
        <v>307</v>
      </c>
      <c r="D406" s="17"/>
      <c r="E406" s="159" t="s">
        <v>308</v>
      </c>
      <c r="F406" s="74">
        <f t="shared" si="97"/>
        <v>22.5</v>
      </c>
      <c r="G406" s="74"/>
      <c r="H406" s="74">
        <f t="shared" si="97"/>
        <v>22.5</v>
      </c>
      <c r="I406" s="74">
        <v>0</v>
      </c>
      <c r="J406" s="74"/>
      <c r="K406" s="74">
        <v>0</v>
      </c>
      <c r="L406" s="74">
        <v>0</v>
      </c>
      <c r="M406" s="74"/>
      <c r="N406" s="74">
        <v>0</v>
      </c>
    </row>
    <row r="407" spans="1:14" ht="25.5" x14ac:dyDescent="0.25">
      <c r="A407" s="92"/>
      <c r="B407" s="16"/>
      <c r="C407" s="160" t="s">
        <v>312</v>
      </c>
      <c r="D407" s="17"/>
      <c r="E407" s="1" t="s">
        <v>313</v>
      </c>
      <c r="F407" s="70">
        <f t="shared" si="97"/>
        <v>22.5</v>
      </c>
      <c r="G407" s="70"/>
      <c r="H407" s="70">
        <f t="shared" si="97"/>
        <v>22.5</v>
      </c>
      <c r="I407" s="70">
        <v>0</v>
      </c>
      <c r="J407" s="70"/>
      <c r="K407" s="70">
        <v>0</v>
      </c>
      <c r="L407" s="70">
        <v>0</v>
      </c>
      <c r="M407" s="70"/>
      <c r="N407" s="70">
        <v>0</v>
      </c>
    </row>
    <row r="408" spans="1:14" x14ac:dyDescent="0.25">
      <c r="A408" s="92"/>
      <c r="B408" s="17"/>
      <c r="C408" s="122"/>
      <c r="D408" s="6" t="s">
        <v>280</v>
      </c>
      <c r="E408" s="3" t="s">
        <v>281</v>
      </c>
      <c r="F408" s="70">
        <v>22.5</v>
      </c>
      <c r="G408" s="70"/>
      <c r="H408" s="70">
        <v>22.5</v>
      </c>
      <c r="I408" s="70">
        <v>0</v>
      </c>
      <c r="J408" s="70"/>
      <c r="K408" s="70">
        <v>0</v>
      </c>
      <c r="L408" s="70">
        <v>0</v>
      </c>
      <c r="M408" s="70"/>
      <c r="N408" s="70">
        <v>0</v>
      </c>
    </row>
    <row r="409" spans="1:14" x14ac:dyDescent="0.25">
      <c r="A409" s="92"/>
      <c r="B409" s="17" t="s">
        <v>615</v>
      </c>
      <c r="C409" s="103"/>
      <c r="D409" s="102"/>
      <c r="E409" s="96" t="s">
        <v>616</v>
      </c>
      <c r="F409" s="74">
        <f t="shared" ref="F409:N413" si="98">F410</f>
        <v>40899.493090000004</v>
      </c>
      <c r="G409" s="74"/>
      <c r="H409" s="74">
        <f t="shared" si="98"/>
        <v>40899.493090000004</v>
      </c>
      <c r="I409" s="74">
        <f t="shared" si="98"/>
        <v>11701.9</v>
      </c>
      <c r="J409" s="74">
        <f t="shared" si="98"/>
        <v>0</v>
      </c>
      <c r="K409" s="74">
        <f t="shared" si="98"/>
        <v>11701.9</v>
      </c>
      <c r="L409" s="74">
        <f t="shared" si="98"/>
        <v>44338.189059999997</v>
      </c>
      <c r="M409" s="74"/>
      <c r="N409" s="74">
        <f t="shared" si="98"/>
        <v>44338.189059999997</v>
      </c>
    </row>
    <row r="410" spans="1:14" x14ac:dyDescent="0.25">
      <c r="A410" s="92"/>
      <c r="B410" s="17" t="s">
        <v>617</v>
      </c>
      <c r="C410" s="103"/>
      <c r="D410" s="102"/>
      <c r="E410" s="96" t="s">
        <v>618</v>
      </c>
      <c r="F410" s="74">
        <f>F411+F426</f>
        <v>40899.493090000004</v>
      </c>
      <c r="G410" s="74"/>
      <c r="H410" s="74">
        <f t="shared" ref="H410:N410" si="99">H411+H426</f>
        <v>40899.493090000004</v>
      </c>
      <c r="I410" s="74">
        <f t="shared" si="99"/>
        <v>11701.9</v>
      </c>
      <c r="J410" s="74">
        <f t="shared" si="99"/>
        <v>0</v>
      </c>
      <c r="K410" s="74">
        <f t="shared" si="99"/>
        <v>11701.9</v>
      </c>
      <c r="L410" s="74">
        <f t="shared" si="99"/>
        <v>44338.189059999997</v>
      </c>
      <c r="M410" s="74"/>
      <c r="N410" s="74">
        <f t="shared" si="99"/>
        <v>44338.189059999997</v>
      </c>
    </row>
    <row r="411" spans="1:14" x14ac:dyDescent="0.25">
      <c r="A411" s="92"/>
      <c r="B411" s="17"/>
      <c r="C411" s="103" t="s">
        <v>5</v>
      </c>
      <c r="D411" s="102"/>
      <c r="E411" s="123" t="s">
        <v>6</v>
      </c>
      <c r="F411" s="74">
        <f t="shared" si="98"/>
        <v>40669.593090000002</v>
      </c>
      <c r="G411" s="74"/>
      <c r="H411" s="74">
        <f t="shared" si="98"/>
        <v>40669.593090000002</v>
      </c>
      <c r="I411" s="74">
        <f t="shared" si="98"/>
        <v>11701.9</v>
      </c>
      <c r="J411" s="74">
        <f t="shared" si="98"/>
        <v>0</v>
      </c>
      <c r="K411" s="74">
        <f t="shared" si="98"/>
        <v>11701.9</v>
      </c>
      <c r="L411" s="74">
        <f t="shared" si="98"/>
        <v>44338.189059999997</v>
      </c>
      <c r="M411" s="74"/>
      <c r="N411" s="74">
        <f t="shared" si="98"/>
        <v>44338.189059999997</v>
      </c>
    </row>
    <row r="412" spans="1:14" ht="25.5" x14ac:dyDescent="0.25">
      <c r="A412" s="105"/>
      <c r="B412" s="106"/>
      <c r="C412" s="107" t="s">
        <v>57</v>
      </c>
      <c r="D412" s="106"/>
      <c r="E412" s="108" t="s">
        <v>531</v>
      </c>
      <c r="F412" s="109">
        <f t="shared" si="98"/>
        <v>40669.593090000002</v>
      </c>
      <c r="G412" s="109"/>
      <c r="H412" s="109">
        <f t="shared" si="98"/>
        <v>40669.593090000002</v>
      </c>
      <c r="I412" s="109">
        <f t="shared" si="98"/>
        <v>11701.9</v>
      </c>
      <c r="J412" s="109">
        <f t="shared" si="98"/>
        <v>0</v>
      </c>
      <c r="K412" s="109">
        <f t="shared" si="98"/>
        <v>11701.9</v>
      </c>
      <c r="L412" s="109">
        <f t="shared" si="98"/>
        <v>44338.189059999997</v>
      </c>
      <c r="M412" s="109"/>
      <c r="N412" s="109">
        <f t="shared" si="98"/>
        <v>44338.189059999997</v>
      </c>
    </row>
    <row r="413" spans="1:14" x14ac:dyDescent="0.25">
      <c r="A413" s="31"/>
      <c r="B413" s="31"/>
      <c r="C413" s="31" t="s">
        <v>73</v>
      </c>
      <c r="D413" s="31"/>
      <c r="E413" s="52" t="s">
        <v>74</v>
      </c>
      <c r="F413" s="75">
        <f t="shared" si="98"/>
        <v>40669.593090000002</v>
      </c>
      <c r="G413" s="75"/>
      <c r="H413" s="75">
        <f t="shared" si="98"/>
        <v>40669.593090000002</v>
      </c>
      <c r="I413" s="75">
        <f t="shared" si="98"/>
        <v>11701.9</v>
      </c>
      <c r="J413" s="75">
        <f t="shared" si="98"/>
        <v>0</v>
      </c>
      <c r="K413" s="75">
        <f t="shared" si="98"/>
        <v>11701.9</v>
      </c>
      <c r="L413" s="75">
        <f t="shared" si="98"/>
        <v>44338.189059999997</v>
      </c>
      <c r="M413" s="75"/>
      <c r="N413" s="75">
        <f t="shared" si="98"/>
        <v>44338.189059999997</v>
      </c>
    </row>
    <row r="414" spans="1:14" s="39" customFormat="1" ht="39" x14ac:dyDescent="0.25">
      <c r="A414" s="33"/>
      <c r="B414" s="33"/>
      <c r="C414" s="33" t="s">
        <v>99</v>
      </c>
      <c r="D414" s="33"/>
      <c r="E414" s="34" t="s">
        <v>100</v>
      </c>
      <c r="F414" s="71">
        <f>F415+F422</f>
        <v>40669.593090000002</v>
      </c>
      <c r="G414" s="71"/>
      <c r="H414" s="71">
        <f>H415+H422</f>
        <v>40669.593090000002</v>
      </c>
      <c r="I414" s="71">
        <f t="shared" ref="I414:N414" si="100">I415+I422+I420</f>
        <v>11701.9</v>
      </c>
      <c r="J414" s="71">
        <f t="shared" si="100"/>
        <v>0</v>
      </c>
      <c r="K414" s="71">
        <f t="shared" si="100"/>
        <v>11701.9</v>
      </c>
      <c r="L414" s="71">
        <f t="shared" si="100"/>
        <v>44338.189059999997</v>
      </c>
      <c r="M414" s="71"/>
      <c r="N414" s="71">
        <f t="shared" si="100"/>
        <v>44338.189059999997</v>
      </c>
    </row>
    <row r="415" spans="1:14" s="39" customFormat="1" ht="25.5" x14ac:dyDescent="0.25">
      <c r="A415" s="93"/>
      <c r="B415" s="93"/>
      <c r="C415" s="6" t="s">
        <v>101</v>
      </c>
      <c r="D415" s="6"/>
      <c r="E415" s="2" t="s">
        <v>102</v>
      </c>
      <c r="F415" s="80">
        <f>F417+F418+F419</f>
        <v>40669.593090000002</v>
      </c>
      <c r="G415" s="80"/>
      <c r="H415" s="80">
        <f>H417+H418+H419</f>
        <v>40669.593090000002</v>
      </c>
      <c r="I415" s="80">
        <f>I417+I418+I419</f>
        <v>0</v>
      </c>
      <c r="J415" s="80"/>
      <c r="K415" s="80">
        <f>K417+K418+K419</f>
        <v>0</v>
      </c>
      <c r="L415" s="80">
        <v>0</v>
      </c>
      <c r="M415" s="80"/>
      <c r="N415" s="80">
        <v>0</v>
      </c>
    </row>
    <row r="416" spans="1:14" s="39" customFormat="1" ht="26.25" x14ac:dyDescent="0.25">
      <c r="A416" s="93"/>
      <c r="B416" s="93"/>
      <c r="C416" s="6"/>
      <c r="D416" s="6" t="s">
        <v>298</v>
      </c>
      <c r="E416" s="3" t="s">
        <v>299</v>
      </c>
      <c r="F416" s="80">
        <f>F417+F418+F419</f>
        <v>40669.593090000002</v>
      </c>
      <c r="G416" s="80"/>
      <c r="H416" s="80">
        <f>H417+H418+H419</f>
        <v>40669.593090000002</v>
      </c>
      <c r="I416" s="80">
        <f>I418+I419</f>
        <v>0</v>
      </c>
      <c r="J416" s="80"/>
      <c r="K416" s="80">
        <f>K418+K419</f>
        <v>0</v>
      </c>
      <c r="L416" s="80">
        <v>0</v>
      </c>
      <c r="M416" s="80"/>
      <c r="N416" s="80">
        <v>0</v>
      </c>
    </row>
    <row r="417" spans="1:14" x14ac:dyDescent="0.25">
      <c r="A417" s="92"/>
      <c r="B417" s="92"/>
      <c r="C417" s="6"/>
      <c r="D417" s="6"/>
      <c r="E417" s="3" t="s">
        <v>103</v>
      </c>
      <c r="F417" s="80">
        <v>0</v>
      </c>
      <c r="G417" s="80"/>
      <c r="H417" s="80">
        <v>0</v>
      </c>
      <c r="I417" s="80">
        <v>0</v>
      </c>
      <c r="J417" s="80"/>
      <c r="K417" s="80">
        <v>0</v>
      </c>
      <c r="L417" s="80">
        <v>0</v>
      </c>
      <c r="M417" s="80"/>
      <c r="N417" s="80">
        <v>0</v>
      </c>
    </row>
    <row r="418" spans="1:14" x14ac:dyDescent="0.25">
      <c r="A418" s="92"/>
      <c r="B418" s="92"/>
      <c r="C418" s="6"/>
      <c r="D418" s="6"/>
      <c r="E418" s="3" t="s">
        <v>104</v>
      </c>
      <c r="F418" s="80">
        <v>30121.14</v>
      </c>
      <c r="G418" s="80"/>
      <c r="H418" s="80">
        <v>30121.14</v>
      </c>
      <c r="I418" s="80">
        <v>0</v>
      </c>
      <c r="J418" s="80"/>
      <c r="K418" s="80">
        <v>0</v>
      </c>
      <c r="L418" s="80">
        <v>0</v>
      </c>
      <c r="M418" s="80"/>
      <c r="N418" s="80">
        <v>0</v>
      </c>
    </row>
    <row r="419" spans="1:14" x14ac:dyDescent="0.25">
      <c r="A419" s="92"/>
      <c r="B419" s="92"/>
      <c r="C419" s="6"/>
      <c r="D419" s="6"/>
      <c r="E419" s="3" t="s">
        <v>105</v>
      </c>
      <c r="F419" s="80">
        <v>10548.453090000001</v>
      </c>
      <c r="G419" s="80"/>
      <c r="H419" s="80">
        <f>10478.86+69.59309</f>
        <v>10548.453090000001</v>
      </c>
      <c r="I419" s="80">
        <v>0</v>
      </c>
      <c r="J419" s="80"/>
      <c r="K419" s="80">
        <v>0</v>
      </c>
      <c r="L419" s="80">
        <v>0</v>
      </c>
      <c r="M419" s="80"/>
      <c r="N419" s="80">
        <v>0</v>
      </c>
    </row>
    <row r="420" spans="1:14" ht="25.5" x14ac:dyDescent="0.25">
      <c r="A420" s="92"/>
      <c r="B420" s="92"/>
      <c r="C420" s="6" t="s">
        <v>489</v>
      </c>
      <c r="D420" s="6"/>
      <c r="E420" s="65" t="s">
        <v>677</v>
      </c>
      <c r="F420" s="80">
        <v>0</v>
      </c>
      <c r="G420" s="80"/>
      <c r="H420" s="80">
        <v>0</v>
      </c>
      <c r="I420" s="80">
        <f>I421</f>
        <v>11701.9</v>
      </c>
      <c r="J420" s="80">
        <f>J421</f>
        <v>0</v>
      </c>
      <c r="K420" s="80">
        <f>K421</f>
        <v>11701.9</v>
      </c>
      <c r="L420" s="80">
        <v>0</v>
      </c>
      <c r="M420" s="80"/>
      <c r="N420" s="80">
        <v>0</v>
      </c>
    </row>
    <row r="421" spans="1:14" x14ac:dyDescent="0.25">
      <c r="A421" s="92"/>
      <c r="B421" s="92"/>
      <c r="C421" s="6"/>
      <c r="D421" s="6" t="s">
        <v>280</v>
      </c>
      <c r="E421" s="3" t="s">
        <v>281</v>
      </c>
      <c r="F421" s="80">
        <v>0</v>
      </c>
      <c r="G421" s="80"/>
      <c r="H421" s="80">
        <v>0</v>
      </c>
      <c r="I421" s="80">
        <v>11701.9</v>
      </c>
      <c r="J421" s="80"/>
      <c r="K421" s="80">
        <f>SUM(I421:J421)</f>
        <v>11701.9</v>
      </c>
      <c r="L421" s="80">
        <v>0</v>
      </c>
      <c r="M421" s="80"/>
      <c r="N421" s="80">
        <v>0</v>
      </c>
    </row>
    <row r="422" spans="1:14" s="39" customFormat="1" x14ac:dyDescent="0.25">
      <c r="A422" s="93"/>
      <c r="B422" s="93"/>
      <c r="C422" s="6" t="s">
        <v>432</v>
      </c>
      <c r="D422" s="6"/>
      <c r="E422" s="2" t="s">
        <v>106</v>
      </c>
      <c r="F422" s="80">
        <v>0</v>
      </c>
      <c r="G422" s="80"/>
      <c r="H422" s="80">
        <v>0</v>
      </c>
      <c r="I422" s="80">
        <v>0</v>
      </c>
      <c r="J422" s="80"/>
      <c r="K422" s="80">
        <v>0</v>
      </c>
      <c r="L422" s="80">
        <f>L424+L425</f>
        <v>44338.189059999997</v>
      </c>
      <c r="M422" s="80"/>
      <c r="N422" s="80">
        <f>N424+N425</f>
        <v>44338.189059999997</v>
      </c>
    </row>
    <row r="423" spans="1:14" s="39" customFormat="1" ht="26.25" x14ac:dyDescent="0.25">
      <c r="A423" s="93"/>
      <c r="B423" s="93"/>
      <c r="C423" s="6"/>
      <c r="D423" s="6" t="s">
        <v>298</v>
      </c>
      <c r="E423" s="3" t="s">
        <v>299</v>
      </c>
      <c r="F423" s="80">
        <v>0</v>
      </c>
      <c r="G423" s="80"/>
      <c r="H423" s="80">
        <v>0</v>
      </c>
      <c r="I423" s="80">
        <v>0</v>
      </c>
      <c r="J423" s="80"/>
      <c r="K423" s="80">
        <v>0</v>
      </c>
      <c r="L423" s="80">
        <f>L424+L425</f>
        <v>44338.189059999997</v>
      </c>
      <c r="M423" s="80"/>
      <c r="N423" s="80">
        <f>N424+N425</f>
        <v>44338.189059999997</v>
      </c>
    </row>
    <row r="424" spans="1:14" x14ac:dyDescent="0.25">
      <c r="A424" s="92"/>
      <c r="B424" s="92"/>
      <c r="C424" s="6"/>
      <c r="D424" s="6"/>
      <c r="E424" s="3" t="s">
        <v>152</v>
      </c>
      <c r="F424" s="70">
        <v>0</v>
      </c>
      <c r="G424" s="70"/>
      <c r="H424" s="70">
        <v>0</v>
      </c>
      <c r="I424" s="70">
        <v>0</v>
      </c>
      <c r="J424" s="70"/>
      <c r="K424" s="70">
        <v>0</v>
      </c>
      <c r="L424" s="70">
        <v>38559.189059999997</v>
      </c>
      <c r="M424" s="70"/>
      <c r="N424" s="70">
        <v>38559.189059999997</v>
      </c>
    </row>
    <row r="425" spans="1:14" x14ac:dyDescent="0.25">
      <c r="A425" s="92"/>
      <c r="B425" s="92"/>
      <c r="C425" s="6"/>
      <c r="D425" s="6"/>
      <c r="E425" s="3" t="s">
        <v>105</v>
      </c>
      <c r="F425" s="70">
        <v>0</v>
      </c>
      <c r="G425" s="70"/>
      <c r="H425" s="70">
        <v>0</v>
      </c>
      <c r="I425" s="70">
        <v>0</v>
      </c>
      <c r="J425" s="70"/>
      <c r="K425" s="70">
        <v>0</v>
      </c>
      <c r="L425" s="70">
        <v>5779</v>
      </c>
      <c r="M425" s="70"/>
      <c r="N425" s="70">
        <v>5779</v>
      </c>
    </row>
    <row r="426" spans="1:14" x14ac:dyDescent="0.25">
      <c r="A426" s="268"/>
      <c r="B426" s="268"/>
      <c r="C426" s="269" t="s">
        <v>574</v>
      </c>
      <c r="D426" s="269"/>
      <c r="E426" s="270" t="s">
        <v>575</v>
      </c>
      <c r="F426" s="271">
        <f>F427</f>
        <v>229.9</v>
      </c>
      <c r="G426" s="271"/>
      <c r="H426" s="271">
        <f t="shared" ref="H426:N426" si="101">H427</f>
        <v>229.9</v>
      </c>
      <c r="I426" s="271">
        <f t="shared" si="101"/>
        <v>0</v>
      </c>
      <c r="J426" s="271"/>
      <c r="K426" s="271">
        <f t="shared" si="101"/>
        <v>0</v>
      </c>
      <c r="L426" s="271">
        <f t="shared" si="101"/>
        <v>0</v>
      </c>
      <c r="M426" s="271"/>
      <c r="N426" s="271">
        <f t="shared" si="101"/>
        <v>0</v>
      </c>
    </row>
    <row r="427" spans="1:14" ht="25.5" x14ac:dyDescent="0.25">
      <c r="A427" s="144"/>
      <c r="B427" s="144"/>
      <c r="C427" s="138" t="s">
        <v>401</v>
      </c>
      <c r="D427" s="139"/>
      <c r="E427" s="140" t="s">
        <v>847</v>
      </c>
      <c r="F427" s="84">
        <f>F428</f>
        <v>229.9</v>
      </c>
      <c r="G427" s="84"/>
      <c r="H427" s="84">
        <f t="shared" ref="H427:N427" si="102">H428</f>
        <v>229.9</v>
      </c>
      <c r="I427" s="84">
        <f t="shared" si="102"/>
        <v>0</v>
      </c>
      <c r="J427" s="84"/>
      <c r="K427" s="84">
        <f t="shared" si="102"/>
        <v>0</v>
      </c>
      <c r="L427" s="84">
        <f t="shared" si="102"/>
        <v>0</v>
      </c>
      <c r="M427" s="84"/>
      <c r="N427" s="84">
        <f t="shared" si="102"/>
        <v>0</v>
      </c>
    </row>
    <row r="428" spans="1:14" ht="38.25" x14ac:dyDescent="0.25">
      <c r="A428" s="92"/>
      <c r="B428" s="92"/>
      <c r="C428" s="22" t="s">
        <v>845</v>
      </c>
      <c r="D428" s="16"/>
      <c r="E428" s="1" t="s">
        <v>848</v>
      </c>
      <c r="F428" s="70">
        <f>F429</f>
        <v>229.9</v>
      </c>
      <c r="G428" s="70"/>
      <c r="H428" s="70">
        <f>H429</f>
        <v>229.9</v>
      </c>
      <c r="I428" s="70"/>
      <c r="J428" s="70"/>
      <c r="K428" s="70">
        <v>0</v>
      </c>
      <c r="L428" s="70"/>
      <c r="M428" s="70"/>
      <c r="N428" s="70">
        <v>0</v>
      </c>
    </row>
    <row r="429" spans="1:14" x14ac:dyDescent="0.25">
      <c r="A429" s="92"/>
      <c r="B429" s="92"/>
      <c r="C429" s="17"/>
      <c r="D429" s="16" t="s">
        <v>280</v>
      </c>
      <c r="E429" s="1" t="s">
        <v>281</v>
      </c>
      <c r="F429" s="70">
        <v>229.9</v>
      </c>
      <c r="G429" s="70"/>
      <c r="H429" s="70">
        <v>229.9</v>
      </c>
      <c r="I429" s="70"/>
      <c r="J429" s="70"/>
      <c r="K429" s="70">
        <v>0</v>
      </c>
      <c r="L429" s="70"/>
      <c r="M429" s="70"/>
      <c r="N429" s="70">
        <v>0</v>
      </c>
    </row>
    <row r="430" spans="1:14" x14ac:dyDescent="0.25">
      <c r="A430" s="145"/>
      <c r="B430" s="49" t="s">
        <v>619</v>
      </c>
      <c r="C430" s="49"/>
      <c r="D430" s="18"/>
      <c r="E430" s="146" t="s">
        <v>620</v>
      </c>
      <c r="F430" s="104">
        <f t="shared" ref="F430:N434" si="103">F431</f>
        <v>47356.907379999997</v>
      </c>
      <c r="G430" s="104">
        <f t="shared" si="103"/>
        <v>0</v>
      </c>
      <c r="H430" s="104">
        <f t="shared" si="103"/>
        <v>47356.907379999997</v>
      </c>
      <c r="I430" s="104">
        <f t="shared" si="103"/>
        <v>4087.5370699999999</v>
      </c>
      <c r="J430" s="104"/>
      <c r="K430" s="104">
        <f t="shared" si="103"/>
        <v>4087.5370699999999</v>
      </c>
      <c r="L430" s="104">
        <f t="shared" si="103"/>
        <v>0</v>
      </c>
      <c r="M430" s="104"/>
      <c r="N430" s="104">
        <f t="shared" si="103"/>
        <v>0</v>
      </c>
    </row>
    <row r="431" spans="1:14" x14ac:dyDescent="0.25">
      <c r="A431" s="145"/>
      <c r="B431" s="49" t="s">
        <v>649</v>
      </c>
      <c r="C431" s="49"/>
      <c r="D431" s="18"/>
      <c r="E431" s="146" t="s">
        <v>621</v>
      </c>
      <c r="F431" s="104">
        <f t="shared" ref="F431:L431" si="104">F432</f>
        <v>47356.907379999997</v>
      </c>
      <c r="G431" s="104">
        <f t="shared" si="104"/>
        <v>0</v>
      </c>
      <c r="H431" s="104">
        <f t="shared" si="104"/>
        <v>47356.907379999997</v>
      </c>
      <c r="I431" s="104">
        <f t="shared" si="104"/>
        <v>4087.5370699999999</v>
      </c>
      <c r="J431" s="104"/>
      <c r="K431" s="104">
        <f t="shared" si="104"/>
        <v>4087.5370699999999</v>
      </c>
      <c r="L431" s="104">
        <f t="shared" si="104"/>
        <v>0</v>
      </c>
      <c r="M431" s="104"/>
      <c r="N431" s="104">
        <f>N432</f>
        <v>0</v>
      </c>
    </row>
    <row r="432" spans="1:14" x14ac:dyDescent="0.25">
      <c r="A432" s="102"/>
      <c r="B432" s="17"/>
      <c r="C432" s="103" t="s">
        <v>5</v>
      </c>
      <c r="D432" s="17"/>
      <c r="E432" s="123" t="s">
        <v>6</v>
      </c>
      <c r="F432" s="74">
        <f t="shared" si="103"/>
        <v>47356.907379999997</v>
      </c>
      <c r="G432" s="74">
        <f t="shared" si="103"/>
        <v>0</v>
      </c>
      <c r="H432" s="74">
        <f t="shared" si="103"/>
        <v>47356.907379999997</v>
      </c>
      <c r="I432" s="74">
        <f t="shared" si="103"/>
        <v>4087.5370699999999</v>
      </c>
      <c r="J432" s="74"/>
      <c r="K432" s="74">
        <f t="shared" si="103"/>
        <v>4087.5370699999999</v>
      </c>
      <c r="L432" s="74">
        <f t="shared" si="103"/>
        <v>0</v>
      </c>
      <c r="M432" s="74"/>
      <c r="N432" s="74">
        <f t="shared" si="103"/>
        <v>0</v>
      </c>
    </row>
    <row r="433" spans="1:14" ht="25.5" x14ac:dyDescent="0.25">
      <c r="A433" s="105"/>
      <c r="B433" s="106"/>
      <c r="C433" s="107" t="s">
        <v>622</v>
      </c>
      <c r="D433" s="106"/>
      <c r="E433" s="108" t="s">
        <v>623</v>
      </c>
      <c r="F433" s="109">
        <f t="shared" si="103"/>
        <v>47356.907379999997</v>
      </c>
      <c r="G433" s="109">
        <f t="shared" si="103"/>
        <v>0</v>
      </c>
      <c r="H433" s="109">
        <f t="shared" si="103"/>
        <v>47356.907379999997</v>
      </c>
      <c r="I433" s="109">
        <f t="shared" si="103"/>
        <v>4087.5370699999999</v>
      </c>
      <c r="J433" s="109"/>
      <c r="K433" s="109">
        <f t="shared" si="103"/>
        <v>4087.5370699999999</v>
      </c>
      <c r="L433" s="109">
        <f t="shared" si="103"/>
        <v>0</v>
      </c>
      <c r="M433" s="109"/>
      <c r="N433" s="109">
        <f t="shared" si="103"/>
        <v>0</v>
      </c>
    </row>
    <row r="434" spans="1:14" ht="26.25" x14ac:dyDescent="0.25">
      <c r="A434" s="31"/>
      <c r="B434" s="31"/>
      <c r="C434" s="31" t="s">
        <v>624</v>
      </c>
      <c r="D434" s="31"/>
      <c r="E434" s="52" t="s">
        <v>213</v>
      </c>
      <c r="F434" s="75">
        <f t="shared" si="103"/>
        <v>47356.907379999997</v>
      </c>
      <c r="G434" s="75">
        <f t="shared" si="103"/>
        <v>0</v>
      </c>
      <c r="H434" s="75">
        <f t="shared" si="103"/>
        <v>47356.907379999997</v>
      </c>
      <c r="I434" s="75">
        <f t="shared" si="103"/>
        <v>4087.5370699999999</v>
      </c>
      <c r="J434" s="75"/>
      <c r="K434" s="75">
        <f t="shared" si="103"/>
        <v>4087.5370699999999</v>
      </c>
      <c r="L434" s="75">
        <f t="shared" si="103"/>
        <v>0</v>
      </c>
      <c r="M434" s="75"/>
      <c r="N434" s="75">
        <f t="shared" si="103"/>
        <v>0</v>
      </c>
    </row>
    <row r="435" spans="1:14" ht="39" x14ac:dyDescent="0.25">
      <c r="A435" s="33"/>
      <c r="B435" s="33"/>
      <c r="C435" s="33" t="s">
        <v>625</v>
      </c>
      <c r="D435" s="33"/>
      <c r="E435" s="34" t="s">
        <v>237</v>
      </c>
      <c r="F435" s="71">
        <f t="shared" ref="F435:L435" si="105">F437</f>
        <v>47356.907379999997</v>
      </c>
      <c r="G435" s="71">
        <f t="shared" si="105"/>
        <v>0</v>
      </c>
      <c r="H435" s="71">
        <f t="shared" si="105"/>
        <v>47356.907379999997</v>
      </c>
      <c r="I435" s="71">
        <f t="shared" ref="I435:K435" si="106">I437</f>
        <v>4087.5370699999999</v>
      </c>
      <c r="J435" s="71"/>
      <c r="K435" s="71">
        <f t="shared" si="106"/>
        <v>4087.5370699999999</v>
      </c>
      <c r="L435" s="71">
        <f t="shared" si="105"/>
        <v>0</v>
      </c>
      <c r="M435" s="71"/>
      <c r="N435" s="71">
        <f>N437</f>
        <v>0</v>
      </c>
    </row>
    <row r="436" spans="1:14" s="39" customFormat="1" x14ac:dyDescent="0.25">
      <c r="A436" s="12"/>
      <c r="B436" s="12"/>
      <c r="C436" s="68" t="s">
        <v>895</v>
      </c>
      <c r="D436" s="1"/>
      <c r="E436" s="1" t="s">
        <v>683</v>
      </c>
      <c r="F436" s="70">
        <f t="shared" ref="F436:H437" si="107">F437</f>
        <v>47356.907379999997</v>
      </c>
      <c r="G436" s="70">
        <f t="shared" si="107"/>
        <v>0</v>
      </c>
      <c r="H436" s="70">
        <f t="shared" si="107"/>
        <v>47356.907379999997</v>
      </c>
      <c r="I436" s="70">
        <f>I437</f>
        <v>4087.5370699999999</v>
      </c>
      <c r="J436" s="70"/>
      <c r="K436" s="70">
        <f>K437</f>
        <v>4087.5370699999999</v>
      </c>
      <c r="L436" s="70">
        <v>0</v>
      </c>
      <c r="M436" s="70"/>
      <c r="N436" s="70">
        <v>0</v>
      </c>
    </row>
    <row r="437" spans="1:14" x14ac:dyDescent="0.25">
      <c r="A437" s="55"/>
      <c r="B437" s="55"/>
      <c r="C437" s="12"/>
      <c r="D437" s="55"/>
      <c r="E437" s="13" t="s">
        <v>492</v>
      </c>
      <c r="F437" s="80">
        <f t="shared" si="107"/>
        <v>47356.907379999997</v>
      </c>
      <c r="G437" s="80">
        <f t="shared" si="107"/>
        <v>0</v>
      </c>
      <c r="H437" s="80">
        <f t="shared" si="107"/>
        <v>47356.907379999997</v>
      </c>
      <c r="I437" s="80">
        <f>I438</f>
        <v>4087.5370699999999</v>
      </c>
      <c r="J437" s="80"/>
      <c r="K437" s="80">
        <f>K438</f>
        <v>4087.5370699999999</v>
      </c>
      <c r="L437" s="80">
        <v>0</v>
      </c>
      <c r="M437" s="80"/>
      <c r="N437" s="80">
        <v>0</v>
      </c>
    </row>
    <row r="438" spans="1:14" ht="26.25" x14ac:dyDescent="0.25">
      <c r="A438" s="55"/>
      <c r="B438" s="55"/>
      <c r="C438" s="55"/>
      <c r="D438" s="22" t="s">
        <v>298</v>
      </c>
      <c r="E438" s="3" t="s">
        <v>299</v>
      </c>
      <c r="F438" s="80">
        <f>F439+F440</f>
        <v>47356.907379999997</v>
      </c>
      <c r="G438" s="80">
        <f>G439+G440</f>
        <v>0</v>
      </c>
      <c r="H438" s="80">
        <f>H439+H440</f>
        <v>47356.907379999997</v>
      </c>
      <c r="I438" s="80">
        <f>I439+I440</f>
        <v>4087.5370699999999</v>
      </c>
      <c r="J438" s="80"/>
      <c r="K438" s="80">
        <f>K439+K440</f>
        <v>4087.5370699999999</v>
      </c>
      <c r="L438" s="80">
        <v>0</v>
      </c>
      <c r="M438" s="80"/>
      <c r="N438" s="80">
        <v>0</v>
      </c>
    </row>
    <row r="439" spans="1:14" x14ac:dyDescent="0.25">
      <c r="A439" s="55"/>
      <c r="B439" s="55"/>
      <c r="C439" s="55"/>
      <c r="D439" s="22"/>
      <c r="E439" s="3" t="s">
        <v>152</v>
      </c>
      <c r="F439" s="80">
        <v>45000</v>
      </c>
      <c r="G439" s="80"/>
      <c r="H439" s="80">
        <v>45000</v>
      </c>
      <c r="I439" s="80"/>
      <c r="J439" s="80"/>
      <c r="K439" s="80"/>
      <c r="L439" s="80">
        <v>50</v>
      </c>
      <c r="M439" s="80"/>
      <c r="N439" s="80">
        <v>50</v>
      </c>
    </row>
    <row r="440" spans="1:14" x14ac:dyDescent="0.25">
      <c r="A440" s="55"/>
      <c r="B440" s="55"/>
      <c r="C440" s="55"/>
      <c r="D440" s="22"/>
      <c r="E440" s="3" t="s">
        <v>105</v>
      </c>
      <c r="F440" s="80">
        <v>2356.9073800000001</v>
      </c>
      <c r="G440" s="73"/>
      <c r="H440" s="80">
        <f>SUM(F440:G440)</f>
        <v>2356.9073800000001</v>
      </c>
      <c r="I440" s="73">
        <v>4087.5370699999999</v>
      </c>
      <c r="J440" s="73"/>
      <c r="K440" s="73">
        <v>4087.5370699999999</v>
      </c>
      <c r="L440" s="80">
        <v>0</v>
      </c>
      <c r="M440" s="80"/>
      <c r="N440" s="80">
        <v>0</v>
      </c>
    </row>
    <row r="441" spans="1:14" x14ac:dyDescent="0.25">
      <c r="A441" s="102"/>
      <c r="B441" s="17">
        <v>1000</v>
      </c>
      <c r="C441" s="103"/>
      <c r="D441" s="102"/>
      <c r="E441" s="96" t="s">
        <v>626</v>
      </c>
      <c r="F441" s="74">
        <f t="shared" ref="F441:N441" si="108">F442+F449+F459+F473</f>
        <v>20813.31179</v>
      </c>
      <c r="G441" s="74">
        <f t="shared" si="108"/>
        <v>0</v>
      </c>
      <c r="H441" s="74">
        <f t="shared" si="108"/>
        <v>20813.31179</v>
      </c>
      <c r="I441" s="74">
        <f t="shared" si="108"/>
        <v>18795.155569999999</v>
      </c>
      <c r="J441" s="74"/>
      <c r="K441" s="74">
        <f t="shared" si="108"/>
        <v>18795.155569999999</v>
      </c>
      <c r="L441" s="74">
        <f t="shared" si="108"/>
        <v>9069.9736600000015</v>
      </c>
      <c r="M441" s="74"/>
      <c r="N441" s="74">
        <f t="shared" si="108"/>
        <v>9069.9736600000015</v>
      </c>
    </row>
    <row r="442" spans="1:14" x14ac:dyDescent="0.25">
      <c r="A442" s="102"/>
      <c r="B442" s="17" t="s">
        <v>627</v>
      </c>
      <c r="C442" s="103"/>
      <c r="D442" s="102"/>
      <c r="E442" s="123" t="s">
        <v>628</v>
      </c>
      <c r="F442" s="74">
        <f t="shared" ref="F442:N447" si="109">F443</f>
        <v>7690.3</v>
      </c>
      <c r="G442" s="74"/>
      <c r="H442" s="74">
        <f t="shared" si="109"/>
        <v>7690.3</v>
      </c>
      <c r="I442" s="74">
        <f t="shared" si="109"/>
        <v>7969.5</v>
      </c>
      <c r="J442" s="74"/>
      <c r="K442" s="74">
        <f t="shared" si="109"/>
        <v>7969.5</v>
      </c>
      <c r="L442" s="74">
        <f t="shared" si="109"/>
        <v>7969.5</v>
      </c>
      <c r="M442" s="74"/>
      <c r="N442" s="74">
        <f t="shared" si="109"/>
        <v>7969.5</v>
      </c>
    </row>
    <row r="443" spans="1:14" x14ac:dyDescent="0.25">
      <c r="A443" s="102"/>
      <c r="B443" s="17"/>
      <c r="C443" s="103" t="s">
        <v>5</v>
      </c>
      <c r="D443" s="17"/>
      <c r="E443" s="123" t="s">
        <v>6</v>
      </c>
      <c r="F443" s="74">
        <f t="shared" si="109"/>
        <v>7690.3</v>
      </c>
      <c r="G443" s="74"/>
      <c r="H443" s="74">
        <f t="shared" si="109"/>
        <v>7690.3</v>
      </c>
      <c r="I443" s="74">
        <f t="shared" si="109"/>
        <v>7969.5</v>
      </c>
      <c r="J443" s="74"/>
      <c r="K443" s="74">
        <f t="shared" si="109"/>
        <v>7969.5</v>
      </c>
      <c r="L443" s="74">
        <f t="shared" si="109"/>
        <v>7969.5</v>
      </c>
      <c r="M443" s="74"/>
      <c r="N443" s="74">
        <f t="shared" si="109"/>
        <v>7969.5</v>
      </c>
    </row>
    <row r="444" spans="1:14" ht="25.5" x14ac:dyDescent="0.25">
      <c r="A444" s="105"/>
      <c r="B444" s="106"/>
      <c r="C444" s="107" t="s">
        <v>7</v>
      </c>
      <c r="D444" s="106"/>
      <c r="E444" s="108" t="s">
        <v>8</v>
      </c>
      <c r="F444" s="109">
        <f t="shared" si="109"/>
        <v>7690.3</v>
      </c>
      <c r="G444" s="109"/>
      <c r="H444" s="109">
        <f t="shared" si="109"/>
        <v>7690.3</v>
      </c>
      <c r="I444" s="109">
        <f t="shared" si="109"/>
        <v>7969.5</v>
      </c>
      <c r="J444" s="109"/>
      <c r="K444" s="109">
        <f t="shared" si="109"/>
        <v>7969.5</v>
      </c>
      <c r="L444" s="109">
        <f t="shared" si="109"/>
        <v>7969.5</v>
      </c>
      <c r="M444" s="109"/>
      <c r="N444" s="109">
        <f t="shared" si="109"/>
        <v>7969.5</v>
      </c>
    </row>
    <row r="445" spans="1:14" ht="26.25" x14ac:dyDescent="0.25">
      <c r="A445" s="31"/>
      <c r="B445" s="31"/>
      <c r="C445" s="31" t="s">
        <v>20</v>
      </c>
      <c r="D445" s="31"/>
      <c r="E445" s="52" t="s">
        <v>21</v>
      </c>
      <c r="F445" s="75">
        <f t="shared" si="109"/>
        <v>7690.3</v>
      </c>
      <c r="G445" s="75"/>
      <c r="H445" s="75">
        <f t="shared" si="109"/>
        <v>7690.3</v>
      </c>
      <c r="I445" s="75">
        <f t="shared" si="109"/>
        <v>7969.5</v>
      </c>
      <c r="J445" s="75"/>
      <c r="K445" s="75">
        <f t="shared" si="109"/>
        <v>7969.5</v>
      </c>
      <c r="L445" s="75">
        <f t="shared" si="109"/>
        <v>7969.5</v>
      </c>
      <c r="M445" s="75"/>
      <c r="N445" s="75">
        <f t="shared" si="109"/>
        <v>7969.5</v>
      </c>
    </row>
    <row r="446" spans="1:14" ht="39" x14ac:dyDescent="0.25">
      <c r="A446" s="33"/>
      <c r="B446" s="33"/>
      <c r="C446" s="33" t="s">
        <v>22</v>
      </c>
      <c r="D446" s="33"/>
      <c r="E446" s="34" t="s">
        <v>23</v>
      </c>
      <c r="F446" s="71">
        <f t="shared" si="109"/>
        <v>7690.3</v>
      </c>
      <c r="G446" s="71"/>
      <c r="H446" s="71">
        <f t="shared" si="109"/>
        <v>7690.3</v>
      </c>
      <c r="I446" s="71">
        <f t="shared" si="109"/>
        <v>7969.5</v>
      </c>
      <c r="J446" s="71"/>
      <c r="K446" s="71">
        <f t="shared" si="109"/>
        <v>7969.5</v>
      </c>
      <c r="L446" s="71">
        <f t="shared" si="109"/>
        <v>7969.5</v>
      </c>
      <c r="M446" s="71"/>
      <c r="N446" s="71">
        <f t="shared" si="109"/>
        <v>7969.5</v>
      </c>
    </row>
    <row r="447" spans="1:14" ht="26.25" x14ac:dyDescent="0.25">
      <c r="A447" s="92"/>
      <c r="B447" s="92"/>
      <c r="C447" s="6" t="s">
        <v>28</v>
      </c>
      <c r="D447" s="6"/>
      <c r="E447" s="8" t="s">
        <v>29</v>
      </c>
      <c r="F447" s="70">
        <f>F448</f>
        <v>7690.3</v>
      </c>
      <c r="G447" s="70"/>
      <c r="H447" s="70">
        <f>H448</f>
        <v>7690.3</v>
      </c>
      <c r="I447" s="70">
        <f t="shared" si="109"/>
        <v>7969.5</v>
      </c>
      <c r="J447" s="70"/>
      <c r="K447" s="70">
        <f t="shared" si="109"/>
        <v>7969.5</v>
      </c>
      <c r="L447" s="70">
        <f t="shared" si="109"/>
        <v>7969.5</v>
      </c>
      <c r="M447" s="70"/>
      <c r="N447" s="70">
        <f t="shared" si="109"/>
        <v>7969.5</v>
      </c>
    </row>
    <row r="448" spans="1:14" x14ac:dyDescent="0.25">
      <c r="A448" s="92"/>
      <c r="B448" s="92"/>
      <c r="C448" s="6"/>
      <c r="D448" s="6" t="s">
        <v>423</v>
      </c>
      <c r="E448" s="3" t="s">
        <v>424</v>
      </c>
      <c r="F448" s="70">
        <v>7690.3</v>
      </c>
      <c r="G448" s="70"/>
      <c r="H448" s="70">
        <v>7690.3</v>
      </c>
      <c r="I448" s="70">
        <v>7969.5</v>
      </c>
      <c r="J448" s="70"/>
      <c r="K448" s="70">
        <v>7969.5</v>
      </c>
      <c r="L448" s="70">
        <v>7969.5</v>
      </c>
      <c r="M448" s="70"/>
      <c r="N448" s="70">
        <v>7969.5</v>
      </c>
    </row>
    <row r="449" spans="1:14" x14ac:dyDescent="0.25">
      <c r="A449" s="102"/>
      <c r="B449" s="17" t="s">
        <v>629</v>
      </c>
      <c r="C449" s="103"/>
      <c r="D449" s="102"/>
      <c r="E449" s="96" t="s">
        <v>630</v>
      </c>
      <c r="F449" s="74">
        <f>F450</f>
        <v>1340.3</v>
      </c>
      <c r="G449" s="74"/>
      <c r="H449" s="74">
        <f>H450</f>
        <v>1340.3</v>
      </c>
      <c r="I449" s="74">
        <f>I450</f>
        <v>0</v>
      </c>
      <c r="J449" s="74"/>
      <c r="K449" s="74">
        <f>K450</f>
        <v>0</v>
      </c>
      <c r="L449" s="74">
        <f>L450</f>
        <v>0</v>
      </c>
      <c r="M449" s="74"/>
      <c r="N449" s="74">
        <f>N450</f>
        <v>0</v>
      </c>
    </row>
    <row r="450" spans="1:14" x14ac:dyDescent="0.25">
      <c r="A450" s="102"/>
      <c r="B450" s="17"/>
      <c r="C450" s="103" t="s">
        <v>5</v>
      </c>
      <c r="D450" s="17"/>
      <c r="E450" s="123" t="s">
        <v>6</v>
      </c>
      <c r="F450" s="74">
        <f>F451+F455</f>
        <v>1340.3</v>
      </c>
      <c r="G450" s="74"/>
      <c r="H450" s="74">
        <f>H451+H455</f>
        <v>1340.3</v>
      </c>
      <c r="I450" s="74">
        <f>I451+I455</f>
        <v>0</v>
      </c>
      <c r="J450" s="74"/>
      <c r="K450" s="74">
        <f>K451+K455</f>
        <v>0</v>
      </c>
      <c r="L450" s="74">
        <f>L451+L455</f>
        <v>0</v>
      </c>
      <c r="M450" s="74"/>
      <c r="N450" s="74">
        <f>N451+N455</f>
        <v>0</v>
      </c>
    </row>
    <row r="451" spans="1:14" ht="25.5" x14ac:dyDescent="0.25">
      <c r="A451" s="105"/>
      <c r="B451" s="106"/>
      <c r="C451" s="107" t="s">
        <v>180</v>
      </c>
      <c r="D451" s="106"/>
      <c r="E451" s="108" t="s">
        <v>631</v>
      </c>
      <c r="F451" s="109">
        <f t="shared" ref="F451:N452" si="110">F452</f>
        <v>0</v>
      </c>
      <c r="G451" s="109"/>
      <c r="H451" s="109">
        <f t="shared" si="110"/>
        <v>0</v>
      </c>
      <c r="I451" s="109">
        <f t="shared" si="110"/>
        <v>0</v>
      </c>
      <c r="J451" s="109"/>
      <c r="K451" s="109">
        <f t="shared" si="110"/>
        <v>0</v>
      </c>
      <c r="L451" s="109">
        <f t="shared" si="110"/>
        <v>0</v>
      </c>
      <c r="M451" s="109"/>
      <c r="N451" s="109">
        <f t="shared" si="110"/>
        <v>0</v>
      </c>
    </row>
    <row r="452" spans="1:14" ht="26.25" x14ac:dyDescent="0.25">
      <c r="A452" s="33"/>
      <c r="B452" s="33"/>
      <c r="C452" s="33" t="s">
        <v>188</v>
      </c>
      <c r="D452" s="33"/>
      <c r="E452" s="34" t="s">
        <v>189</v>
      </c>
      <c r="F452" s="71">
        <f t="shared" si="110"/>
        <v>0</v>
      </c>
      <c r="G452" s="71"/>
      <c r="H452" s="71">
        <f t="shared" si="110"/>
        <v>0</v>
      </c>
      <c r="I452" s="71">
        <f t="shared" si="110"/>
        <v>0</v>
      </c>
      <c r="J452" s="71"/>
      <c r="K452" s="71">
        <f t="shared" si="110"/>
        <v>0</v>
      </c>
      <c r="L452" s="71">
        <f t="shared" si="110"/>
        <v>0</v>
      </c>
      <c r="M452" s="71"/>
      <c r="N452" s="71">
        <f t="shared" si="110"/>
        <v>0</v>
      </c>
    </row>
    <row r="453" spans="1:14" ht="26.25" x14ac:dyDescent="0.25">
      <c r="A453" s="92"/>
      <c r="B453" s="92"/>
      <c r="C453" s="6" t="s">
        <v>190</v>
      </c>
      <c r="D453" s="6"/>
      <c r="E453" s="3" t="s">
        <v>191</v>
      </c>
      <c r="F453" s="70">
        <v>0</v>
      </c>
      <c r="G453" s="70"/>
      <c r="H453" s="70">
        <v>0</v>
      </c>
      <c r="I453" s="70">
        <v>0</v>
      </c>
      <c r="J453" s="70"/>
      <c r="K453" s="70">
        <v>0</v>
      </c>
      <c r="L453" s="70">
        <v>0</v>
      </c>
      <c r="M453" s="70"/>
      <c r="N453" s="70">
        <v>0</v>
      </c>
    </row>
    <row r="454" spans="1:14" x14ac:dyDescent="0.25">
      <c r="A454" s="92"/>
      <c r="B454" s="92"/>
      <c r="C454" s="6"/>
      <c r="D454" s="6" t="s">
        <v>423</v>
      </c>
      <c r="E454" s="3" t="s">
        <v>424</v>
      </c>
      <c r="F454" s="70">
        <v>0</v>
      </c>
      <c r="G454" s="70"/>
      <c r="H454" s="70">
        <v>0</v>
      </c>
      <c r="I454" s="70">
        <v>0</v>
      </c>
      <c r="J454" s="70"/>
      <c r="K454" s="70">
        <v>0</v>
      </c>
      <c r="L454" s="70">
        <v>0</v>
      </c>
      <c r="M454" s="70"/>
      <c r="N454" s="70">
        <v>0</v>
      </c>
    </row>
    <row r="455" spans="1:14" ht="25.5" x14ac:dyDescent="0.25">
      <c r="A455" s="105"/>
      <c r="B455" s="106"/>
      <c r="C455" s="107" t="s">
        <v>200</v>
      </c>
      <c r="D455" s="106"/>
      <c r="E455" s="108" t="s">
        <v>201</v>
      </c>
      <c r="F455" s="109">
        <f>F456</f>
        <v>1340.3</v>
      </c>
      <c r="G455" s="109"/>
      <c r="H455" s="109">
        <f>H456</f>
        <v>1340.3</v>
      </c>
      <c r="I455" s="109">
        <f t="shared" ref="I455:N457" si="111">I456</f>
        <v>0</v>
      </c>
      <c r="J455" s="109"/>
      <c r="K455" s="109">
        <f t="shared" si="111"/>
        <v>0</v>
      </c>
      <c r="L455" s="109">
        <f t="shared" si="111"/>
        <v>0</v>
      </c>
      <c r="M455" s="109"/>
      <c r="N455" s="109">
        <f t="shared" si="111"/>
        <v>0</v>
      </c>
    </row>
    <row r="456" spans="1:14" ht="26.25" x14ac:dyDescent="0.25">
      <c r="A456" s="33"/>
      <c r="B456" s="33"/>
      <c r="C456" s="33" t="s">
        <v>202</v>
      </c>
      <c r="D456" s="33"/>
      <c r="E456" s="34" t="s">
        <v>873</v>
      </c>
      <c r="F456" s="71">
        <f>F457</f>
        <v>1340.3</v>
      </c>
      <c r="G456" s="71"/>
      <c r="H456" s="71">
        <f>H457</f>
        <v>1340.3</v>
      </c>
      <c r="I456" s="71">
        <f t="shared" si="111"/>
        <v>0</v>
      </c>
      <c r="J456" s="71"/>
      <c r="K456" s="71">
        <f t="shared" si="111"/>
        <v>0</v>
      </c>
      <c r="L456" s="71">
        <f t="shared" si="111"/>
        <v>0</v>
      </c>
      <c r="M456" s="71"/>
      <c r="N456" s="71">
        <f t="shared" si="111"/>
        <v>0</v>
      </c>
    </row>
    <row r="457" spans="1:14" ht="26.25" x14ac:dyDescent="0.25">
      <c r="A457" s="92"/>
      <c r="B457" s="92"/>
      <c r="C457" s="6" t="s">
        <v>206</v>
      </c>
      <c r="D457" s="6"/>
      <c r="E457" s="13" t="s">
        <v>207</v>
      </c>
      <c r="F457" s="70">
        <f>F458</f>
        <v>1340.3</v>
      </c>
      <c r="G457" s="70"/>
      <c r="H457" s="70">
        <f>H458</f>
        <v>1340.3</v>
      </c>
      <c r="I457" s="70">
        <f t="shared" si="111"/>
        <v>0</v>
      </c>
      <c r="J457" s="70"/>
      <c r="K457" s="70">
        <f t="shared" si="111"/>
        <v>0</v>
      </c>
      <c r="L457" s="70">
        <f t="shared" si="111"/>
        <v>0</v>
      </c>
      <c r="M457" s="70"/>
      <c r="N457" s="70">
        <f t="shared" si="111"/>
        <v>0</v>
      </c>
    </row>
    <row r="458" spans="1:14" x14ac:dyDescent="0.25">
      <c r="A458" s="92"/>
      <c r="B458" s="92"/>
      <c r="C458" s="6"/>
      <c r="D458" s="6" t="s">
        <v>423</v>
      </c>
      <c r="E458" s="3" t="s">
        <v>424</v>
      </c>
      <c r="F458" s="70">
        <v>1340.3</v>
      </c>
      <c r="G458" s="70"/>
      <c r="H458" s="70">
        <v>1340.3</v>
      </c>
      <c r="I458" s="70">
        <v>0</v>
      </c>
      <c r="J458" s="70"/>
      <c r="K458" s="70">
        <v>0</v>
      </c>
      <c r="L458" s="70">
        <v>0</v>
      </c>
      <c r="M458" s="70"/>
      <c r="N458" s="70">
        <v>0</v>
      </c>
    </row>
    <row r="459" spans="1:14" x14ac:dyDescent="0.25">
      <c r="A459" s="92"/>
      <c r="B459" s="17">
        <v>1004</v>
      </c>
      <c r="C459" s="103"/>
      <c r="D459" s="102"/>
      <c r="E459" s="96" t="s">
        <v>632</v>
      </c>
      <c r="F459" s="74">
        <f t="shared" ref="F459:N460" si="112">F460</f>
        <v>11683.954</v>
      </c>
      <c r="G459" s="74">
        <f t="shared" si="112"/>
        <v>0</v>
      </c>
      <c r="H459" s="74">
        <f t="shared" si="112"/>
        <v>11683.954</v>
      </c>
      <c r="I459" s="74">
        <f t="shared" si="112"/>
        <v>10718.589</v>
      </c>
      <c r="J459" s="74"/>
      <c r="K459" s="74">
        <f t="shared" si="112"/>
        <v>10718.589</v>
      </c>
      <c r="L459" s="74">
        <f>L460</f>
        <v>992.88800000000003</v>
      </c>
      <c r="M459" s="74"/>
      <c r="N459" s="74">
        <f t="shared" si="112"/>
        <v>992.88800000000003</v>
      </c>
    </row>
    <row r="460" spans="1:14" x14ac:dyDescent="0.25">
      <c r="A460" s="92"/>
      <c r="B460" s="17"/>
      <c r="C460" s="103" t="s">
        <v>5</v>
      </c>
      <c r="D460" s="17"/>
      <c r="E460" s="123" t="s">
        <v>593</v>
      </c>
      <c r="F460" s="74">
        <f t="shared" si="112"/>
        <v>11683.954</v>
      </c>
      <c r="G460" s="74">
        <f t="shared" si="112"/>
        <v>0</v>
      </c>
      <c r="H460" s="74">
        <f t="shared" si="112"/>
        <v>11683.954</v>
      </c>
      <c r="I460" s="74">
        <f t="shared" si="112"/>
        <v>10718.589</v>
      </c>
      <c r="J460" s="74"/>
      <c r="K460" s="74">
        <f t="shared" si="112"/>
        <v>10718.589</v>
      </c>
      <c r="L460" s="74">
        <f>L461</f>
        <v>992.88800000000003</v>
      </c>
      <c r="M460" s="74"/>
      <c r="N460" s="74">
        <f t="shared" si="112"/>
        <v>992.88800000000003</v>
      </c>
    </row>
    <row r="461" spans="1:14" ht="25.5" x14ac:dyDescent="0.25">
      <c r="A461" s="105"/>
      <c r="B461" s="106"/>
      <c r="C461" s="107" t="s">
        <v>180</v>
      </c>
      <c r="D461" s="106"/>
      <c r="E461" s="108" t="s">
        <v>181</v>
      </c>
      <c r="F461" s="109">
        <f t="shared" ref="F461:L461" si="113">F462+F470</f>
        <v>11683.954</v>
      </c>
      <c r="G461" s="109">
        <f t="shared" si="113"/>
        <v>0</v>
      </c>
      <c r="H461" s="109">
        <f t="shared" si="113"/>
        <v>11683.954</v>
      </c>
      <c r="I461" s="109">
        <f t="shared" si="113"/>
        <v>10718.589</v>
      </c>
      <c r="J461" s="109"/>
      <c r="K461" s="109">
        <f t="shared" si="113"/>
        <v>10718.589</v>
      </c>
      <c r="L461" s="109">
        <f t="shared" si="113"/>
        <v>992.88800000000003</v>
      </c>
      <c r="M461" s="109"/>
      <c r="N461" s="109">
        <f>N462+N470</f>
        <v>992.88800000000003</v>
      </c>
    </row>
    <row r="462" spans="1:14" x14ac:dyDescent="0.25">
      <c r="A462" s="33"/>
      <c r="B462" s="33"/>
      <c r="C462" s="33" t="s">
        <v>182</v>
      </c>
      <c r="D462" s="33"/>
      <c r="E462" s="34" t="s">
        <v>183</v>
      </c>
      <c r="F462" s="71">
        <f>F465+F463</f>
        <v>8569.2489999999998</v>
      </c>
      <c r="G462" s="71">
        <f>G465+G463</f>
        <v>0</v>
      </c>
      <c r="H462" s="71">
        <f>H465+H463</f>
        <v>8569.2489999999998</v>
      </c>
      <c r="I462" s="71">
        <f>I465+I463</f>
        <v>7603.884</v>
      </c>
      <c r="J462" s="71"/>
      <c r="K462" s="71">
        <f>K465+K463</f>
        <v>7603.884</v>
      </c>
      <c r="L462" s="71">
        <f>L465+L463</f>
        <v>992.88800000000003</v>
      </c>
      <c r="M462" s="71"/>
      <c r="N462" s="71">
        <f>N465+N463</f>
        <v>992.88800000000003</v>
      </c>
    </row>
    <row r="463" spans="1:14" s="39" customFormat="1" ht="51.75" x14ac:dyDescent="0.25">
      <c r="A463" s="12"/>
      <c r="B463" s="12"/>
      <c r="C463" s="6" t="s">
        <v>184</v>
      </c>
      <c r="D463" s="6"/>
      <c r="E463" s="3" t="s">
        <v>535</v>
      </c>
      <c r="F463" s="70">
        <f>F464</f>
        <v>7398.1419999999998</v>
      </c>
      <c r="G463" s="70"/>
      <c r="H463" s="70">
        <f>H464</f>
        <v>7398.1419999999998</v>
      </c>
      <c r="I463" s="70">
        <f>I464</f>
        <v>7603.884</v>
      </c>
      <c r="J463" s="70"/>
      <c r="K463" s="70">
        <f>K464</f>
        <v>7603.884</v>
      </c>
      <c r="L463" s="70">
        <f>L464</f>
        <v>0</v>
      </c>
      <c r="M463" s="70"/>
      <c r="N463" s="70">
        <f>N464</f>
        <v>0</v>
      </c>
    </row>
    <row r="464" spans="1:14" s="39" customFormat="1" x14ac:dyDescent="0.25">
      <c r="A464" s="12"/>
      <c r="B464" s="12"/>
      <c r="C464" s="6"/>
      <c r="D464" s="6" t="s">
        <v>423</v>
      </c>
      <c r="E464" s="3" t="s">
        <v>424</v>
      </c>
      <c r="F464" s="70">
        <v>7398.1419999999998</v>
      </c>
      <c r="G464" s="70"/>
      <c r="H464" s="70">
        <v>7398.1419999999998</v>
      </c>
      <c r="I464" s="70">
        <v>7603.884</v>
      </c>
      <c r="J464" s="70"/>
      <c r="K464" s="70">
        <v>7603.884</v>
      </c>
      <c r="L464" s="70">
        <v>0</v>
      </c>
      <c r="M464" s="70"/>
      <c r="N464" s="70">
        <v>0</v>
      </c>
    </row>
    <row r="465" spans="1:14" ht="39" x14ac:dyDescent="0.25">
      <c r="A465" s="6"/>
      <c r="B465" s="6"/>
      <c r="C465" s="6" t="s">
        <v>186</v>
      </c>
      <c r="D465" s="6"/>
      <c r="E465" s="54" t="s">
        <v>800</v>
      </c>
      <c r="F465" s="70">
        <f>F466</f>
        <v>1171.107</v>
      </c>
      <c r="G465" s="70">
        <f>G466</f>
        <v>0</v>
      </c>
      <c r="H465" s="70">
        <f>H466</f>
        <v>1171.107</v>
      </c>
      <c r="I465" s="70">
        <v>0</v>
      </c>
      <c r="J465" s="70"/>
      <c r="K465" s="70">
        <v>0</v>
      </c>
      <c r="L465" s="70">
        <f>L466</f>
        <v>992.88800000000003</v>
      </c>
      <c r="M465" s="70"/>
      <c r="N465" s="70">
        <f>N466</f>
        <v>992.88800000000003</v>
      </c>
    </row>
    <row r="466" spans="1:14" x14ac:dyDescent="0.25">
      <c r="A466" s="6"/>
      <c r="B466" s="6"/>
      <c r="C466" s="6"/>
      <c r="D466" s="6" t="s">
        <v>423</v>
      </c>
      <c r="E466" s="3" t="s">
        <v>424</v>
      </c>
      <c r="F466" s="70">
        <f>F469</f>
        <v>1171.107</v>
      </c>
      <c r="G466" s="70">
        <f>G469</f>
        <v>0</v>
      </c>
      <c r="H466" s="70">
        <f>H469</f>
        <v>1171.107</v>
      </c>
      <c r="I466" s="70">
        <v>0</v>
      </c>
      <c r="J466" s="70"/>
      <c r="K466" s="70">
        <v>0</v>
      </c>
      <c r="L466" s="70">
        <f>L469</f>
        <v>992.88800000000003</v>
      </c>
      <c r="M466" s="70"/>
      <c r="N466" s="70">
        <f>N469</f>
        <v>992.88800000000003</v>
      </c>
    </row>
    <row r="467" spans="1:14" x14ac:dyDescent="0.25">
      <c r="A467" s="6"/>
      <c r="B467" s="6"/>
      <c r="C467" s="6"/>
      <c r="D467" s="6"/>
      <c r="E467" s="3" t="s">
        <v>187</v>
      </c>
      <c r="F467" s="70">
        <v>0</v>
      </c>
      <c r="G467" s="70"/>
      <c r="H467" s="70">
        <v>0</v>
      </c>
      <c r="I467" s="70">
        <v>0</v>
      </c>
      <c r="J467" s="70"/>
      <c r="K467" s="70">
        <v>0</v>
      </c>
      <c r="L467" s="70">
        <v>0</v>
      </c>
      <c r="M467" s="70"/>
      <c r="N467" s="70">
        <v>0</v>
      </c>
    </row>
    <row r="468" spans="1:14" x14ac:dyDescent="0.25">
      <c r="A468" s="6"/>
      <c r="B468" s="6"/>
      <c r="C468" s="6"/>
      <c r="D468" s="6"/>
      <c r="E468" s="3" t="s">
        <v>185</v>
      </c>
      <c r="F468" s="70">
        <v>0</v>
      </c>
      <c r="G468" s="70"/>
      <c r="H468" s="70">
        <v>0</v>
      </c>
      <c r="I468" s="70">
        <v>0</v>
      </c>
      <c r="J468" s="70"/>
      <c r="K468" s="70">
        <v>0</v>
      </c>
      <c r="L468" s="70">
        <v>0</v>
      </c>
      <c r="M468" s="70"/>
      <c r="N468" s="70">
        <v>0</v>
      </c>
    </row>
    <row r="469" spans="1:14" x14ac:dyDescent="0.25">
      <c r="A469" s="6"/>
      <c r="B469" s="6"/>
      <c r="C469" s="6"/>
      <c r="D469" s="6"/>
      <c r="E469" s="3" t="s">
        <v>150</v>
      </c>
      <c r="F469" s="70">
        <v>1171.107</v>
      </c>
      <c r="G469" s="70"/>
      <c r="H469" s="70">
        <v>1171.107</v>
      </c>
      <c r="I469" s="70">
        <v>0</v>
      </c>
      <c r="J469" s="70"/>
      <c r="K469" s="70">
        <v>0</v>
      </c>
      <c r="L469" s="70">
        <v>992.88800000000003</v>
      </c>
      <c r="M469" s="70"/>
      <c r="N469" s="70">
        <v>992.88800000000003</v>
      </c>
    </row>
    <row r="470" spans="1:14" ht="39" x14ac:dyDescent="0.25">
      <c r="A470" s="33"/>
      <c r="B470" s="33"/>
      <c r="C470" s="33" t="s">
        <v>192</v>
      </c>
      <c r="D470" s="33"/>
      <c r="E470" s="34" t="s">
        <v>193</v>
      </c>
      <c r="F470" s="71">
        <f t="shared" ref="F470:N471" si="114">F471</f>
        <v>3114.7049999999999</v>
      </c>
      <c r="G470" s="71"/>
      <c r="H470" s="71">
        <f t="shared" si="114"/>
        <v>3114.7049999999999</v>
      </c>
      <c r="I470" s="71">
        <f t="shared" si="114"/>
        <v>3114.7049999999999</v>
      </c>
      <c r="J470" s="71"/>
      <c r="K470" s="71">
        <f t="shared" si="114"/>
        <v>3114.7049999999999</v>
      </c>
      <c r="L470" s="71">
        <f t="shared" si="114"/>
        <v>0</v>
      </c>
      <c r="M470" s="71"/>
      <c r="N470" s="71">
        <f t="shared" si="114"/>
        <v>0</v>
      </c>
    </row>
    <row r="471" spans="1:14" ht="51.75" x14ac:dyDescent="0.25">
      <c r="A471" s="92"/>
      <c r="B471" s="92"/>
      <c r="C471" s="6" t="s">
        <v>196</v>
      </c>
      <c r="D471" s="6"/>
      <c r="E471" s="46" t="s">
        <v>197</v>
      </c>
      <c r="F471" s="70">
        <f t="shared" si="114"/>
        <v>3114.7049999999999</v>
      </c>
      <c r="G471" s="70"/>
      <c r="H471" s="70">
        <f t="shared" si="114"/>
        <v>3114.7049999999999</v>
      </c>
      <c r="I471" s="70">
        <f t="shared" si="114"/>
        <v>3114.7049999999999</v>
      </c>
      <c r="J471" s="70"/>
      <c r="K471" s="70">
        <f t="shared" si="114"/>
        <v>3114.7049999999999</v>
      </c>
      <c r="L471" s="70">
        <f t="shared" si="114"/>
        <v>0</v>
      </c>
      <c r="M471" s="70"/>
      <c r="N471" s="70">
        <f t="shared" si="114"/>
        <v>0</v>
      </c>
    </row>
    <row r="472" spans="1:14" ht="26.25" x14ac:dyDescent="0.25">
      <c r="A472" s="92"/>
      <c r="B472" s="92"/>
      <c r="C472" s="6"/>
      <c r="D472" s="6" t="s">
        <v>298</v>
      </c>
      <c r="E472" s="3" t="s">
        <v>299</v>
      </c>
      <c r="F472" s="80">
        <v>3114.7049999999999</v>
      </c>
      <c r="G472" s="80"/>
      <c r="H472" s="80">
        <v>3114.7049999999999</v>
      </c>
      <c r="I472" s="80">
        <v>3114.7049999999999</v>
      </c>
      <c r="J472" s="80"/>
      <c r="K472" s="80">
        <v>3114.7049999999999</v>
      </c>
      <c r="L472" s="80">
        <v>0</v>
      </c>
      <c r="M472" s="80"/>
      <c r="N472" s="80">
        <v>0</v>
      </c>
    </row>
    <row r="473" spans="1:14" x14ac:dyDescent="0.25">
      <c r="A473" s="92"/>
      <c r="B473" s="17" t="s">
        <v>633</v>
      </c>
      <c r="C473" s="103"/>
      <c r="D473" s="102"/>
      <c r="E473" s="96" t="s">
        <v>634</v>
      </c>
      <c r="F473" s="74">
        <f t="shared" ref="F473:N477" si="115">F474</f>
        <v>98.75779</v>
      </c>
      <c r="G473" s="74"/>
      <c r="H473" s="74">
        <f t="shared" si="115"/>
        <v>98.75779</v>
      </c>
      <c r="I473" s="74">
        <f t="shared" si="115"/>
        <v>107.06657</v>
      </c>
      <c r="J473" s="74"/>
      <c r="K473" s="74">
        <f t="shared" si="115"/>
        <v>107.06657</v>
      </c>
      <c r="L473" s="74">
        <f t="shared" si="115"/>
        <v>107.58566</v>
      </c>
      <c r="M473" s="74"/>
      <c r="N473" s="74">
        <f t="shared" si="115"/>
        <v>107.58566</v>
      </c>
    </row>
    <row r="474" spans="1:14" x14ac:dyDescent="0.25">
      <c r="A474" s="92"/>
      <c r="B474" s="17"/>
      <c r="C474" s="103" t="s">
        <v>5</v>
      </c>
      <c r="D474" s="17"/>
      <c r="E474" s="123" t="s">
        <v>593</v>
      </c>
      <c r="F474" s="74">
        <f t="shared" si="115"/>
        <v>98.75779</v>
      </c>
      <c r="G474" s="74"/>
      <c r="H474" s="74">
        <f t="shared" si="115"/>
        <v>98.75779</v>
      </c>
      <c r="I474" s="74">
        <f t="shared" si="115"/>
        <v>107.06657</v>
      </c>
      <c r="J474" s="74"/>
      <c r="K474" s="74">
        <f t="shared" si="115"/>
        <v>107.06657</v>
      </c>
      <c r="L474" s="74">
        <f t="shared" si="115"/>
        <v>107.58566</v>
      </c>
      <c r="M474" s="74"/>
      <c r="N474" s="74">
        <f t="shared" si="115"/>
        <v>107.58566</v>
      </c>
    </row>
    <row r="475" spans="1:14" ht="25.5" x14ac:dyDescent="0.25">
      <c r="A475" s="105"/>
      <c r="B475" s="106"/>
      <c r="C475" s="107" t="s">
        <v>180</v>
      </c>
      <c r="D475" s="106"/>
      <c r="E475" s="108" t="s">
        <v>181</v>
      </c>
      <c r="F475" s="109">
        <f t="shared" si="115"/>
        <v>98.75779</v>
      </c>
      <c r="G475" s="109"/>
      <c r="H475" s="109">
        <f t="shared" si="115"/>
        <v>98.75779</v>
      </c>
      <c r="I475" s="109">
        <f t="shared" si="115"/>
        <v>107.06657</v>
      </c>
      <c r="J475" s="109"/>
      <c r="K475" s="109">
        <f t="shared" si="115"/>
        <v>107.06657</v>
      </c>
      <c r="L475" s="109">
        <f t="shared" si="115"/>
        <v>107.58566</v>
      </c>
      <c r="M475" s="109"/>
      <c r="N475" s="109">
        <f t="shared" si="115"/>
        <v>107.58566</v>
      </c>
    </row>
    <row r="476" spans="1:14" ht="39" x14ac:dyDescent="0.25">
      <c r="A476" s="33"/>
      <c r="B476" s="33"/>
      <c r="C476" s="33" t="s">
        <v>192</v>
      </c>
      <c r="D476" s="33"/>
      <c r="E476" s="34" t="s">
        <v>193</v>
      </c>
      <c r="F476" s="71">
        <f t="shared" si="115"/>
        <v>98.75779</v>
      </c>
      <c r="G476" s="71"/>
      <c r="H476" s="71">
        <f t="shared" si="115"/>
        <v>98.75779</v>
      </c>
      <c r="I476" s="71">
        <f t="shared" si="115"/>
        <v>107.06657</v>
      </c>
      <c r="J476" s="71"/>
      <c r="K476" s="71">
        <f t="shared" si="115"/>
        <v>107.06657</v>
      </c>
      <c r="L476" s="71">
        <f t="shared" si="115"/>
        <v>107.58566</v>
      </c>
      <c r="M476" s="71"/>
      <c r="N476" s="71">
        <f t="shared" si="115"/>
        <v>107.58566</v>
      </c>
    </row>
    <row r="477" spans="1:14" ht="26.25" x14ac:dyDescent="0.25">
      <c r="A477" s="92"/>
      <c r="B477" s="92"/>
      <c r="C477" s="6" t="s">
        <v>194</v>
      </c>
      <c r="D477" s="6"/>
      <c r="E477" s="3" t="s">
        <v>195</v>
      </c>
      <c r="F477" s="70">
        <f>F478</f>
        <v>98.75779</v>
      </c>
      <c r="G477" s="70"/>
      <c r="H477" s="70">
        <f>H478</f>
        <v>98.75779</v>
      </c>
      <c r="I477" s="70">
        <f t="shared" si="115"/>
        <v>107.06657</v>
      </c>
      <c r="J477" s="70"/>
      <c r="K477" s="70">
        <f t="shared" si="115"/>
        <v>107.06657</v>
      </c>
      <c r="L477" s="70">
        <f t="shared" si="115"/>
        <v>107.58566</v>
      </c>
      <c r="M477" s="70"/>
      <c r="N477" s="70">
        <f t="shared" si="115"/>
        <v>107.58566</v>
      </c>
    </row>
    <row r="478" spans="1:14" x14ac:dyDescent="0.25">
      <c r="A478" s="92"/>
      <c r="B478" s="92"/>
      <c r="C478" s="6"/>
      <c r="D478" s="6" t="s">
        <v>280</v>
      </c>
      <c r="E478" s="3" t="s">
        <v>281</v>
      </c>
      <c r="F478" s="70">
        <v>98.75779</v>
      </c>
      <c r="G478" s="70"/>
      <c r="H478" s="70">
        <f>SUM(F478:G478)</f>
        <v>98.75779</v>
      </c>
      <c r="I478" s="70">
        <v>107.06657</v>
      </c>
      <c r="J478" s="70"/>
      <c r="K478" s="70">
        <f>SUM(I478:J478)</f>
        <v>107.06657</v>
      </c>
      <c r="L478" s="70">
        <v>107.58566</v>
      </c>
      <c r="M478" s="70"/>
      <c r="N478" s="70">
        <f>SUM(L478:M478)</f>
        <v>107.58566</v>
      </c>
    </row>
    <row r="479" spans="1:14" ht="25.5" x14ac:dyDescent="0.25">
      <c r="A479" s="100">
        <v>611</v>
      </c>
      <c r="B479" s="147"/>
      <c r="C479" s="148"/>
      <c r="D479" s="100"/>
      <c r="E479" s="101" t="s">
        <v>635</v>
      </c>
      <c r="F479" s="149">
        <f t="shared" ref="F479:L479" si="116">F480+F488+F604+F637</f>
        <v>489538.94706000003</v>
      </c>
      <c r="G479" s="149">
        <f t="shared" si="116"/>
        <v>260.39999999999998</v>
      </c>
      <c r="H479" s="149">
        <f t="shared" si="116"/>
        <v>489799.34706000006</v>
      </c>
      <c r="I479" s="149">
        <f t="shared" si="116"/>
        <v>479837.54299000005</v>
      </c>
      <c r="J479" s="149">
        <f t="shared" si="116"/>
        <v>0</v>
      </c>
      <c r="K479" s="149">
        <f t="shared" si="116"/>
        <v>479837.54299000005</v>
      </c>
      <c r="L479" s="149">
        <f t="shared" si="116"/>
        <v>448472.15338999999</v>
      </c>
      <c r="M479" s="149"/>
      <c r="N479" s="149">
        <f>N480+N488+N604+N637</f>
        <v>448472.15338999999</v>
      </c>
    </row>
    <row r="480" spans="1:14" x14ac:dyDescent="0.25">
      <c r="A480" s="102"/>
      <c r="B480" s="17" t="s">
        <v>564</v>
      </c>
      <c r="C480" s="103"/>
      <c r="D480" s="102"/>
      <c r="E480" s="96" t="s">
        <v>572</v>
      </c>
      <c r="F480" s="74">
        <f t="shared" ref="F480:N485" si="117">F481</f>
        <v>9</v>
      </c>
      <c r="G480" s="74"/>
      <c r="H480" s="74">
        <f t="shared" si="117"/>
        <v>9</v>
      </c>
      <c r="I480" s="74">
        <f t="shared" si="117"/>
        <v>9.3000000000000007</v>
      </c>
      <c r="J480" s="74"/>
      <c r="K480" s="74">
        <f t="shared" si="117"/>
        <v>9.3000000000000007</v>
      </c>
      <c r="L480" s="74">
        <f t="shared" si="117"/>
        <v>9.6999999999999993</v>
      </c>
      <c r="M480" s="74"/>
      <c r="N480" s="74">
        <f t="shared" si="117"/>
        <v>9.6999999999999993</v>
      </c>
    </row>
    <row r="481" spans="1:14" x14ac:dyDescent="0.25">
      <c r="A481" s="102"/>
      <c r="B481" s="17" t="s">
        <v>569</v>
      </c>
      <c r="C481" s="103"/>
      <c r="D481" s="102"/>
      <c r="E481" s="96" t="s">
        <v>580</v>
      </c>
      <c r="F481" s="74">
        <f t="shared" si="117"/>
        <v>9</v>
      </c>
      <c r="G481" s="74"/>
      <c r="H481" s="74">
        <f t="shared" si="117"/>
        <v>9</v>
      </c>
      <c r="I481" s="74">
        <f t="shared" si="117"/>
        <v>9.3000000000000007</v>
      </c>
      <c r="J481" s="74"/>
      <c r="K481" s="74">
        <f t="shared" si="117"/>
        <v>9.3000000000000007</v>
      </c>
      <c r="L481" s="74">
        <f t="shared" si="117"/>
        <v>9.6999999999999993</v>
      </c>
      <c r="M481" s="74"/>
      <c r="N481" s="74">
        <f t="shared" si="117"/>
        <v>9.6999999999999993</v>
      </c>
    </row>
    <row r="482" spans="1:14" x14ac:dyDescent="0.25">
      <c r="A482" s="102"/>
      <c r="B482" s="17"/>
      <c r="C482" s="103" t="s">
        <v>5</v>
      </c>
      <c r="D482" s="102"/>
      <c r="E482" s="123" t="s">
        <v>6</v>
      </c>
      <c r="F482" s="124">
        <f t="shared" si="117"/>
        <v>9</v>
      </c>
      <c r="G482" s="124"/>
      <c r="H482" s="124">
        <f t="shared" si="117"/>
        <v>9</v>
      </c>
      <c r="I482" s="124">
        <f t="shared" si="117"/>
        <v>9.3000000000000007</v>
      </c>
      <c r="J482" s="124"/>
      <c r="K482" s="124">
        <f t="shared" si="117"/>
        <v>9.3000000000000007</v>
      </c>
      <c r="L482" s="124">
        <f t="shared" si="117"/>
        <v>9.6999999999999993</v>
      </c>
      <c r="M482" s="124"/>
      <c r="N482" s="124">
        <f t="shared" si="117"/>
        <v>9.6999999999999993</v>
      </c>
    </row>
    <row r="483" spans="1:14" ht="25.5" x14ac:dyDescent="0.25">
      <c r="A483" s="105"/>
      <c r="B483" s="106"/>
      <c r="C483" s="107" t="s">
        <v>159</v>
      </c>
      <c r="D483" s="106"/>
      <c r="E483" s="108" t="s">
        <v>160</v>
      </c>
      <c r="F483" s="109">
        <f t="shared" si="117"/>
        <v>9</v>
      </c>
      <c r="G483" s="109"/>
      <c r="H483" s="109">
        <f t="shared" si="117"/>
        <v>9</v>
      </c>
      <c r="I483" s="109">
        <f t="shared" si="117"/>
        <v>9.3000000000000007</v>
      </c>
      <c r="J483" s="109"/>
      <c r="K483" s="109">
        <f t="shared" si="117"/>
        <v>9.3000000000000007</v>
      </c>
      <c r="L483" s="109">
        <f t="shared" si="117"/>
        <v>9.6999999999999993</v>
      </c>
      <c r="M483" s="109"/>
      <c r="N483" s="109">
        <f t="shared" si="117"/>
        <v>9.6999999999999993</v>
      </c>
    </row>
    <row r="484" spans="1:14" ht="26.25" x14ac:dyDescent="0.25">
      <c r="A484" s="31"/>
      <c r="B484" s="31"/>
      <c r="C484" s="31" t="s">
        <v>167</v>
      </c>
      <c r="D484" s="31"/>
      <c r="E484" s="32" t="s">
        <v>168</v>
      </c>
      <c r="F484" s="75">
        <f t="shared" si="117"/>
        <v>9</v>
      </c>
      <c r="G484" s="75"/>
      <c r="H484" s="75">
        <f t="shared" si="117"/>
        <v>9</v>
      </c>
      <c r="I484" s="75">
        <f t="shared" si="117"/>
        <v>9.3000000000000007</v>
      </c>
      <c r="J484" s="75"/>
      <c r="K484" s="75">
        <f t="shared" si="117"/>
        <v>9.3000000000000007</v>
      </c>
      <c r="L484" s="75">
        <f t="shared" si="117"/>
        <v>9.6999999999999993</v>
      </c>
      <c r="M484" s="75"/>
      <c r="N484" s="75">
        <f t="shared" si="117"/>
        <v>9.6999999999999993</v>
      </c>
    </row>
    <row r="485" spans="1:14" ht="26.25" x14ac:dyDescent="0.25">
      <c r="A485" s="33"/>
      <c r="B485" s="33"/>
      <c r="C485" s="33" t="s">
        <v>169</v>
      </c>
      <c r="D485" s="33"/>
      <c r="E485" s="34" t="s">
        <v>170</v>
      </c>
      <c r="F485" s="71">
        <f t="shared" si="117"/>
        <v>9</v>
      </c>
      <c r="G485" s="71"/>
      <c r="H485" s="71">
        <f t="shared" si="117"/>
        <v>9</v>
      </c>
      <c r="I485" s="71">
        <f t="shared" si="117"/>
        <v>9.3000000000000007</v>
      </c>
      <c r="J485" s="71"/>
      <c r="K485" s="71">
        <f t="shared" si="117"/>
        <v>9.3000000000000007</v>
      </c>
      <c r="L485" s="71">
        <f t="shared" si="117"/>
        <v>9.6999999999999993</v>
      </c>
      <c r="M485" s="71"/>
      <c r="N485" s="71">
        <f t="shared" si="117"/>
        <v>9.6999999999999993</v>
      </c>
    </row>
    <row r="486" spans="1:14" x14ac:dyDescent="0.25">
      <c r="A486" s="92"/>
      <c r="B486" s="92"/>
      <c r="C486" s="6" t="s">
        <v>171</v>
      </c>
      <c r="D486" s="6"/>
      <c r="E486" s="3" t="s">
        <v>533</v>
      </c>
      <c r="F486" s="70">
        <v>9</v>
      </c>
      <c r="G486" s="70"/>
      <c r="H486" s="70">
        <v>9</v>
      </c>
      <c r="I486" s="70">
        <f>I487</f>
        <v>9.3000000000000007</v>
      </c>
      <c r="J486" s="70"/>
      <c r="K486" s="70">
        <f>K487</f>
        <v>9.3000000000000007</v>
      </c>
      <c r="L486" s="70">
        <v>9.6999999999999993</v>
      </c>
      <c r="M486" s="70"/>
      <c r="N486" s="70">
        <v>9.6999999999999993</v>
      </c>
    </row>
    <row r="487" spans="1:14" ht="26.25" x14ac:dyDescent="0.25">
      <c r="A487" s="92"/>
      <c r="B487" s="92"/>
      <c r="C487" s="6"/>
      <c r="D487" s="6" t="s">
        <v>470</v>
      </c>
      <c r="E487" s="3" t="s">
        <v>471</v>
      </c>
      <c r="F487" s="70">
        <v>9</v>
      </c>
      <c r="G487" s="70"/>
      <c r="H487" s="70">
        <v>9</v>
      </c>
      <c r="I487" s="70">
        <v>9.3000000000000007</v>
      </c>
      <c r="J487" s="70"/>
      <c r="K487" s="70">
        <v>9.3000000000000007</v>
      </c>
      <c r="L487" s="70">
        <v>9.6999999999999993</v>
      </c>
      <c r="M487" s="70"/>
      <c r="N487" s="70">
        <v>9.6999999999999993</v>
      </c>
    </row>
    <row r="488" spans="1:14" x14ac:dyDescent="0.25">
      <c r="A488" s="68"/>
      <c r="B488" s="17" t="s">
        <v>615</v>
      </c>
      <c r="C488" s="103"/>
      <c r="D488" s="102"/>
      <c r="E488" s="96" t="s">
        <v>616</v>
      </c>
      <c r="F488" s="74">
        <f>F489+F505+F550+F563</f>
        <v>455825.84860000003</v>
      </c>
      <c r="G488" s="74">
        <f>G489+G505+G550+G563</f>
        <v>265.40472999999997</v>
      </c>
      <c r="H488" s="74">
        <f>H489+H505+H550+H563</f>
        <v>456091.25333000004</v>
      </c>
      <c r="I488" s="74">
        <f>I489+I505+I550+I563</f>
        <v>451633.45720000006</v>
      </c>
      <c r="J488" s="74"/>
      <c r="K488" s="74">
        <f>K489+K505+K550+K563</f>
        <v>451633.45720000006</v>
      </c>
      <c r="L488" s="74">
        <f>L489+L505+L550+L563</f>
        <v>420538.8676</v>
      </c>
      <c r="M488" s="74"/>
      <c r="N488" s="74">
        <f>N489+N505+N550+N563</f>
        <v>420538.8676</v>
      </c>
    </row>
    <row r="489" spans="1:14" x14ac:dyDescent="0.25">
      <c r="A489" s="68"/>
      <c r="B489" s="17" t="s">
        <v>636</v>
      </c>
      <c r="C489" s="103"/>
      <c r="D489" s="102"/>
      <c r="E489" s="96" t="s">
        <v>637</v>
      </c>
      <c r="F489" s="74">
        <f t="shared" ref="F489:H490" si="118">F490</f>
        <v>108939.44900000001</v>
      </c>
      <c r="G489" s="74">
        <f t="shared" si="118"/>
        <v>-131.35</v>
      </c>
      <c r="H489" s="74">
        <f t="shared" si="118"/>
        <v>108808.099</v>
      </c>
      <c r="I489" s="74">
        <f t="shared" ref="I489:N490" si="119">I490</f>
        <v>105664.37220000001</v>
      </c>
      <c r="J489" s="74"/>
      <c r="K489" s="74">
        <f t="shared" si="119"/>
        <v>105664.37220000001</v>
      </c>
      <c r="L489" s="74">
        <f t="shared" si="119"/>
        <v>101701.8808</v>
      </c>
      <c r="M489" s="74"/>
      <c r="N489" s="74">
        <f t="shared" si="119"/>
        <v>101701.8808</v>
      </c>
    </row>
    <row r="490" spans="1:14" s="42" customFormat="1" x14ac:dyDescent="0.25">
      <c r="A490" s="102"/>
      <c r="B490" s="17"/>
      <c r="C490" s="103" t="s">
        <v>5</v>
      </c>
      <c r="D490" s="102"/>
      <c r="E490" s="123" t="s">
        <v>593</v>
      </c>
      <c r="F490" s="74">
        <f t="shared" si="118"/>
        <v>108939.44900000001</v>
      </c>
      <c r="G490" s="74">
        <f t="shared" si="118"/>
        <v>-131.35</v>
      </c>
      <c r="H490" s="74">
        <f t="shared" si="118"/>
        <v>108808.099</v>
      </c>
      <c r="I490" s="74">
        <f t="shared" si="119"/>
        <v>105664.37220000001</v>
      </c>
      <c r="J490" s="74"/>
      <c r="K490" s="74">
        <f t="shared" si="119"/>
        <v>105664.37220000001</v>
      </c>
      <c r="L490" s="74">
        <f t="shared" si="119"/>
        <v>101701.8808</v>
      </c>
      <c r="M490" s="74"/>
      <c r="N490" s="74">
        <f t="shared" si="119"/>
        <v>101701.8808</v>
      </c>
    </row>
    <row r="491" spans="1:14" ht="25.5" x14ac:dyDescent="0.25">
      <c r="A491" s="105"/>
      <c r="B491" s="106"/>
      <c r="C491" s="107" t="s">
        <v>57</v>
      </c>
      <c r="D491" s="106"/>
      <c r="E491" s="108" t="s">
        <v>531</v>
      </c>
      <c r="F491" s="109">
        <f t="shared" ref="F491:N491" si="120">F492+F501</f>
        <v>108939.44900000001</v>
      </c>
      <c r="G491" s="109">
        <f t="shared" si="120"/>
        <v>-131.35</v>
      </c>
      <c r="H491" s="109">
        <f t="shared" si="120"/>
        <v>108808.099</v>
      </c>
      <c r="I491" s="109">
        <f t="shared" si="120"/>
        <v>105664.37220000001</v>
      </c>
      <c r="J491" s="109"/>
      <c r="K491" s="109">
        <f t="shared" si="120"/>
        <v>105664.37220000001</v>
      </c>
      <c r="L491" s="109">
        <f t="shared" si="120"/>
        <v>101701.8808</v>
      </c>
      <c r="M491" s="109"/>
      <c r="N491" s="109">
        <f t="shared" si="120"/>
        <v>101701.8808</v>
      </c>
    </row>
    <row r="492" spans="1:14" x14ac:dyDescent="0.25">
      <c r="A492" s="31"/>
      <c r="B492" s="31"/>
      <c r="C492" s="31" t="s">
        <v>59</v>
      </c>
      <c r="D492" s="31"/>
      <c r="E492" s="32" t="s">
        <v>60</v>
      </c>
      <c r="F492" s="75">
        <f t="shared" ref="F492:N492" si="121">F493</f>
        <v>107935.649</v>
      </c>
      <c r="G492" s="75">
        <f t="shared" si="121"/>
        <v>-131.35</v>
      </c>
      <c r="H492" s="75">
        <f t="shared" si="121"/>
        <v>107804.299</v>
      </c>
      <c r="I492" s="75">
        <f t="shared" si="121"/>
        <v>104623.97220000002</v>
      </c>
      <c r="J492" s="75"/>
      <c r="K492" s="75">
        <f t="shared" si="121"/>
        <v>104623.97220000002</v>
      </c>
      <c r="L492" s="75">
        <f t="shared" si="121"/>
        <v>100622.4808</v>
      </c>
      <c r="M492" s="75"/>
      <c r="N492" s="75">
        <f t="shared" si="121"/>
        <v>100622.4808</v>
      </c>
    </row>
    <row r="493" spans="1:14" ht="26.25" x14ac:dyDescent="0.25">
      <c r="A493" s="33"/>
      <c r="B493" s="33"/>
      <c r="C493" s="33" t="s">
        <v>61</v>
      </c>
      <c r="D493" s="33"/>
      <c r="E493" s="34" t="s">
        <v>62</v>
      </c>
      <c r="F493" s="71">
        <f t="shared" ref="F493:N493" si="122">F494+F496+F499</f>
        <v>107935.649</v>
      </c>
      <c r="G493" s="71">
        <f t="shared" si="122"/>
        <v>-131.35</v>
      </c>
      <c r="H493" s="71">
        <f t="shared" si="122"/>
        <v>107804.299</v>
      </c>
      <c r="I493" s="71">
        <f t="shared" si="122"/>
        <v>104623.97220000002</v>
      </c>
      <c r="J493" s="71"/>
      <c r="K493" s="71">
        <f t="shared" si="122"/>
        <v>104623.97220000002</v>
      </c>
      <c r="L493" s="71">
        <f t="shared" si="122"/>
        <v>100622.4808</v>
      </c>
      <c r="M493" s="71"/>
      <c r="N493" s="71">
        <f t="shared" si="122"/>
        <v>100622.4808</v>
      </c>
    </row>
    <row r="494" spans="1:14" ht="26.25" x14ac:dyDescent="0.25">
      <c r="A494" s="92"/>
      <c r="B494" s="92"/>
      <c r="C494" s="6" t="s">
        <v>63</v>
      </c>
      <c r="D494" s="12"/>
      <c r="E494" s="3" t="s">
        <v>64</v>
      </c>
      <c r="F494" s="70">
        <f>F495</f>
        <v>27674</v>
      </c>
      <c r="G494" s="70"/>
      <c r="H494" s="70">
        <f>H495</f>
        <v>27674</v>
      </c>
      <c r="I494" s="70">
        <f>I495</f>
        <v>27939.599999999999</v>
      </c>
      <c r="J494" s="70"/>
      <c r="K494" s="70">
        <f>K495</f>
        <v>27939.599999999999</v>
      </c>
      <c r="L494" s="70">
        <f>L495</f>
        <v>27939.599999999999</v>
      </c>
      <c r="M494" s="70"/>
      <c r="N494" s="70">
        <f>N495</f>
        <v>27939.599999999999</v>
      </c>
    </row>
    <row r="495" spans="1:14" ht="26.25" x14ac:dyDescent="0.25">
      <c r="A495" s="92"/>
      <c r="B495" s="92"/>
      <c r="C495" s="6"/>
      <c r="D495" s="6" t="s">
        <v>470</v>
      </c>
      <c r="E495" s="3" t="s">
        <v>471</v>
      </c>
      <c r="F495" s="70">
        <f>27939.6-265.6</f>
        <v>27674</v>
      </c>
      <c r="G495" s="70"/>
      <c r="H495" s="70">
        <f>27939.6-265.6</f>
        <v>27674</v>
      </c>
      <c r="I495" s="70">
        <f>29308.1-1368.5</f>
        <v>27939.599999999999</v>
      </c>
      <c r="J495" s="70"/>
      <c r="K495" s="70">
        <f>29308.1-1368.5</f>
        <v>27939.599999999999</v>
      </c>
      <c r="L495" s="70">
        <f>30541-2601.4</f>
        <v>27939.599999999999</v>
      </c>
      <c r="M495" s="70"/>
      <c r="N495" s="70">
        <f>30541-2601.4</f>
        <v>27939.599999999999</v>
      </c>
    </row>
    <row r="496" spans="1:14" ht="39" x14ac:dyDescent="0.25">
      <c r="A496" s="92"/>
      <c r="B496" s="92"/>
      <c r="C496" s="6" t="s">
        <v>65</v>
      </c>
      <c r="D496" s="6"/>
      <c r="E496" s="3" t="s">
        <v>66</v>
      </c>
      <c r="F496" s="70">
        <f t="shared" ref="F496:N496" si="123">F497+F498</f>
        <v>79091.349000000002</v>
      </c>
      <c r="G496" s="70"/>
      <c r="H496" s="70">
        <f t="shared" si="123"/>
        <v>79091.349000000002</v>
      </c>
      <c r="I496" s="70">
        <f t="shared" si="123"/>
        <v>75467.272200000007</v>
      </c>
      <c r="J496" s="70"/>
      <c r="K496" s="70">
        <f t="shared" si="123"/>
        <v>75467.272200000007</v>
      </c>
      <c r="L496" s="70">
        <f t="shared" si="123"/>
        <v>71417.080799999996</v>
      </c>
      <c r="M496" s="70"/>
      <c r="N496" s="70">
        <f t="shared" si="123"/>
        <v>71417.080799999996</v>
      </c>
    </row>
    <row r="497" spans="1:14" x14ac:dyDescent="0.25">
      <c r="A497" s="92"/>
      <c r="B497" s="92"/>
      <c r="C497" s="6"/>
      <c r="D497" s="6" t="s">
        <v>423</v>
      </c>
      <c r="E497" s="3" t="s">
        <v>424</v>
      </c>
      <c r="F497" s="70">
        <v>0</v>
      </c>
      <c r="G497" s="70"/>
      <c r="H497" s="70">
        <v>0</v>
      </c>
      <c r="I497" s="70">
        <v>0</v>
      </c>
      <c r="J497" s="70"/>
      <c r="K497" s="70">
        <v>0</v>
      </c>
      <c r="L497" s="70">
        <v>0</v>
      </c>
      <c r="M497" s="70"/>
      <c r="N497" s="70">
        <v>0</v>
      </c>
    </row>
    <row r="498" spans="1:14" ht="26.25" x14ac:dyDescent="0.25">
      <c r="A498" s="92"/>
      <c r="B498" s="92"/>
      <c r="C498" s="6"/>
      <c r="D498" s="6" t="s">
        <v>470</v>
      </c>
      <c r="E498" s="3" t="s">
        <v>471</v>
      </c>
      <c r="F498" s="70">
        <v>79091.349000000002</v>
      </c>
      <c r="G498" s="80"/>
      <c r="H498" s="80">
        <f>F498+G498</f>
        <v>79091.349000000002</v>
      </c>
      <c r="I498" s="80">
        <v>75467.272200000007</v>
      </c>
      <c r="J498" s="80"/>
      <c r="K498" s="80">
        <f>I498+J498</f>
        <v>75467.272200000007</v>
      </c>
      <c r="L498" s="80">
        <v>71417.080799999996</v>
      </c>
      <c r="M498" s="80"/>
      <c r="N498" s="70">
        <f>L498+M498</f>
        <v>71417.080799999996</v>
      </c>
    </row>
    <row r="499" spans="1:14" x14ac:dyDescent="0.25">
      <c r="A499" s="92"/>
      <c r="B499" s="92"/>
      <c r="C499" s="6" t="s">
        <v>69</v>
      </c>
      <c r="D499" s="6"/>
      <c r="E499" s="3" t="s">
        <v>70</v>
      </c>
      <c r="F499" s="70">
        <f>F500</f>
        <v>1170.3</v>
      </c>
      <c r="G499" s="70">
        <f>G500</f>
        <v>-131.35</v>
      </c>
      <c r="H499" s="70">
        <f>H500</f>
        <v>1038.95</v>
      </c>
      <c r="I499" s="70">
        <f>I500</f>
        <v>1217.0999999999999</v>
      </c>
      <c r="J499" s="70"/>
      <c r="K499" s="70">
        <f>K500</f>
        <v>1217.0999999999999</v>
      </c>
      <c r="L499" s="70">
        <f>L500</f>
        <v>1265.8</v>
      </c>
      <c r="M499" s="70"/>
      <c r="N499" s="70">
        <f>N500</f>
        <v>1265.8</v>
      </c>
    </row>
    <row r="500" spans="1:14" ht="26.25" x14ac:dyDescent="0.25">
      <c r="A500" s="92"/>
      <c r="B500" s="92"/>
      <c r="C500" s="6"/>
      <c r="D500" s="6" t="s">
        <v>470</v>
      </c>
      <c r="E500" s="3" t="s">
        <v>471</v>
      </c>
      <c r="F500" s="70">
        <v>1170.3</v>
      </c>
      <c r="G500" s="70">
        <v>-131.35</v>
      </c>
      <c r="H500" s="70">
        <f>1170.3-131.35</f>
        <v>1038.95</v>
      </c>
      <c r="I500" s="70">
        <v>1217.0999999999999</v>
      </c>
      <c r="J500" s="70"/>
      <c r="K500" s="70">
        <v>1217.0999999999999</v>
      </c>
      <c r="L500" s="70">
        <v>1265.8</v>
      </c>
      <c r="M500" s="70"/>
      <c r="N500" s="70">
        <v>1265.8</v>
      </c>
    </row>
    <row r="501" spans="1:14" x14ac:dyDescent="0.25">
      <c r="A501" s="31"/>
      <c r="B501" s="31"/>
      <c r="C501" s="31" t="s">
        <v>132</v>
      </c>
      <c r="D501" s="31"/>
      <c r="E501" s="32" t="s">
        <v>133</v>
      </c>
      <c r="F501" s="75">
        <f t="shared" ref="F501:N503" si="124">F502</f>
        <v>1003.8</v>
      </c>
      <c r="G501" s="75"/>
      <c r="H501" s="75">
        <f t="shared" si="124"/>
        <v>1003.8</v>
      </c>
      <c r="I501" s="75">
        <f t="shared" si="124"/>
        <v>1040.4000000000001</v>
      </c>
      <c r="J501" s="75"/>
      <c r="K501" s="75">
        <f t="shared" si="124"/>
        <v>1040.4000000000001</v>
      </c>
      <c r="L501" s="75">
        <f t="shared" si="124"/>
        <v>1079.4000000000001</v>
      </c>
      <c r="M501" s="75"/>
      <c r="N501" s="75">
        <f t="shared" si="124"/>
        <v>1079.4000000000001</v>
      </c>
    </row>
    <row r="502" spans="1:14" ht="26.25" x14ac:dyDescent="0.25">
      <c r="A502" s="33"/>
      <c r="B502" s="33"/>
      <c r="C502" s="33" t="s">
        <v>140</v>
      </c>
      <c r="D502" s="33"/>
      <c r="E502" s="34" t="s">
        <v>141</v>
      </c>
      <c r="F502" s="71">
        <f t="shared" si="124"/>
        <v>1003.8</v>
      </c>
      <c r="G502" s="71"/>
      <c r="H502" s="71">
        <f t="shared" si="124"/>
        <v>1003.8</v>
      </c>
      <c r="I502" s="71">
        <f t="shared" si="124"/>
        <v>1040.4000000000001</v>
      </c>
      <c r="J502" s="71"/>
      <c r="K502" s="71">
        <f t="shared" si="124"/>
        <v>1040.4000000000001</v>
      </c>
      <c r="L502" s="71">
        <f t="shared" si="124"/>
        <v>1079.4000000000001</v>
      </c>
      <c r="M502" s="71"/>
      <c r="N502" s="71">
        <f t="shared" si="124"/>
        <v>1079.4000000000001</v>
      </c>
    </row>
    <row r="503" spans="1:14" ht="26.25" x14ac:dyDescent="0.25">
      <c r="A503" s="6"/>
      <c r="B503" s="6"/>
      <c r="C503" s="6" t="s">
        <v>142</v>
      </c>
      <c r="D503" s="6"/>
      <c r="E503" s="3" t="s">
        <v>143</v>
      </c>
      <c r="F503" s="70">
        <f t="shared" si="124"/>
        <v>1003.8</v>
      </c>
      <c r="G503" s="70"/>
      <c r="H503" s="70">
        <f t="shared" si="124"/>
        <v>1003.8</v>
      </c>
      <c r="I503" s="70">
        <f t="shared" si="124"/>
        <v>1040.4000000000001</v>
      </c>
      <c r="J503" s="70"/>
      <c r="K503" s="70">
        <f t="shared" si="124"/>
        <v>1040.4000000000001</v>
      </c>
      <c r="L503" s="70">
        <f t="shared" si="124"/>
        <v>1079.4000000000001</v>
      </c>
      <c r="M503" s="70"/>
      <c r="N503" s="70">
        <f t="shared" si="124"/>
        <v>1079.4000000000001</v>
      </c>
    </row>
    <row r="504" spans="1:14" ht="26.25" x14ac:dyDescent="0.25">
      <c r="A504" s="6"/>
      <c r="B504" s="6"/>
      <c r="C504" s="6"/>
      <c r="D504" s="40" t="s">
        <v>470</v>
      </c>
      <c r="E504" s="41" t="s">
        <v>471</v>
      </c>
      <c r="F504" s="70">
        <v>1003.8</v>
      </c>
      <c r="G504" s="70"/>
      <c r="H504" s="70">
        <v>1003.8</v>
      </c>
      <c r="I504" s="70">
        <v>1040.4000000000001</v>
      </c>
      <c r="J504" s="70"/>
      <c r="K504" s="70">
        <v>1040.4000000000001</v>
      </c>
      <c r="L504" s="70">
        <v>1079.4000000000001</v>
      </c>
      <c r="M504" s="70"/>
      <c r="N504" s="70">
        <v>1079.4000000000001</v>
      </c>
    </row>
    <row r="505" spans="1:14" x14ac:dyDescent="0.25">
      <c r="A505" s="68"/>
      <c r="B505" s="17" t="s">
        <v>617</v>
      </c>
      <c r="C505" s="103"/>
      <c r="D505" s="102"/>
      <c r="E505" s="96" t="s">
        <v>618</v>
      </c>
      <c r="F505" s="74">
        <f t="shared" ref="F505:N506" si="125">F506</f>
        <v>297101.79960000003</v>
      </c>
      <c r="G505" s="74">
        <f t="shared" si="125"/>
        <v>-60.700000000000045</v>
      </c>
      <c r="H505" s="74">
        <f t="shared" si="125"/>
        <v>297041.09960000007</v>
      </c>
      <c r="I505" s="74">
        <f t="shared" si="125"/>
        <v>295325.18500000006</v>
      </c>
      <c r="J505" s="74"/>
      <c r="K505" s="74">
        <f t="shared" si="125"/>
        <v>295325.18500000006</v>
      </c>
      <c r="L505" s="74">
        <f t="shared" si="125"/>
        <v>268235.38679999998</v>
      </c>
      <c r="M505" s="74"/>
      <c r="N505" s="74">
        <f t="shared" si="125"/>
        <v>268235.38679999998</v>
      </c>
    </row>
    <row r="506" spans="1:14" x14ac:dyDescent="0.25">
      <c r="A506" s="68"/>
      <c r="B506" s="17"/>
      <c r="C506" s="103" t="s">
        <v>5</v>
      </c>
      <c r="D506" s="102"/>
      <c r="E506" s="123" t="s">
        <v>6</v>
      </c>
      <c r="F506" s="74">
        <f t="shared" si="125"/>
        <v>297101.79960000003</v>
      </c>
      <c r="G506" s="74">
        <f t="shared" si="125"/>
        <v>-60.700000000000045</v>
      </c>
      <c r="H506" s="74">
        <f t="shared" si="125"/>
        <v>297041.09960000007</v>
      </c>
      <c r="I506" s="74">
        <f t="shared" si="125"/>
        <v>295325.18500000006</v>
      </c>
      <c r="J506" s="74"/>
      <c r="K506" s="74">
        <f t="shared" si="125"/>
        <v>295325.18500000006</v>
      </c>
      <c r="L506" s="74">
        <f t="shared" si="125"/>
        <v>268235.38679999998</v>
      </c>
      <c r="M506" s="74"/>
      <c r="N506" s="74">
        <f t="shared" si="125"/>
        <v>268235.38679999998</v>
      </c>
    </row>
    <row r="507" spans="1:14" ht="25.5" x14ac:dyDescent="0.25">
      <c r="A507" s="105"/>
      <c r="B507" s="106"/>
      <c r="C507" s="107" t="s">
        <v>57</v>
      </c>
      <c r="D507" s="106"/>
      <c r="E507" s="108" t="s">
        <v>531</v>
      </c>
      <c r="F507" s="109">
        <f t="shared" ref="F507:N507" si="126">F508+F536+F540</f>
        <v>297101.79960000003</v>
      </c>
      <c r="G507" s="109">
        <f t="shared" ref="G507" si="127">G508+G536+G540</f>
        <v>-60.700000000000045</v>
      </c>
      <c r="H507" s="109">
        <f t="shared" si="126"/>
        <v>297041.09960000007</v>
      </c>
      <c r="I507" s="109">
        <f t="shared" si="126"/>
        <v>295325.18500000006</v>
      </c>
      <c r="J507" s="109"/>
      <c r="K507" s="109">
        <f t="shared" si="126"/>
        <v>295325.18500000006</v>
      </c>
      <c r="L507" s="109">
        <f t="shared" si="126"/>
        <v>268235.38679999998</v>
      </c>
      <c r="M507" s="109"/>
      <c r="N507" s="109">
        <f t="shared" si="126"/>
        <v>268235.38679999998</v>
      </c>
    </row>
    <row r="508" spans="1:14" x14ac:dyDescent="0.25">
      <c r="A508" s="31"/>
      <c r="B508" s="31"/>
      <c r="C508" s="31" t="s">
        <v>73</v>
      </c>
      <c r="D508" s="31"/>
      <c r="E508" s="32" t="s">
        <v>74</v>
      </c>
      <c r="F508" s="75">
        <f t="shared" ref="F508:N508" si="128">F509+F518+F533</f>
        <v>271817.3996</v>
      </c>
      <c r="G508" s="75">
        <f t="shared" ref="G508" si="129">G509+G518+G533</f>
        <v>-321.10000000000002</v>
      </c>
      <c r="H508" s="75">
        <f t="shared" si="128"/>
        <v>271496.29960000003</v>
      </c>
      <c r="I508" s="75">
        <f t="shared" si="128"/>
        <v>266836.95500000002</v>
      </c>
      <c r="J508" s="75"/>
      <c r="K508" s="75">
        <f t="shared" si="128"/>
        <v>266836.95500000002</v>
      </c>
      <c r="L508" s="75">
        <f t="shared" si="128"/>
        <v>262918.08679999999</v>
      </c>
      <c r="M508" s="75"/>
      <c r="N508" s="75">
        <f t="shared" si="128"/>
        <v>262918.08679999999</v>
      </c>
    </row>
    <row r="509" spans="1:14" ht="26.25" x14ac:dyDescent="0.25">
      <c r="A509" s="33"/>
      <c r="B509" s="33"/>
      <c r="C509" s="33" t="s">
        <v>75</v>
      </c>
      <c r="D509" s="33"/>
      <c r="E509" s="34" t="s">
        <v>76</v>
      </c>
      <c r="F509" s="71">
        <f t="shared" ref="F509:N509" si="130">F510+F512+F514</f>
        <v>235412.41619999998</v>
      </c>
      <c r="G509" s="71"/>
      <c r="H509" s="71">
        <f t="shared" si="130"/>
        <v>235412.41619999998</v>
      </c>
      <c r="I509" s="71">
        <f t="shared" si="130"/>
        <v>233740.77159999998</v>
      </c>
      <c r="J509" s="71"/>
      <c r="K509" s="71">
        <f t="shared" si="130"/>
        <v>233740.77159999998</v>
      </c>
      <c r="L509" s="71">
        <f t="shared" si="130"/>
        <v>229196.10339999996</v>
      </c>
      <c r="M509" s="71"/>
      <c r="N509" s="71">
        <f t="shared" si="130"/>
        <v>229196.10339999996</v>
      </c>
    </row>
    <row r="510" spans="1:14" ht="26.25" x14ac:dyDescent="0.25">
      <c r="A510" s="92"/>
      <c r="B510" s="92"/>
      <c r="C510" s="6" t="s">
        <v>77</v>
      </c>
      <c r="D510" s="12"/>
      <c r="E510" s="3" t="s">
        <v>78</v>
      </c>
      <c r="F510" s="70">
        <f>F511</f>
        <v>34055.699999999997</v>
      </c>
      <c r="G510" s="70"/>
      <c r="H510" s="70">
        <f>H511</f>
        <v>34055.699999999997</v>
      </c>
      <c r="I510" s="70">
        <f>I511</f>
        <v>34653.699999999997</v>
      </c>
      <c r="J510" s="70"/>
      <c r="K510" s="70">
        <f>K511</f>
        <v>34653.699999999997</v>
      </c>
      <c r="L510" s="70">
        <f>L511</f>
        <v>34653.699999999997</v>
      </c>
      <c r="M510" s="70"/>
      <c r="N510" s="70">
        <f>N511</f>
        <v>34653.699999999997</v>
      </c>
    </row>
    <row r="511" spans="1:14" ht="26.25" x14ac:dyDescent="0.25">
      <c r="A511" s="92"/>
      <c r="B511" s="92"/>
      <c r="C511" s="6"/>
      <c r="D511" s="6" t="s">
        <v>470</v>
      </c>
      <c r="E511" s="3" t="s">
        <v>471</v>
      </c>
      <c r="F511" s="70">
        <f>34653.7-598</f>
        <v>34055.699999999997</v>
      </c>
      <c r="G511" s="70"/>
      <c r="H511" s="70">
        <f>34653.7-598</f>
        <v>34055.699999999997</v>
      </c>
      <c r="I511" s="70">
        <f>35760.5-1106.8</f>
        <v>34653.699999999997</v>
      </c>
      <c r="J511" s="70"/>
      <c r="K511" s="70">
        <f>35760.5-1106.8</f>
        <v>34653.699999999997</v>
      </c>
      <c r="L511" s="70">
        <f>36920.2-2266.5</f>
        <v>34653.699999999997</v>
      </c>
      <c r="M511" s="70"/>
      <c r="N511" s="70">
        <f>36920.2-2266.5</f>
        <v>34653.699999999997</v>
      </c>
    </row>
    <row r="512" spans="1:14" ht="39" x14ac:dyDescent="0.25">
      <c r="A512" s="92"/>
      <c r="B512" s="92"/>
      <c r="C512" s="6" t="s">
        <v>79</v>
      </c>
      <c r="D512" s="6"/>
      <c r="E512" s="3" t="s">
        <v>80</v>
      </c>
      <c r="F512" s="70">
        <f t="shared" ref="F512:N512" si="131">F513</f>
        <v>193754.41620000001</v>
      </c>
      <c r="G512" s="70"/>
      <c r="H512" s="70">
        <f t="shared" si="131"/>
        <v>193754.41620000001</v>
      </c>
      <c r="I512" s="70">
        <f t="shared" si="131"/>
        <v>191484.77160000001</v>
      </c>
      <c r="J512" s="70"/>
      <c r="K512" s="70">
        <f t="shared" si="131"/>
        <v>191484.77160000001</v>
      </c>
      <c r="L512" s="70">
        <f t="shared" si="131"/>
        <v>186940.10339999999</v>
      </c>
      <c r="M512" s="70"/>
      <c r="N512" s="70">
        <f t="shared" si="131"/>
        <v>186940.10339999999</v>
      </c>
    </row>
    <row r="513" spans="1:14" ht="26.25" x14ac:dyDescent="0.25">
      <c r="A513" s="92"/>
      <c r="B513" s="92"/>
      <c r="C513" s="6"/>
      <c r="D513" s="6" t="s">
        <v>470</v>
      </c>
      <c r="E513" s="3" t="s">
        <v>471</v>
      </c>
      <c r="F513" s="70">
        <v>193754.41620000001</v>
      </c>
      <c r="G513" s="80"/>
      <c r="H513" s="80">
        <f>F513+G513</f>
        <v>193754.41620000001</v>
      </c>
      <c r="I513" s="80">
        <v>191484.77160000001</v>
      </c>
      <c r="J513" s="80"/>
      <c r="K513" s="80">
        <f>I513+J513</f>
        <v>191484.77160000001</v>
      </c>
      <c r="L513" s="80">
        <v>186940.10339999999</v>
      </c>
      <c r="M513" s="80"/>
      <c r="N513" s="70">
        <f>L513+M513</f>
        <v>186940.10339999999</v>
      </c>
    </row>
    <row r="514" spans="1:14" ht="64.5" x14ac:dyDescent="0.25">
      <c r="A514" s="92"/>
      <c r="B514" s="92"/>
      <c r="C514" s="6" t="s">
        <v>81</v>
      </c>
      <c r="D514" s="6"/>
      <c r="E514" s="3" t="s">
        <v>82</v>
      </c>
      <c r="F514" s="79">
        <f>F516+F517</f>
        <v>7602.3</v>
      </c>
      <c r="G514" s="79"/>
      <c r="H514" s="79">
        <f>H516+H517</f>
        <v>7602.3</v>
      </c>
      <c r="I514" s="79">
        <f>I516+I517</f>
        <v>7602.3</v>
      </c>
      <c r="J514" s="79"/>
      <c r="K514" s="79">
        <f>K516+K517</f>
        <v>7602.3</v>
      </c>
      <c r="L514" s="79">
        <f>L516+L517</f>
        <v>7602.3</v>
      </c>
      <c r="M514" s="79"/>
      <c r="N514" s="79">
        <f>N516+N517</f>
        <v>7602.3</v>
      </c>
    </row>
    <row r="515" spans="1:14" ht="26.25" x14ac:dyDescent="0.25">
      <c r="A515" s="92"/>
      <c r="B515" s="92"/>
      <c r="C515" s="6"/>
      <c r="D515" s="6" t="s">
        <v>470</v>
      </c>
      <c r="E515" s="3" t="s">
        <v>471</v>
      </c>
      <c r="F515" s="79">
        <f>F516+F517</f>
        <v>7602.3</v>
      </c>
      <c r="G515" s="79"/>
      <c r="H515" s="79">
        <f>H516+H517</f>
        <v>7602.3</v>
      </c>
      <c r="I515" s="79">
        <f>I516+I517</f>
        <v>7602.3</v>
      </c>
      <c r="J515" s="79"/>
      <c r="K515" s="79">
        <f>K516+K517</f>
        <v>7602.3</v>
      </c>
      <c r="L515" s="79">
        <f>L516+L517</f>
        <v>7602.3</v>
      </c>
      <c r="M515" s="79"/>
      <c r="N515" s="79">
        <f>N516+N517</f>
        <v>7602.3</v>
      </c>
    </row>
    <row r="516" spans="1:14" x14ac:dyDescent="0.25">
      <c r="A516" s="92"/>
      <c r="B516" s="92"/>
      <c r="C516" s="6"/>
      <c r="D516" s="6"/>
      <c r="E516" s="3" t="s">
        <v>83</v>
      </c>
      <c r="F516" s="70">
        <v>7032.1</v>
      </c>
      <c r="G516" s="70"/>
      <c r="H516" s="70">
        <v>7032.1</v>
      </c>
      <c r="I516" s="70">
        <v>7032.1</v>
      </c>
      <c r="J516" s="70"/>
      <c r="K516" s="70">
        <v>7032.1</v>
      </c>
      <c r="L516" s="70">
        <v>7032.1</v>
      </c>
      <c r="M516" s="70"/>
      <c r="N516" s="70">
        <v>7032.1</v>
      </c>
    </row>
    <row r="517" spans="1:14" x14ac:dyDescent="0.25">
      <c r="A517" s="92"/>
      <c r="B517" s="92"/>
      <c r="C517" s="6"/>
      <c r="D517" s="6"/>
      <c r="E517" s="3" t="s">
        <v>84</v>
      </c>
      <c r="F517" s="70">
        <v>570.20000000000005</v>
      </c>
      <c r="G517" s="70"/>
      <c r="H517" s="70">
        <v>570.20000000000005</v>
      </c>
      <c r="I517" s="70">
        <v>570.20000000000005</v>
      </c>
      <c r="J517" s="70"/>
      <c r="K517" s="70">
        <v>570.20000000000005</v>
      </c>
      <c r="L517" s="70">
        <v>570.20000000000005</v>
      </c>
      <c r="M517" s="70"/>
      <c r="N517" s="70">
        <v>570.20000000000005</v>
      </c>
    </row>
    <row r="518" spans="1:14" ht="42" customHeight="1" x14ac:dyDescent="0.25">
      <c r="A518" s="33"/>
      <c r="B518" s="33"/>
      <c r="C518" s="33" t="s">
        <v>85</v>
      </c>
      <c r="D518" s="33"/>
      <c r="E518" s="34" t="s">
        <v>86</v>
      </c>
      <c r="F518" s="71">
        <f>F519+F521+F523+F525+F527+F529</f>
        <v>35976.5</v>
      </c>
      <c r="G518" s="71">
        <f>G519+G521+G523+G525+G527+G529</f>
        <v>-321.10000000000002</v>
      </c>
      <c r="H518" s="71">
        <f>H519+H521+H523+H525+H527+H529</f>
        <v>35655.4</v>
      </c>
      <c r="I518" s="71">
        <f>I519+I521+I523+I525+I527+I529</f>
        <v>32667.700000000004</v>
      </c>
      <c r="J518" s="71"/>
      <c r="K518" s="71">
        <f>K519+K521+K523+K525+K527+K529</f>
        <v>32667.700000000004</v>
      </c>
      <c r="L518" s="71">
        <f>L519+L521+L523+L525+L527+L529</f>
        <v>33293.5</v>
      </c>
      <c r="M518" s="71"/>
      <c r="N518" s="71">
        <f>N519+N521+N523+N525+N527+N529</f>
        <v>33293.5</v>
      </c>
    </row>
    <row r="519" spans="1:14" x14ac:dyDescent="0.25">
      <c r="A519" s="92"/>
      <c r="B519" s="92"/>
      <c r="C519" s="6" t="s">
        <v>87</v>
      </c>
      <c r="D519" s="6"/>
      <c r="E519" s="3" t="s">
        <v>88</v>
      </c>
      <c r="F519" s="70">
        <f>F520</f>
        <v>6981.2</v>
      </c>
      <c r="G519" s="70">
        <f>G520</f>
        <v>-235.4</v>
      </c>
      <c r="H519" s="70">
        <f>H520</f>
        <v>6745.8</v>
      </c>
      <c r="I519" s="70">
        <f>I520</f>
        <v>7260.5</v>
      </c>
      <c r="J519" s="70"/>
      <c r="K519" s="70">
        <f>K520</f>
        <v>7260.5</v>
      </c>
      <c r="L519" s="70">
        <f>L520</f>
        <v>7550.8</v>
      </c>
      <c r="M519" s="70"/>
      <c r="N519" s="70">
        <f>N520</f>
        <v>7550.8</v>
      </c>
    </row>
    <row r="520" spans="1:14" ht="26.25" x14ac:dyDescent="0.25">
      <c r="A520" s="92"/>
      <c r="B520" s="92"/>
      <c r="C520" s="6"/>
      <c r="D520" s="6" t="s">
        <v>470</v>
      </c>
      <c r="E520" s="3" t="s">
        <v>471</v>
      </c>
      <c r="F520" s="70">
        <v>6981.2</v>
      </c>
      <c r="G520" s="70">
        <v>-235.4</v>
      </c>
      <c r="H520" s="70">
        <f>6981.2-235.4</f>
        <v>6745.8</v>
      </c>
      <c r="I520" s="70">
        <v>7260.5</v>
      </c>
      <c r="J520" s="70"/>
      <c r="K520" s="70">
        <v>7260.5</v>
      </c>
      <c r="L520" s="70">
        <v>7550.8</v>
      </c>
      <c r="M520" s="70"/>
      <c r="N520" s="70">
        <v>7550.8</v>
      </c>
    </row>
    <row r="521" spans="1:14" ht="26.25" x14ac:dyDescent="0.25">
      <c r="A521" s="92"/>
      <c r="B521" s="92"/>
      <c r="C521" s="6" t="s">
        <v>90</v>
      </c>
      <c r="D521" s="6"/>
      <c r="E521" s="3" t="s">
        <v>91</v>
      </c>
      <c r="F521" s="70">
        <f>F522</f>
        <v>188.6</v>
      </c>
      <c r="G521" s="70"/>
      <c r="H521" s="70">
        <f>H522</f>
        <v>188.6</v>
      </c>
      <c r="I521" s="70">
        <f>I522</f>
        <v>196.1</v>
      </c>
      <c r="J521" s="70"/>
      <c r="K521" s="70">
        <f>K522</f>
        <v>196.1</v>
      </c>
      <c r="L521" s="70">
        <f>L522</f>
        <v>204</v>
      </c>
      <c r="M521" s="70"/>
      <c r="N521" s="70">
        <f>N522</f>
        <v>204</v>
      </c>
    </row>
    <row r="522" spans="1:14" ht="26.25" x14ac:dyDescent="0.25">
      <c r="A522" s="92"/>
      <c r="B522" s="92"/>
      <c r="C522" s="6"/>
      <c r="D522" s="6" t="s">
        <v>470</v>
      </c>
      <c r="E522" s="3" t="s">
        <v>471</v>
      </c>
      <c r="F522" s="70">
        <v>188.6</v>
      </c>
      <c r="G522" s="70"/>
      <c r="H522" s="70">
        <v>188.6</v>
      </c>
      <c r="I522" s="70">
        <v>196.1</v>
      </c>
      <c r="J522" s="70"/>
      <c r="K522" s="70">
        <v>196.1</v>
      </c>
      <c r="L522" s="70">
        <v>204</v>
      </c>
      <c r="M522" s="70"/>
      <c r="N522" s="70">
        <v>204</v>
      </c>
    </row>
    <row r="523" spans="1:14" ht="26.25" x14ac:dyDescent="0.25">
      <c r="A523" s="92"/>
      <c r="B523" s="92"/>
      <c r="C523" s="6" t="s">
        <v>92</v>
      </c>
      <c r="D523" s="6"/>
      <c r="E523" s="3" t="s">
        <v>93</v>
      </c>
      <c r="F523" s="70">
        <f>F524</f>
        <v>271.3</v>
      </c>
      <c r="G523" s="70">
        <f>G524</f>
        <v>-85.7</v>
      </c>
      <c r="H523" s="70">
        <f>H524</f>
        <v>185.60000000000002</v>
      </c>
      <c r="I523" s="70">
        <f>I524</f>
        <v>282.10000000000002</v>
      </c>
      <c r="J523" s="70"/>
      <c r="K523" s="70">
        <f>K524</f>
        <v>282.10000000000002</v>
      </c>
      <c r="L523" s="70">
        <f>L524</f>
        <v>293.39999999999998</v>
      </c>
      <c r="M523" s="70"/>
      <c r="N523" s="70">
        <f>N524</f>
        <v>293.39999999999998</v>
      </c>
    </row>
    <row r="524" spans="1:14" ht="26.25" x14ac:dyDescent="0.25">
      <c r="A524" s="92"/>
      <c r="B524" s="92"/>
      <c r="C524" s="6"/>
      <c r="D524" s="6" t="s">
        <v>470</v>
      </c>
      <c r="E524" s="3" t="s">
        <v>471</v>
      </c>
      <c r="F524" s="70">
        <v>271.3</v>
      </c>
      <c r="G524" s="70">
        <v>-85.7</v>
      </c>
      <c r="H524" s="70">
        <f>271.3-85.7</f>
        <v>185.60000000000002</v>
      </c>
      <c r="I524" s="70">
        <v>282.10000000000002</v>
      </c>
      <c r="J524" s="70"/>
      <c r="K524" s="70">
        <v>282.10000000000002</v>
      </c>
      <c r="L524" s="70">
        <v>293.39999999999998</v>
      </c>
      <c r="M524" s="70"/>
      <c r="N524" s="70">
        <v>293.39999999999998</v>
      </c>
    </row>
    <row r="525" spans="1:14" ht="26.25" x14ac:dyDescent="0.25">
      <c r="A525" s="92"/>
      <c r="B525" s="92"/>
      <c r="C525" s="6" t="s">
        <v>96</v>
      </c>
      <c r="D525" s="6"/>
      <c r="E525" s="3" t="s">
        <v>97</v>
      </c>
      <c r="F525" s="70">
        <v>12128.1</v>
      </c>
      <c r="G525" s="70"/>
      <c r="H525" s="70">
        <v>12128.1</v>
      </c>
      <c r="I525" s="70">
        <v>12128.1</v>
      </c>
      <c r="J525" s="70"/>
      <c r="K525" s="70">
        <v>12128.1</v>
      </c>
      <c r="L525" s="70">
        <v>12128.1</v>
      </c>
      <c r="M525" s="70"/>
      <c r="N525" s="70">
        <v>12128.1</v>
      </c>
    </row>
    <row r="526" spans="1:14" ht="26.25" x14ac:dyDescent="0.25">
      <c r="A526" s="92"/>
      <c r="B526" s="92"/>
      <c r="C526" s="6"/>
      <c r="D526" s="6" t="s">
        <v>470</v>
      </c>
      <c r="E526" s="3" t="s">
        <v>471</v>
      </c>
      <c r="F526" s="70">
        <v>12128.1</v>
      </c>
      <c r="G526" s="70"/>
      <c r="H526" s="70">
        <v>12128.1</v>
      </c>
      <c r="I526" s="70">
        <v>12128.1</v>
      </c>
      <c r="J526" s="70"/>
      <c r="K526" s="70">
        <v>12128.1</v>
      </c>
      <c r="L526" s="70">
        <v>12128.1</v>
      </c>
      <c r="M526" s="70"/>
      <c r="N526" s="70">
        <v>12128.1</v>
      </c>
    </row>
    <row r="527" spans="1:14" ht="26.25" x14ac:dyDescent="0.25">
      <c r="A527" s="92"/>
      <c r="B527" s="92"/>
      <c r="C527" s="6" t="s">
        <v>98</v>
      </c>
      <c r="D527" s="6"/>
      <c r="E527" s="3" t="s">
        <v>431</v>
      </c>
      <c r="F527" s="70">
        <f>F528</f>
        <v>13563.3</v>
      </c>
      <c r="G527" s="70"/>
      <c r="H527" s="70">
        <f>H528</f>
        <v>13563.3</v>
      </c>
      <c r="I527" s="70">
        <f>I528</f>
        <v>12800.9</v>
      </c>
      <c r="J527" s="70"/>
      <c r="K527" s="70">
        <f>K528</f>
        <v>12800.9</v>
      </c>
      <c r="L527" s="70">
        <f>L528</f>
        <v>13117.2</v>
      </c>
      <c r="M527" s="70"/>
      <c r="N527" s="70">
        <f>N528</f>
        <v>13117.2</v>
      </c>
    </row>
    <row r="528" spans="1:14" ht="26.25" x14ac:dyDescent="0.25">
      <c r="A528" s="92"/>
      <c r="B528" s="92"/>
      <c r="C528" s="6"/>
      <c r="D528" s="6" t="s">
        <v>470</v>
      </c>
      <c r="E528" s="3" t="s">
        <v>471</v>
      </c>
      <c r="F528" s="70">
        <v>13563.3</v>
      </c>
      <c r="G528" s="70"/>
      <c r="H528" s="70">
        <v>13563.3</v>
      </c>
      <c r="I528" s="70">
        <v>12800.9</v>
      </c>
      <c r="J528" s="70"/>
      <c r="K528" s="70">
        <v>12800.9</v>
      </c>
      <c r="L528" s="70">
        <v>13117.2</v>
      </c>
      <c r="M528" s="70"/>
      <c r="N528" s="70">
        <v>13117.2</v>
      </c>
    </row>
    <row r="529" spans="1:14" ht="26.25" x14ac:dyDescent="0.25">
      <c r="A529" s="92"/>
      <c r="B529" s="92"/>
      <c r="C529" s="6" t="s">
        <v>505</v>
      </c>
      <c r="D529" s="6"/>
      <c r="E529" s="3" t="s">
        <v>638</v>
      </c>
      <c r="F529" s="70">
        <f>F530</f>
        <v>2844</v>
      </c>
      <c r="G529" s="70"/>
      <c r="H529" s="70">
        <f>H530</f>
        <v>2844</v>
      </c>
      <c r="I529" s="70">
        <f>I530</f>
        <v>0</v>
      </c>
      <c r="J529" s="70"/>
      <c r="K529" s="70">
        <f>K530</f>
        <v>0</v>
      </c>
      <c r="L529" s="70">
        <f>L530</f>
        <v>0</v>
      </c>
      <c r="M529" s="70"/>
      <c r="N529" s="70">
        <f>N530</f>
        <v>0</v>
      </c>
    </row>
    <row r="530" spans="1:14" ht="26.25" x14ac:dyDescent="0.25">
      <c r="A530" s="92"/>
      <c r="B530" s="92"/>
      <c r="C530" s="6"/>
      <c r="D530" s="6" t="s">
        <v>470</v>
      </c>
      <c r="E530" s="3" t="s">
        <v>471</v>
      </c>
      <c r="F530" s="70">
        <f>F531+F532</f>
        <v>2844</v>
      </c>
      <c r="G530" s="70"/>
      <c r="H530" s="70">
        <f>H531+H532</f>
        <v>2844</v>
      </c>
      <c r="I530" s="70">
        <f>I531+I532</f>
        <v>0</v>
      </c>
      <c r="J530" s="70"/>
      <c r="K530" s="70">
        <f>K531+K532</f>
        <v>0</v>
      </c>
      <c r="L530" s="70">
        <f>L531+L532</f>
        <v>0</v>
      </c>
      <c r="M530" s="70"/>
      <c r="N530" s="70">
        <f>N531+N532</f>
        <v>0</v>
      </c>
    </row>
    <row r="531" spans="1:14" x14ac:dyDescent="0.25">
      <c r="A531" s="92"/>
      <c r="B531" s="92"/>
      <c r="C531" s="6"/>
      <c r="D531" s="6"/>
      <c r="E531" s="3" t="s">
        <v>83</v>
      </c>
      <c r="F531" s="70">
        <v>2133</v>
      </c>
      <c r="G531" s="70"/>
      <c r="H531" s="70">
        <v>2133</v>
      </c>
      <c r="I531" s="70">
        <v>0</v>
      </c>
      <c r="J531" s="70"/>
      <c r="K531" s="70">
        <v>0</v>
      </c>
      <c r="L531" s="70">
        <v>0</v>
      </c>
      <c r="M531" s="70"/>
      <c r="N531" s="70">
        <v>0</v>
      </c>
    </row>
    <row r="532" spans="1:14" x14ac:dyDescent="0.25">
      <c r="A532" s="92"/>
      <c r="B532" s="92"/>
      <c r="C532" s="6"/>
      <c r="D532" s="6"/>
      <c r="E532" s="3" t="s">
        <v>84</v>
      </c>
      <c r="F532" s="70">
        <v>711</v>
      </c>
      <c r="G532" s="70"/>
      <c r="H532" s="70">
        <v>711</v>
      </c>
      <c r="I532" s="70">
        <v>0</v>
      </c>
      <c r="J532" s="70"/>
      <c r="K532" s="70">
        <v>0</v>
      </c>
      <c r="L532" s="70">
        <v>0</v>
      </c>
      <c r="M532" s="70"/>
      <c r="N532" s="70">
        <v>0</v>
      </c>
    </row>
    <row r="533" spans="1:14" s="42" customFormat="1" ht="25.5" x14ac:dyDescent="0.25">
      <c r="A533" s="94"/>
      <c r="B533" s="94"/>
      <c r="C533" s="88" t="s">
        <v>519</v>
      </c>
      <c r="D533" s="14"/>
      <c r="E533" s="89" t="s">
        <v>690</v>
      </c>
      <c r="F533" s="71">
        <f t="shared" ref="F533:N534" si="132">F534</f>
        <v>428.48340000000002</v>
      </c>
      <c r="G533" s="71"/>
      <c r="H533" s="71">
        <f t="shared" si="132"/>
        <v>428.48340000000002</v>
      </c>
      <c r="I533" s="71">
        <f t="shared" si="132"/>
        <v>428.48340000000002</v>
      </c>
      <c r="J533" s="71"/>
      <c r="K533" s="71">
        <f t="shared" si="132"/>
        <v>428.48340000000002</v>
      </c>
      <c r="L533" s="71">
        <f t="shared" si="132"/>
        <v>428.48340000000002</v>
      </c>
      <c r="M533" s="71"/>
      <c r="N533" s="71">
        <f t="shared" si="132"/>
        <v>428.48340000000002</v>
      </c>
    </row>
    <row r="534" spans="1:14" ht="39" x14ac:dyDescent="0.25">
      <c r="A534" s="92"/>
      <c r="B534" s="92"/>
      <c r="C534" s="6" t="s">
        <v>520</v>
      </c>
      <c r="D534" s="6"/>
      <c r="E534" s="3" t="s">
        <v>521</v>
      </c>
      <c r="F534" s="70">
        <f t="shared" si="132"/>
        <v>428.48340000000002</v>
      </c>
      <c r="G534" s="70"/>
      <c r="H534" s="70">
        <f t="shared" si="132"/>
        <v>428.48340000000002</v>
      </c>
      <c r="I534" s="70">
        <f t="shared" si="132"/>
        <v>428.48340000000002</v>
      </c>
      <c r="J534" s="70"/>
      <c r="K534" s="70">
        <f t="shared" si="132"/>
        <v>428.48340000000002</v>
      </c>
      <c r="L534" s="70">
        <f t="shared" si="132"/>
        <v>428.48340000000002</v>
      </c>
      <c r="M534" s="70"/>
      <c r="N534" s="70">
        <f t="shared" si="132"/>
        <v>428.48340000000002</v>
      </c>
    </row>
    <row r="535" spans="1:14" ht="26.25" x14ac:dyDescent="0.25">
      <c r="A535" s="92"/>
      <c r="B535" s="92"/>
      <c r="C535" s="6"/>
      <c r="D535" s="6" t="s">
        <v>470</v>
      </c>
      <c r="E535" s="3" t="s">
        <v>471</v>
      </c>
      <c r="F535" s="70">
        <v>428.48340000000002</v>
      </c>
      <c r="G535" s="70"/>
      <c r="H535" s="70">
        <v>428.48340000000002</v>
      </c>
      <c r="I535" s="70">
        <v>428.48340000000002</v>
      </c>
      <c r="J535" s="70"/>
      <c r="K535" s="70">
        <v>428.48340000000002</v>
      </c>
      <c r="L535" s="70">
        <v>428.48340000000002</v>
      </c>
      <c r="M535" s="70"/>
      <c r="N535" s="70">
        <v>428.48340000000002</v>
      </c>
    </row>
    <row r="536" spans="1:14" x14ac:dyDescent="0.25">
      <c r="A536" s="31"/>
      <c r="B536" s="31"/>
      <c r="C536" s="31" t="s">
        <v>132</v>
      </c>
      <c r="D536" s="31"/>
      <c r="E536" s="32" t="s">
        <v>133</v>
      </c>
      <c r="F536" s="75">
        <f>F537</f>
        <v>4944.8999999999996</v>
      </c>
      <c r="G536" s="75"/>
      <c r="H536" s="75">
        <f>H537</f>
        <v>4944.8999999999996</v>
      </c>
      <c r="I536" s="75">
        <f t="shared" ref="I536:N538" si="133">I537</f>
        <v>5125.3999999999996</v>
      </c>
      <c r="J536" s="75"/>
      <c r="K536" s="75">
        <f t="shared" si="133"/>
        <v>5125.3999999999996</v>
      </c>
      <c r="L536" s="75">
        <f t="shared" si="133"/>
        <v>5317.3</v>
      </c>
      <c r="M536" s="75"/>
      <c r="N536" s="75">
        <f t="shared" si="133"/>
        <v>5317.3</v>
      </c>
    </row>
    <row r="537" spans="1:14" ht="26.25" x14ac:dyDescent="0.25">
      <c r="A537" s="33"/>
      <c r="B537" s="33"/>
      <c r="C537" s="33" t="s">
        <v>140</v>
      </c>
      <c r="D537" s="33"/>
      <c r="E537" s="34" t="s">
        <v>141</v>
      </c>
      <c r="F537" s="71">
        <f>F538</f>
        <v>4944.8999999999996</v>
      </c>
      <c r="G537" s="71"/>
      <c r="H537" s="71">
        <f>H538</f>
        <v>4944.8999999999996</v>
      </c>
      <c r="I537" s="71">
        <f t="shared" si="133"/>
        <v>5125.3999999999996</v>
      </c>
      <c r="J537" s="71"/>
      <c r="K537" s="71">
        <f t="shared" si="133"/>
        <v>5125.3999999999996</v>
      </c>
      <c r="L537" s="71">
        <f t="shared" si="133"/>
        <v>5317.3</v>
      </c>
      <c r="M537" s="71"/>
      <c r="N537" s="71">
        <f t="shared" si="133"/>
        <v>5317.3</v>
      </c>
    </row>
    <row r="538" spans="1:14" ht="26.25" x14ac:dyDescent="0.25">
      <c r="A538" s="92"/>
      <c r="B538" s="92"/>
      <c r="C538" s="6" t="s">
        <v>142</v>
      </c>
      <c r="D538" s="6"/>
      <c r="E538" s="3" t="s">
        <v>143</v>
      </c>
      <c r="F538" s="70">
        <f>F539</f>
        <v>4944.8999999999996</v>
      </c>
      <c r="G538" s="70"/>
      <c r="H538" s="70">
        <f>H539</f>
        <v>4944.8999999999996</v>
      </c>
      <c r="I538" s="70">
        <f t="shared" si="133"/>
        <v>5125.3999999999996</v>
      </c>
      <c r="J538" s="70"/>
      <c r="K538" s="70">
        <f t="shared" si="133"/>
        <v>5125.3999999999996</v>
      </c>
      <c r="L538" s="70">
        <f t="shared" si="133"/>
        <v>5317.3</v>
      </c>
      <c r="M538" s="70"/>
      <c r="N538" s="70">
        <f t="shared" si="133"/>
        <v>5317.3</v>
      </c>
    </row>
    <row r="539" spans="1:14" ht="26.25" x14ac:dyDescent="0.25">
      <c r="A539" s="92"/>
      <c r="B539" s="92"/>
      <c r="C539" s="6"/>
      <c r="D539" s="40" t="s">
        <v>470</v>
      </c>
      <c r="E539" s="41" t="s">
        <v>471</v>
      </c>
      <c r="F539" s="70">
        <v>4944.8999999999996</v>
      </c>
      <c r="G539" s="70"/>
      <c r="H539" s="70">
        <v>4944.8999999999996</v>
      </c>
      <c r="I539" s="70">
        <v>5125.3999999999996</v>
      </c>
      <c r="J539" s="70"/>
      <c r="K539" s="70">
        <v>5125.3999999999996</v>
      </c>
      <c r="L539" s="70">
        <v>5317.3</v>
      </c>
      <c r="M539" s="70"/>
      <c r="N539" s="70">
        <v>5317.3</v>
      </c>
    </row>
    <row r="540" spans="1:14" ht="24.75" customHeight="1" x14ac:dyDescent="0.25">
      <c r="A540" s="31"/>
      <c r="B540" s="31"/>
      <c r="C540" s="31" t="s">
        <v>146</v>
      </c>
      <c r="D540" s="31"/>
      <c r="E540" s="32" t="s">
        <v>147</v>
      </c>
      <c r="F540" s="75">
        <f t="shared" ref="F540:L540" si="134">F541</f>
        <v>20339.5</v>
      </c>
      <c r="G540" s="75">
        <f t="shared" si="134"/>
        <v>260.39999999999998</v>
      </c>
      <c r="H540" s="75">
        <f t="shared" si="134"/>
        <v>20599.900000000001</v>
      </c>
      <c r="I540" s="75">
        <f t="shared" si="134"/>
        <v>23362.83</v>
      </c>
      <c r="J540" s="75">
        <f t="shared" si="134"/>
        <v>0</v>
      </c>
      <c r="K540" s="75">
        <f t="shared" si="134"/>
        <v>23362.83</v>
      </c>
      <c r="L540" s="75">
        <f t="shared" si="134"/>
        <v>0</v>
      </c>
      <c r="M540" s="75"/>
      <c r="N540" s="75">
        <f>N541</f>
        <v>0</v>
      </c>
    </row>
    <row r="541" spans="1:14" ht="26.25" x14ac:dyDescent="0.25">
      <c r="A541" s="36"/>
      <c r="B541" s="36"/>
      <c r="C541" s="36" t="s">
        <v>148</v>
      </c>
      <c r="D541" s="36"/>
      <c r="E541" s="34" t="s">
        <v>149</v>
      </c>
      <c r="F541" s="71">
        <f>+F542+F546+F548</f>
        <v>20339.5</v>
      </c>
      <c r="G541" s="71">
        <f t="shared" ref="G541:H541" si="135">+G542+G546+G548</f>
        <v>260.39999999999998</v>
      </c>
      <c r="H541" s="71">
        <f t="shared" si="135"/>
        <v>20599.900000000001</v>
      </c>
      <c r="I541" s="71">
        <f t="shared" ref="I541:K541" si="136">+I542+I546</f>
        <v>23362.83</v>
      </c>
      <c r="J541" s="71">
        <f t="shared" si="136"/>
        <v>0</v>
      </c>
      <c r="K541" s="71">
        <f t="shared" si="136"/>
        <v>23362.83</v>
      </c>
      <c r="L541" s="71">
        <f>+L542</f>
        <v>0</v>
      </c>
      <c r="M541" s="71"/>
      <c r="N541" s="71">
        <f>+N542</f>
        <v>0</v>
      </c>
    </row>
    <row r="542" spans="1:14" ht="25.5" x14ac:dyDescent="0.25">
      <c r="A542" s="92"/>
      <c r="B542" s="92"/>
      <c r="C542" s="6" t="s">
        <v>488</v>
      </c>
      <c r="D542" s="6"/>
      <c r="E542" s="1" t="s">
        <v>681</v>
      </c>
      <c r="F542" s="80">
        <f>F543</f>
        <v>17700</v>
      </c>
      <c r="G542" s="80"/>
      <c r="H542" s="80">
        <f>H543</f>
        <v>17700</v>
      </c>
      <c r="I542" s="80">
        <f>I543</f>
        <v>18400</v>
      </c>
      <c r="J542" s="80"/>
      <c r="K542" s="80">
        <f>K543</f>
        <v>18400</v>
      </c>
      <c r="L542" s="80">
        <v>0</v>
      </c>
      <c r="M542" s="80"/>
      <c r="N542" s="80">
        <v>0</v>
      </c>
    </row>
    <row r="543" spans="1:14" ht="26.25" x14ac:dyDescent="0.25">
      <c r="A543" s="92"/>
      <c r="B543" s="92"/>
      <c r="C543" s="6"/>
      <c r="D543" s="6" t="s">
        <v>470</v>
      </c>
      <c r="E543" s="3" t="s">
        <v>471</v>
      </c>
      <c r="F543" s="80">
        <f>F544+F545</f>
        <v>17700</v>
      </c>
      <c r="G543" s="80"/>
      <c r="H543" s="80">
        <f>H544+H545</f>
        <v>17700</v>
      </c>
      <c r="I543" s="80">
        <f>I544+I545</f>
        <v>18400</v>
      </c>
      <c r="J543" s="80"/>
      <c r="K543" s="80">
        <f>K544+K545</f>
        <v>18400</v>
      </c>
      <c r="L543" s="80">
        <v>0</v>
      </c>
      <c r="M543" s="80"/>
      <c r="N543" s="80">
        <v>0</v>
      </c>
    </row>
    <row r="544" spans="1:14" x14ac:dyDescent="0.25">
      <c r="A544" s="92"/>
      <c r="B544" s="92"/>
      <c r="C544" s="6"/>
      <c r="D544" s="6"/>
      <c r="E544" s="3" t="s">
        <v>152</v>
      </c>
      <c r="F544" s="80">
        <v>15930</v>
      </c>
      <c r="G544" s="80"/>
      <c r="H544" s="80">
        <v>15930</v>
      </c>
      <c r="I544" s="80">
        <v>16560</v>
      </c>
      <c r="J544" s="80"/>
      <c r="K544" s="80">
        <v>16560</v>
      </c>
      <c r="L544" s="80">
        <v>0</v>
      </c>
      <c r="M544" s="80"/>
      <c r="N544" s="80">
        <v>0</v>
      </c>
    </row>
    <row r="545" spans="1:14" x14ac:dyDescent="0.25">
      <c r="A545" s="92"/>
      <c r="B545" s="92"/>
      <c r="C545" s="6"/>
      <c r="D545" s="6"/>
      <c r="E545" s="3" t="s">
        <v>105</v>
      </c>
      <c r="F545" s="80">
        <v>1770</v>
      </c>
      <c r="G545" s="80"/>
      <c r="H545" s="80">
        <v>1770</v>
      </c>
      <c r="I545" s="80">
        <v>1840</v>
      </c>
      <c r="J545" s="80"/>
      <c r="K545" s="80">
        <v>1840</v>
      </c>
      <c r="L545" s="80">
        <v>0</v>
      </c>
      <c r="M545" s="80"/>
      <c r="N545" s="80">
        <v>0</v>
      </c>
    </row>
    <row r="546" spans="1:14" x14ac:dyDescent="0.25">
      <c r="A546" s="92"/>
      <c r="B546" s="92"/>
      <c r="C546" s="6" t="s">
        <v>803</v>
      </c>
      <c r="D546" s="6"/>
      <c r="E546" s="3" t="s">
        <v>802</v>
      </c>
      <c r="F546" s="80">
        <f>F547</f>
        <v>2639.5</v>
      </c>
      <c r="G546" s="80"/>
      <c r="H546" s="80">
        <f>H547</f>
        <v>2639.5</v>
      </c>
      <c r="I546" s="80">
        <f>I547</f>
        <v>4962.83</v>
      </c>
      <c r="J546" s="70"/>
      <c r="K546" s="70">
        <f>K547</f>
        <v>4962.83</v>
      </c>
      <c r="L546" s="80">
        <v>0</v>
      </c>
      <c r="M546" s="80"/>
      <c r="N546" s="80">
        <v>0</v>
      </c>
    </row>
    <row r="547" spans="1:14" ht="26.25" x14ac:dyDescent="0.25">
      <c r="A547" s="92"/>
      <c r="B547" s="92"/>
      <c r="C547" s="6"/>
      <c r="D547" s="6" t="s">
        <v>470</v>
      </c>
      <c r="E547" s="3" t="s">
        <v>471</v>
      </c>
      <c r="F547" s="80">
        <v>2639.5</v>
      </c>
      <c r="G547" s="80"/>
      <c r="H547" s="80">
        <v>2639.5</v>
      </c>
      <c r="I547" s="80">
        <v>4962.83</v>
      </c>
      <c r="J547" s="70"/>
      <c r="K547" s="70">
        <v>4962.83</v>
      </c>
      <c r="L547" s="80">
        <v>0</v>
      </c>
      <c r="M547" s="80"/>
      <c r="N547" s="80">
        <v>0</v>
      </c>
    </row>
    <row r="548" spans="1:14" ht="26.25" x14ac:dyDescent="0.25">
      <c r="A548" s="92"/>
      <c r="B548" s="92"/>
      <c r="C548" s="22" t="s">
        <v>903</v>
      </c>
      <c r="D548" s="6"/>
      <c r="E548" s="3" t="s">
        <v>902</v>
      </c>
      <c r="F548" s="70">
        <v>0</v>
      </c>
      <c r="G548" s="70">
        <v>260.39999999999998</v>
      </c>
      <c r="H548" s="70">
        <v>260.39999999999998</v>
      </c>
      <c r="I548" s="80">
        <v>0</v>
      </c>
      <c r="J548" s="70"/>
      <c r="K548" s="70">
        <v>0</v>
      </c>
      <c r="L548" s="80">
        <v>0</v>
      </c>
      <c r="M548" s="80"/>
      <c r="N548" s="80">
        <v>0</v>
      </c>
    </row>
    <row r="549" spans="1:14" ht="26.25" x14ac:dyDescent="0.25">
      <c r="A549" s="92"/>
      <c r="B549" s="92"/>
      <c r="C549" s="6"/>
      <c r="D549" s="6" t="s">
        <v>470</v>
      </c>
      <c r="E549" s="3" t="s">
        <v>471</v>
      </c>
      <c r="F549" s="70">
        <v>0</v>
      </c>
      <c r="G549" s="70">
        <v>260.39999999999998</v>
      </c>
      <c r="H549" s="70">
        <v>260.39999999999998</v>
      </c>
      <c r="I549" s="80">
        <v>0</v>
      </c>
      <c r="J549" s="70"/>
      <c r="K549" s="70">
        <v>0</v>
      </c>
      <c r="L549" s="80">
        <v>0</v>
      </c>
      <c r="M549" s="80"/>
      <c r="N549" s="80">
        <v>0</v>
      </c>
    </row>
    <row r="550" spans="1:14" x14ac:dyDescent="0.25">
      <c r="A550" s="68"/>
      <c r="B550" s="17" t="s">
        <v>639</v>
      </c>
      <c r="C550" s="103"/>
      <c r="D550" s="17"/>
      <c r="E550" s="123" t="s">
        <v>640</v>
      </c>
      <c r="F550" s="74">
        <f t="shared" ref="F550:N553" si="137">F551</f>
        <v>35972.800000000003</v>
      </c>
      <c r="G550" s="74">
        <f t="shared" si="137"/>
        <v>457.45472999999998</v>
      </c>
      <c r="H550" s="74">
        <f t="shared" si="137"/>
        <v>36430.254730000001</v>
      </c>
      <c r="I550" s="74">
        <f t="shared" si="137"/>
        <v>36154.5</v>
      </c>
      <c r="J550" s="74"/>
      <c r="K550" s="74">
        <f t="shared" si="137"/>
        <v>36154.5</v>
      </c>
      <c r="L550" s="74">
        <f t="shared" si="137"/>
        <v>36063.9</v>
      </c>
      <c r="M550" s="74"/>
      <c r="N550" s="74">
        <f t="shared" si="137"/>
        <v>36063.9</v>
      </c>
    </row>
    <row r="551" spans="1:14" x14ac:dyDescent="0.25">
      <c r="A551" s="68"/>
      <c r="B551" s="17"/>
      <c r="C551" s="103" t="s">
        <v>5</v>
      </c>
      <c r="D551" s="102"/>
      <c r="E551" s="123" t="s">
        <v>6</v>
      </c>
      <c r="F551" s="74">
        <f t="shared" si="137"/>
        <v>35972.800000000003</v>
      </c>
      <c r="G551" s="74">
        <f t="shared" si="137"/>
        <v>457.45472999999998</v>
      </c>
      <c r="H551" s="74">
        <f t="shared" si="137"/>
        <v>36430.254730000001</v>
      </c>
      <c r="I551" s="74">
        <f t="shared" si="137"/>
        <v>36154.5</v>
      </c>
      <c r="J551" s="74"/>
      <c r="K551" s="74">
        <f t="shared" si="137"/>
        <v>36154.5</v>
      </c>
      <c r="L551" s="74">
        <f t="shared" si="137"/>
        <v>36063.9</v>
      </c>
      <c r="M551" s="74"/>
      <c r="N551" s="74">
        <f t="shared" si="137"/>
        <v>36063.9</v>
      </c>
    </row>
    <row r="552" spans="1:14" ht="25.5" x14ac:dyDescent="0.25">
      <c r="A552" s="105"/>
      <c r="B552" s="106"/>
      <c r="C552" s="107" t="s">
        <v>57</v>
      </c>
      <c r="D552" s="106"/>
      <c r="E552" s="108" t="s">
        <v>531</v>
      </c>
      <c r="F552" s="109">
        <f>F553+F559</f>
        <v>35972.800000000003</v>
      </c>
      <c r="G552" s="109">
        <f t="shared" ref="G552" si="138">G553+G559</f>
        <v>457.45472999999998</v>
      </c>
      <c r="H552" s="109">
        <f>H553+H559</f>
        <v>36430.254730000001</v>
      </c>
      <c r="I552" s="109">
        <f t="shared" si="137"/>
        <v>36154.5</v>
      </c>
      <c r="J552" s="109"/>
      <c r="K552" s="109">
        <f t="shared" si="137"/>
        <v>36154.5</v>
      </c>
      <c r="L552" s="109">
        <f t="shared" si="137"/>
        <v>36063.9</v>
      </c>
      <c r="M552" s="109"/>
      <c r="N552" s="109">
        <f t="shared" si="137"/>
        <v>36063.9</v>
      </c>
    </row>
    <row r="553" spans="1:14" x14ac:dyDescent="0.25">
      <c r="A553" s="31"/>
      <c r="B553" s="31"/>
      <c r="C553" s="31" t="s">
        <v>107</v>
      </c>
      <c r="D553" s="31"/>
      <c r="E553" s="32" t="s">
        <v>108</v>
      </c>
      <c r="F553" s="75">
        <f t="shared" si="137"/>
        <v>35972.800000000003</v>
      </c>
      <c r="G553" s="75"/>
      <c r="H553" s="75">
        <f t="shared" si="137"/>
        <v>35972.800000000003</v>
      </c>
      <c r="I553" s="75">
        <f t="shared" si="137"/>
        <v>36154.5</v>
      </c>
      <c r="J553" s="75"/>
      <c r="K553" s="75">
        <f t="shared" si="137"/>
        <v>36154.5</v>
      </c>
      <c r="L553" s="75">
        <f t="shared" si="137"/>
        <v>36063.9</v>
      </c>
      <c r="M553" s="75"/>
      <c r="N553" s="75">
        <f t="shared" si="137"/>
        <v>36063.9</v>
      </c>
    </row>
    <row r="554" spans="1:14" ht="26.25" x14ac:dyDescent="0.25">
      <c r="A554" s="33"/>
      <c r="B554" s="33"/>
      <c r="C554" s="33" t="s">
        <v>109</v>
      </c>
      <c r="D554" s="36"/>
      <c r="E554" s="34" t="s">
        <v>110</v>
      </c>
      <c r="F554" s="71">
        <f>F555+F557</f>
        <v>35972.800000000003</v>
      </c>
      <c r="G554" s="71"/>
      <c r="H554" s="71">
        <f>H555+H557</f>
        <v>35972.800000000003</v>
      </c>
      <c r="I554" s="71">
        <f>I555+I557</f>
        <v>36154.5</v>
      </c>
      <c r="J554" s="71"/>
      <c r="K554" s="71">
        <f>K555+K557</f>
        <v>36154.5</v>
      </c>
      <c r="L554" s="71">
        <f>L555+L557</f>
        <v>36063.9</v>
      </c>
      <c r="M554" s="71"/>
      <c r="N554" s="71">
        <f>N555+N557</f>
        <v>36063.9</v>
      </c>
    </row>
    <row r="555" spans="1:14" ht="26.25" x14ac:dyDescent="0.25">
      <c r="A555" s="92"/>
      <c r="B555" s="92"/>
      <c r="C555" s="6" t="s">
        <v>111</v>
      </c>
      <c r="D555" s="12"/>
      <c r="E555" s="3" t="s">
        <v>679</v>
      </c>
      <c r="F555" s="70">
        <f>F556</f>
        <v>22580.3</v>
      </c>
      <c r="G555" s="70"/>
      <c r="H555" s="70">
        <f>H556</f>
        <v>22580.3</v>
      </c>
      <c r="I555" s="70">
        <f>I556</f>
        <v>22616.3</v>
      </c>
      <c r="J555" s="70"/>
      <c r="K555" s="70">
        <f>K556</f>
        <v>22616.3</v>
      </c>
      <c r="L555" s="70">
        <f>L556</f>
        <v>22612.799999999999</v>
      </c>
      <c r="M555" s="70"/>
      <c r="N555" s="70">
        <f>N556</f>
        <v>22612.799999999999</v>
      </c>
    </row>
    <row r="556" spans="1:14" ht="26.25" x14ac:dyDescent="0.25">
      <c r="A556" s="92"/>
      <c r="B556" s="92"/>
      <c r="C556" s="6"/>
      <c r="D556" s="6" t="s">
        <v>470</v>
      </c>
      <c r="E556" s="3" t="s">
        <v>471</v>
      </c>
      <c r="F556" s="70">
        <f>22651.1-70.8</f>
        <v>22580.3</v>
      </c>
      <c r="G556" s="70"/>
      <c r="H556" s="70">
        <f>22651.1-70.8</f>
        <v>22580.3</v>
      </c>
      <c r="I556" s="70">
        <f>22672.3-56</f>
        <v>22616.3</v>
      </c>
      <c r="J556" s="70"/>
      <c r="K556" s="70">
        <f>22672.3-56</f>
        <v>22616.3</v>
      </c>
      <c r="L556" s="70">
        <f>22754.6-141.8</f>
        <v>22612.799999999999</v>
      </c>
      <c r="M556" s="70"/>
      <c r="N556" s="70">
        <f>22754.6-141.8</f>
        <v>22612.799999999999</v>
      </c>
    </row>
    <row r="557" spans="1:14" ht="26.25" x14ac:dyDescent="0.25">
      <c r="A557" s="92"/>
      <c r="B557" s="92"/>
      <c r="C557" s="6" t="s">
        <v>112</v>
      </c>
      <c r="D557" s="12"/>
      <c r="E557" s="3" t="s">
        <v>680</v>
      </c>
      <c r="F557" s="70">
        <f>F558</f>
        <v>13392.5</v>
      </c>
      <c r="G557" s="70"/>
      <c r="H557" s="70">
        <f>H558</f>
        <v>13392.5</v>
      </c>
      <c r="I557" s="70">
        <f>I558</f>
        <v>13538.199999999999</v>
      </c>
      <c r="J557" s="70"/>
      <c r="K557" s="70">
        <f>K558</f>
        <v>13538.199999999999</v>
      </c>
      <c r="L557" s="70">
        <f>L558</f>
        <v>13451.1</v>
      </c>
      <c r="M557" s="70"/>
      <c r="N557" s="70">
        <f>N558</f>
        <v>13451.1</v>
      </c>
    </row>
    <row r="558" spans="1:14" ht="26.25" x14ac:dyDescent="0.25">
      <c r="A558" s="92"/>
      <c r="B558" s="92"/>
      <c r="C558" s="6"/>
      <c r="D558" s="6" t="s">
        <v>470</v>
      </c>
      <c r="E558" s="3" t="s">
        <v>471</v>
      </c>
      <c r="F558" s="70">
        <f>13452.3-59.8</f>
        <v>13392.5</v>
      </c>
      <c r="G558" s="70"/>
      <c r="H558" s="70">
        <f>13452.3-59.8</f>
        <v>13392.5</v>
      </c>
      <c r="I558" s="70">
        <f>13618.4-80.2</f>
        <v>13538.199999999999</v>
      </c>
      <c r="J558" s="70"/>
      <c r="K558" s="70">
        <f>13618.4-80.2</f>
        <v>13538.199999999999</v>
      </c>
      <c r="L558" s="70">
        <f>13623.1-172</f>
        <v>13451.1</v>
      </c>
      <c r="M558" s="70"/>
      <c r="N558" s="70">
        <f>13623.1-172</f>
        <v>13451.1</v>
      </c>
    </row>
    <row r="559" spans="1:14" ht="24.75" customHeight="1" x14ac:dyDescent="0.25">
      <c r="A559" s="31"/>
      <c r="B559" s="31"/>
      <c r="C559" s="31" t="s">
        <v>146</v>
      </c>
      <c r="D559" s="31"/>
      <c r="E559" s="32" t="s">
        <v>147</v>
      </c>
      <c r="F559" s="75">
        <f t="shared" ref="F559:L559" si="139">F560</f>
        <v>0</v>
      </c>
      <c r="G559" s="75">
        <f t="shared" si="139"/>
        <v>457.45472999999998</v>
      </c>
      <c r="H559" s="75">
        <f t="shared" si="139"/>
        <v>457.45472999999998</v>
      </c>
      <c r="I559" s="75">
        <f t="shared" si="139"/>
        <v>6685.8</v>
      </c>
      <c r="J559" s="75">
        <f t="shared" si="139"/>
        <v>0</v>
      </c>
      <c r="K559" s="75">
        <f t="shared" si="139"/>
        <v>6685.8</v>
      </c>
      <c r="L559" s="75">
        <f t="shared" si="139"/>
        <v>0</v>
      </c>
      <c r="M559" s="75"/>
      <c r="N559" s="75">
        <f>N560</f>
        <v>0</v>
      </c>
    </row>
    <row r="560" spans="1:14" ht="26.25" x14ac:dyDescent="0.25">
      <c r="A560" s="36"/>
      <c r="B560" s="36"/>
      <c r="C560" s="36" t="s">
        <v>148</v>
      </c>
      <c r="D560" s="36"/>
      <c r="E560" s="34" t="s">
        <v>149</v>
      </c>
      <c r="F560" s="71">
        <f>F561</f>
        <v>0</v>
      </c>
      <c r="G560" s="71">
        <f>G561</f>
        <v>457.45472999999998</v>
      </c>
      <c r="H560" s="71">
        <f>H561</f>
        <v>457.45472999999998</v>
      </c>
      <c r="I560" s="71">
        <f t="shared" ref="I560:K560" si="140">+I561+I565</f>
        <v>6685.8</v>
      </c>
      <c r="J560" s="71">
        <f t="shared" si="140"/>
        <v>0</v>
      </c>
      <c r="K560" s="71">
        <f t="shared" si="140"/>
        <v>6685.8</v>
      </c>
      <c r="L560" s="71">
        <f>+L561</f>
        <v>0</v>
      </c>
      <c r="M560" s="71"/>
      <c r="N560" s="71">
        <f>+N561</f>
        <v>0</v>
      </c>
    </row>
    <row r="561" spans="1:14" ht="51" x14ac:dyDescent="0.25">
      <c r="A561" s="92"/>
      <c r="B561" s="92"/>
      <c r="C561" s="4" t="s">
        <v>803</v>
      </c>
      <c r="D561" s="4"/>
      <c r="E561" s="5" t="s">
        <v>918</v>
      </c>
      <c r="F561" s="70">
        <v>0</v>
      </c>
      <c r="G561" s="70">
        <f>G562</f>
        <v>457.45472999999998</v>
      </c>
      <c r="H561" s="70">
        <f>H562</f>
        <v>457.45472999999998</v>
      </c>
      <c r="I561" s="80">
        <v>0</v>
      </c>
      <c r="J561" s="70"/>
      <c r="K561" s="70">
        <v>0</v>
      </c>
      <c r="L561" s="80">
        <v>0</v>
      </c>
      <c r="M561" s="80"/>
      <c r="N561" s="80">
        <v>0</v>
      </c>
    </row>
    <row r="562" spans="1:14" ht="26.25" x14ac:dyDescent="0.25">
      <c r="A562" s="92"/>
      <c r="B562" s="92"/>
      <c r="C562" s="6"/>
      <c r="D562" s="6" t="s">
        <v>470</v>
      </c>
      <c r="E562" s="3" t="s">
        <v>471</v>
      </c>
      <c r="F562" s="70">
        <v>0</v>
      </c>
      <c r="G562" s="70">
        <v>457.45472999999998</v>
      </c>
      <c r="H562" s="70">
        <v>457.45472999999998</v>
      </c>
      <c r="I562" s="80">
        <v>0</v>
      </c>
      <c r="J562" s="70"/>
      <c r="K562" s="70">
        <v>0</v>
      </c>
      <c r="L562" s="80">
        <v>0</v>
      </c>
      <c r="M562" s="80"/>
      <c r="N562" s="80">
        <v>0</v>
      </c>
    </row>
    <row r="563" spans="1:14" x14ac:dyDescent="0.25">
      <c r="A563" s="68"/>
      <c r="B563" s="17" t="s">
        <v>643</v>
      </c>
      <c r="C563" s="103"/>
      <c r="D563" s="17"/>
      <c r="E563" s="123" t="s">
        <v>644</v>
      </c>
      <c r="F563" s="74">
        <f>F564</f>
        <v>13811.8</v>
      </c>
      <c r="G563" s="74"/>
      <c r="H563" s="74">
        <f>H564</f>
        <v>13811.8</v>
      </c>
      <c r="I563" s="74">
        <f>I564</f>
        <v>14489.400000000001</v>
      </c>
      <c r="J563" s="74"/>
      <c r="K563" s="74">
        <f>K564</f>
        <v>14489.400000000001</v>
      </c>
      <c r="L563" s="74">
        <f>L564</f>
        <v>14537.699999999999</v>
      </c>
      <c r="M563" s="74"/>
      <c r="N563" s="74">
        <f>N564</f>
        <v>14537.699999999999</v>
      </c>
    </row>
    <row r="564" spans="1:14" x14ac:dyDescent="0.25">
      <c r="A564" s="68"/>
      <c r="B564" s="17"/>
      <c r="C564" s="103" t="s">
        <v>5</v>
      </c>
      <c r="D564" s="17"/>
      <c r="E564" s="123" t="s">
        <v>6</v>
      </c>
      <c r="F564" s="74">
        <f>F565+F571</f>
        <v>13811.8</v>
      </c>
      <c r="G564" s="74"/>
      <c r="H564" s="74">
        <f>H565+H571</f>
        <v>13811.8</v>
      </c>
      <c r="I564" s="74">
        <f>I565+I571</f>
        <v>14489.400000000001</v>
      </c>
      <c r="J564" s="74"/>
      <c r="K564" s="74">
        <f>K565+K571</f>
        <v>14489.400000000001</v>
      </c>
      <c r="L564" s="74">
        <f>L565+L571</f>
        <v>14537.699999999999</v>
      </c>
      <c r="M564" s="74"/>
      <c r="N564" s="74">
        <f>N565+N571</f>
        <v>14537.699999999999</v>
      </c>
    </row>
    <row r="565" spans="1:14" ht="25.5" x14ac:dyDescent="0.25">
      <c r="A565" s="105"/>
      <c r="B565" s="106"/>
      <c r="C565" s="107" t="s">
        <v>7</v>
      </c>
      <c r="D565" s="106"/>
      <c r="E565" s="108" t="s">
        <v>525</v>
      </c>
      <c r="F565" s="109">
        <f t="shared" ref="F565:N567" si="141">F566</f>
        <v>6458.7</v>
      </c>
      <c r="G565" s="109"/>
      <c r="H565" s="109">
        <f t="shared" si="141"/>
        <v>6458.7</v>
      </c>
      <c r="I565" s="109">
        <f t="shared" si="141"/>
        <v>6685.8</v>
      </c>
      <c r="J565" s="109"/>
      <c r="K565" s="109">
        <f t="shared" si="141"/>
        <v>6685.8</v>
      </c>
      <c r="L565" s="109">
        <f t="shared" si="141"/>
        <v>6643.5</v>
      </c>
      <c r="M565" s="109"/>
      <c r="N565" s="109">
        <f t="shared" si="141"/>
        <v>6643.5</v>
      </c>
    </row>
    <row r="566" spans="1:14" ht="26.25" x14ac:dyDescent="0.25">
      <c r="A566" s="31"/>
      <c r="B566" s="31"/>
      <c r="C566" s="31" t="s">
        <v>20</v>
      </c>
      <c r="D566" s="31"/>
      <c r="E566" s="35" t="s">
        <v>21</v>
      </c>
      <c r="F566" s="75">
        <f t="shared" si="141"/>
        <v>6458.7</v>
      </c>
      <c r="G566" s="75"/>
      <c r="H566" s="75">
        <f t="shared" si="141"/>
        <v>6458.7</v>
      </c>
      <c r="I566" s="75">
        <f t="shared" si="141"/>
        <v>6685.8</v>
      </c>
      <c r="J566" s="75"/>
      <c r="K566" s="75">
        <f t="shared" si="141"/>
        <v>6685.8</v>
      </c>
      <c r="L566" s="75">
        <f t="shared" si="141"/>
        <v>6643.5</v>
      </c>
      <c r="M566" s="75"/>
      <c r="N566" s="75">
        <f t="shared" si="141"/>
        <v>6643.5</v>
      </c>
    </row>
    <row r="567" spans="1:14" ht="39" x14ac:dyDescent="0.25">
      <c r="A567" s="33"/>
      <c r="B567" s="33"/>
      <c r="C567" s="33" t="s">
        <v>22</v>
      </c>
      <c r="D567" s="33"/>
      <c r="E567" s="34" t="s">
        <v>23</v>
      </c>
      <c r="F567" s="71">
        <f t="shared" si="141"/>
        <v>6458.7</v>
      </c>
      <c r="G567" s="71"/>
      <c r="H567" s="71">
        <f t="shared" si="141"/>
        <v>6458.7</v>
      </c>
      <c r="I567" s="71">
        <f t="shared" si="141"/>
        <v>6685.8</v>
      </c>
      <c r="J567" s="71"/>
      <c r="K567" s="71">
        <f t="shared" si="141"/>
        <v>6685.8</v>
      </c>
      <c r="L567" s="71">
        <f t="shared" si="141"/>
        <v>6643.5</v>
      </c>
      <c r="M567" s="71"/>
      <c r="N567" s="71">
        <f t="shared" si="141"/>
        <v>6643.5</v>
      </c>
    </row>
    <row r="568" spans="1:14" ht="25.5" x14ac:dyDescent="0.25">
      <c r="A568" s="92"/>
      <c r="B568" s="92"/>
      <c r="C568" s="6" t="s">
        <v>26</v>
      </c>
      <c r="D568" s="6"/>
      <c r="E568" s="1" t="s">
        <v>27</v>
      </c>
      <c r="F568" s="70">
        <f>F569+F570</f>
        <v>6458.7</v>
      </c>
      <c r="G568" s="70"/>
      <c r="H568" s="70">
        <f>H569+H570</f>
        <v>6458.7</v>
      </c>
      <c r="I568" s="70">
        <f>I569+I570</f>
        <v>6685.8</v>
      </c>
      <c r="J568" s="70"/>
      <c r="K568" s="70">
        <f>K569+K570</f>
        <v>6685.8</v>
      </c>
      <c r="L568" s="70">
        <f>L569+L570</f>
        <v>6643.5</v>
      </c>
      <c r="M568" s="70"/>
      <c r="N568" s="70">
        <f>N569+N570</f>
        <v>6643.5</v>
      </c>
    </row>
    <row r="569" spans="1:14" ht="39" x14ac:dyDescent="0.25">
      <c r="A569" s="92"/>
      <c r="B569" s="92"/>
      <c r="C569" s="6"/>
      <c r="D569" s="6" t="s">
        <v>398</v>
      </c>
      <c r="E569" s="3" t="s">
        <v>399</v>
      </c>
      <c r="F569" s="70">
        <v>6244</v>
      </c>
      <c r="G569" s="70"/>
      <c r="H569" s="70">
        <v>6244</v>
      </c>
      <c r="I569" s="70">
        <v>6471.1</v>
      </c>
      <c r="J569" s="70"/>
      <c r="K569" s="70">
        <v>6471.1</v>
      </c>
      <c r="L569" s="70">
        <v>6471.1</v>
      </c>
      <c r="M569" s="70"/>
      <c r="N569" s="70">
        <v>6471.1</v>
      </c>
    </row>
    <row r="570" spans="1:14" x14ac:dyDescent="0.25">
      <c r="A570" s="92"/>
      <c r="B570" s="92"/>
      <c r="C570" s="6"/>
      <c r="D570" s="6" t="s">
        <v>280</v>
      </c>
      <c r="E570" s="3" t="s">
        <v>281</v>
      </c>
      <c r="F570" s="70">
        <f>219.1-4.4</f>
        <v>214.7</v>
      </c>
      <c r="G570" s="70"/>
      <c r="H570" s="70">
        <f>219.1-4.4</f>
        <v>214.7</v>
      </c>
      <c r="I570" s="70">
        <f>219.1-4.4</f>
        <v>214.7</v>
      </c>
      <c r="J570" s="70"/>
      <c r="K570" s="70">
        <f>219.1-4.4</f>
        <v>214.7</v>
      </c>
      <c r="L570" s="70">
        <f>219.1-4.4-42.3</f>
        <v>172.39999999999998</v>
      </c>
      <c r="M570" s="70"/>
      <c r="N570" s="70">
        <f>SUM(L570:M570)</f>
        <v>172.39999999999998</v>
      </c>
    </row>
    <row r="571" spans="1:14" ht="25.5" x14ac:dyDescent="0.25">
      <c r="A571" s="105"/>
      <c r="B571" s="106"/>
      <c r="C571" s="107" t="s">
        <v>57</v>
      </c>
      <c r="D571" s="106"/>
      <c r="E571" s="108" t="s">
        <v>58</v>
      </c>
      <c r="F571" s="109">
        <f>F572+F594+F600+F584</f>
        <v>7353.0999999999995</v>
      </c>
      <c r="G571" s="109"/>
      <c r="H571" s="109">
        <f>H572+H594+H600+H584</f>
        <v>7353.0999999999995</v>
      </c>
      <c r="I571" s="109">
        <f>I572+I594+I600+I584</f>
        <v>7803.6</v>
      </c>
      <c r="J571" s="109"/>
      <c r="K571" s="109">
        <f>K572+K594+K600+K584</f>
        <v>7803.6</v>
      </c>
      <c r="L571" s="109">
        <f>L572+L594+L600+L584</f>
        <v>7894.1999999999989</v>
      </c>
      <c r="M571" s="109"/>
      <c r="N571" s="109">
        <f>N572+N594+N600+N584</f>
        <v>7894.1999999999989</v>
      </c>
    </row>
    <row r="572" spans="1:14" x14ac:dyDescent="0.25">
      <c r="A572" s="31"/>
      <c r="B572" s="31"/>
      <c r="C572" s="31" t="s">
        <v>107</v>
      </c>
      <c r="D572" s="31"/>
      <c r="E572" s="35" t="s">
        <v>108</v>
      </c>
      <c r="F572" s="75">
        <f>F573</f>
        <v>697.00000000000011</v>
      </c>
      <c r="G572" s="75"/>
      <c r="H572" s="75">
        <f>H573</f>
        <v>697.00000000000011</v>
      </c>
      <c r="I572" s="75">
        <f>I573</f>
        <v>710.2</v>
      </c>
      <c r="J572" s="75"/>
      <c r="K572" s="75">
        <f>K573</f>
        <v>710.2</v>
      </c>
      <c r="L572" s="75">
        <f>L573</f>
        <v>726.6</v>
      </c>
      <c r="M572" s="75"/>
      <c r="N572" s="75">
        <f>N573</f>
        <v>726.6</v>
      </c>
    </row>
    <row r="573" spans="1:14" ht="26.25" x14ac:dyDescent="0.25">
      <c r="A573" s="33"/>
      <c r="B573" s="33"/>
      <c r="C573" s="33" t="s">
        <v>109</v>
      </c>
      <c r="D573" s="33"/>
      <c r="E573" s="34" t="s">
        <v>110</v>
      </c>
      <c r="F573" s="71">
        <f>F574+F576+F578+F580+F582</f>
        <v>697.00000000000011</v>
      </c>
      <c r="G573" s="71"/>
      <c r="H573" s="71">
        <f>H574+H576+H578+H580+H582</f>
        <v>697.00000000000011</v>
      </c>
      <c r="I573" s="71">
        <f>I574+I576+I578+I580+I582</f>
        <v>710.2</v>
      </c>
      <c r="J573" s="71"/>
      <c r="K573" s="71">
        <f>K574+K576+K578+K580+K582</f>
        <v>710.2</v>
      </c>
      <c r="L573" s="71">
        <f>L574+L576+L578+L580+L582</f>
        <v>726.6</v>
      </c>
      <c r="M573" s="71"/>
      <c r="N573" s="71">
        <f>N574+N576+N578+N580+N582</f>
        <v>726.6</v>
      </c>
    </row>
    <row r="574" spans="1:14" x14ac:dyDescent="0.25">
      <c r="A574" s="92"/>
      <c r="B574" s="92"/>
      <c r="C574" s="6" t="s">
        <v>113</v>
      </c>
      <c r="D574" s="6"/>
      <c r="E574" s="3" t="s">
        <v>114</v>
      </c>
      <c r="F574" s="70">
        <f>F575</f>
        <v>274.2</v>
      </c>
      <c r="G574" s="70"/>
      <c r="H574" s="70">
        <f>H575</f>
        <v>274.2</v>
      </c>
      <c r="I574" s="70">
        <f>I575</f>
        <v>279.5</v>
      </c>
      <c r="J574" s="70"/>
      <c r="K574" s="70">
        <f>K575</f>
        <v>279.5</v>
      </c>
      <c r="L574" s="70">
        <f>L575</f>
        <v>284.89999999999998</v>
      </c>
      <c r="M574" s="70"/>
      <c r="N574" s="70">
        <f>N575</f>
        <v>284.89999999999998</v>
      </c>
    </row>
    <row r="575" spans="1:14" ht="26.25" x14ac:dyDescent="0.25">
      <c r="A575" s="92"/>
      <c r="B575" s="92"/>
      <c r="C575" s="6"/>
      <c r="D575" s="6" t="s">
        <v>470</v>
      </c>
      <c r="E575" s="3" t="s">
        <v>471</v>
      </c>
      <c r="F575" s="70">
        <v>274.2</v>
      </c>
      <c r="G575" s="70"/>
      <c r="H575" s="70">
        <v>274.2</v>
      </c>
      <c r="I575" s="70">
        <v>279.5</v>
      </c>
      <c r="J575" s="70"/>
      <c r="K575" s="70">
        <v>279.5</v>
      </c>
      <c r="L575" s="70">
        <v>284.89999999999998</v>
      </c>
      <c r="M575" s="70"/>
      <c r="N575" s="70">
        <v>284.89999999999998</v>
      </c>
    </row>
    <row r="576" spans="1:14" x14ac:dyDescent="0.25">
      <c r="A576" s="92"/>
      <c r="B576" s="92"/>
      <c r="C576" s="6" t="s">
        <v>115</v>
      </c>
      <c r="D576" s="6"/>
      <c r="E576" s="3" t="s">
        <v>116</v>
      </c>
      <c r="F576" s="70">
        <f>F577</f>
        <v>108.9</v>
      </c>
      <c r="G576" s="70"/>
      <c r="H576" s="70">
        <f>H577</f>
        <v>108.9</v>
      </c>
      <c r="I576" s="70">
        <f>I577</f>
        <v>109.3</v>
      </c>
      <c r="J576" s="70"/>
      <c r="K576" s="70">
        <f>K577</f>
        <v>109.3</v>
      </c>
      <c r="L576" s="70">
        <f>L577</f>
        <v>109.8</v>
      </c>
      <c r="M576" s="70"/>
      <c r="N576" s="70">
        <f>N577</f>
        <v>109.8</v>
      </c>
    </row>
    <row r="577" spans="1:14" ht="26.25" x14ac:dyDescent="0.25">
      <c r="A577" s="92"/>
      <c r="B577" s="92"/>
      <c r="C577" s="6"/>
      <c r="D577" s="6" t="s">
        <v>470</v>
      </c>
      <c r="E577" s="3" t="s">
        <v>471</v>
      </c>
      <c r="F577" s="70">
        <v>108.9</v>
      </c>
      <c r="G577" s="70"/>
      <c r="H577" s="70">
        <v>108.9</v>
      </c>
      <c r="I577" s="70">
        <v>109.3</v>
      </c>
      <c r="J577" s="70"/>
      <c r="K577" s="70">
        <v>109.3</v>
      </c>
      <c r="L577" s="70">
        <v>109.8</v>
      </c>
      <c r="M577" s="70"/>
      <c r="N577" s="70">
        <v>109.8</v>
      </c>
    </row>
    <row r="578" spans="1:14" x14ac:dyDescent="0.25">
      <c r="A578" s="92"/>
      <c r="B578" s="92"/>
      <c r="C578" s="6" t="s">
        <v>117</v>
      </c>
      <c r="D578" s="6"/>
      <c r="E578" s="3" t="s">
        <v>118</v>
      </c>
      <c r="F578" s="70">
        <v>74.599999999999994</v>
      </c>
      <c r="G578" s="70"/>
      <c r="H578" s="70">
        <v>74.599999999999994</v>
      </c>
      <c r="I578" s="70">
        <v>76.8</v>
      </c>
      <c r="J578" s="70"/>
      <c r="K578" s="70">
        <v>76.8</v>
      </c>
      <c r="L578" s="70">
        <f>L579</f>
        <v>81.900000000000006</v>
      </c>
      <c r="M578" s="70"/>
      <c r="N578" s="70">
        <f>N579</f>
        <v>81.900000000000006</v>
      </c>
    </row>
    <row r="579" spans="1:14" ht="26.25" x14ac:dyDescent="0.25">
      <c r="A579" s="92"/>
      <c r="B579" s="92"/>
      <c r="C579" s="6"/>
      <c r="D579" s="6" t="s">
        <v>470</v>
      </c>
      <c r="E579" s="3" t="s">
        <v>471</v>
      </c>
      <c r="F579" s="70">
        <v>74.599999999999994</v>
      </c>
      <c r="G579" s="70"/>
      <c r="H579" s="70">
        <v>74.599999999999994</v>
      </c>
      <c r="I579" s="70">
        <v>76.8</v>
      </c>
      <c r="J579" s="70"/>
      <c r="K579" s="70">
        <v>76.8</v>
      </c>
      <c r="L579" s="70">
        <v>81.900000000000006</v>
      </c>
      <c r="M579" s="70"/>
      <c r="N579" s="70">
        <v>81.900000000000006</v>
      </c>
    </row>
    <row r="580" spans="1:14" ht="39" x14ac:dyDescent="0.25">
      <c r="A580" s="92"/>
      <c r="B580" s="92"/>
      <c r="C580" s="6" t="s">
        <v>119</v>
      </c>
      <c r="D580" s="6"/>
      <c r="E580" s="3" t="s">
        <v>120</v>
      </c>
      <c r="F580" s="70">
        <f>F581</f>
        <v>83.7</v>
      </c>
      <c r="G580" s="70"/>
      <c r="H580" s="70">
        <f>H581</f>
        <v>83.7</v>
      </c>
      <c r="I580" s="70">
        <f>I581</f>
        <v>86.3</v>
      </c>
      <c r="J580" s="70"/>
      <c r="K580" s="70">
        <f>K581</f>
        <v>86.3</v>
      </c>
      <c r="L580" s="70">
        <f>L581</f>
        <v>89</v>
      </c>
      <c r="M580" s="70"/>
      <c r="N580" s="70">
        <f>N581</f>
        <v>89</v>
      </c>
    </row>
    <row r="581" spans="1:14" ht="26.25" x14ac:dyDescent="0.25">
      <c r="A581" s="92"/>
      <c r="B581" s="92"/>
      <c r="C581" s="6"/>
      <c r="D581" s="6" t="s">
        <v>470</v>
      </c>
      <c r="E581" s="3" t="s">
        <v>471</v>
      </c>
      <c r="F581" s="70">
        <v>83.7</v>
      </c>
      <c r="G581" s="70"/>
      <c r="H581" s="70">
        <v>83.7</v>
      </c>
      <c r="I581" s="70">
        <v>86.3</v>
      </c>
      <c r="J581" s="70"/>
      <c r="K581" s="70">
        <v>86.3</v>
      </c>
      <c r="L581" s="70">
        <v>89</v>
      </c>
      <c r="M581" s="70"/>
      <c r="N581" s="70">
        <v>89</v>
      </c>
    </row>
    <row r="582" spans="1:14" ht="26.25" x14ac:dyDescent="0.25">
      <c r="A582" s="92"/>
      <c r="B582" s="92"/>
      <c r="C582" s="6" t="s">
        <v>433</v>
      </c>
      <c r="D582" s="6"/>
      <c r="E582" s="3" t="s">
        <v>121</v>
      </c>
      <c r="F582" s="70">
        <f>F583</f>
        <v>155.6</v>
      </c>
      <c r="G582" s="70"/>
      <c r="H582" s="70">
        <f>H583</f>
        <v>155.6</v>
      </c>
      <c r="I582" s="70">
        <f>I583</f>
        <v>158.30000000000001</v>
      </c>
      <c r="J582" s="70"/>
      <c r="K582" s="70">
        <f>K583</f>
        <v>158.30000000000001</v>
      </c>
      <c r="L582" s="70">
        <f>L583</f>
        <v>161</v>
      </c>
      <c r="M582" s="70"/>
      <c r="N582" s="70">
        <f>N583</f>
        <v>161</v>
      </c>
    </row>
    <row r="583" spans="1:14" ht="26.25" x14ac:dyDescent="0.25">
      <c r="A583" s="92"/>
      <c r="B583" s="92"/>
      <c r="C583" s="6"/>
      <c r="D583" s="6" t="s">
        <v>470</v>
      </c>
      <c r="E583" s="3" t="s">
        <v>471</v>
      </c>
      <c r="F583" s="70">
        <v>155.6</v>
      </c>
      <c r="G583" s="70"/>
      <c r="H583" s="70">
        <v>155.6</v>
      </c>
      <c r="I583" s="70">
        <v>158.30000000000001</v>
      </c>
      <c r="J583" s="70"/>
      <c r="K583" s="70">
        <v>158.30000000000001</v>
      </c>
      <c r="L583" s="70">
        <v>161</v>
      </c>
      <c r="M583" s="70"/>
      <c r="N583" s="70">
        <v>161</v>
      </c>
    </row>
    <row r="584" spans="1:14" x14ac:dyDescent="0.25">
      <c r="A584" s="31"/>
      <c r="B584" s="31"/>
      <c r="C584" s="31" t="s">
        <v>122</v>
      </c>
      <c r="D584" s="31"/>
      <c r="E584" s="35" t="s">
        <v>123</v>
      </c>
      <c r="F584" s="75">
        <f>F585</f>
        <v>6336.4</v>
      </c>
      <c r="G584" s="75"/>
      <c r="H584" s="75">
        <f>H585</f>
        <v>6336.4</v>
      </c>
      <c r="I584" s="75">
        <f>I585</f>
        <v>6768.7</v>
      </c>
      <c r="J584" s="75"/>
      <c r="K584" s="75">
        <f>K585</f>
        <v>6768.7</v>
      </c>
      <c r="L584" s="75">
        <f>L585</f>
        <v>6837.7999999999993</v>
      </c>
      <c r="M584" s="75"/>
      <c r="N584" s="75">
        <f>N585</f>
        <v>6837.7999999999993</v>
      </c>
    </row>
    <row r="585" spans="1:14" ht="26.25" x14ac:dyDescent="0.25">
      <c r="A585" s="33"/>
      <c r="B585" s="33"/>
      <c r="C585" s="33" t="s">
        <v>124</v>
      </c>
      <c r="D585" s="33"/>
      <c r="E585" s="34" t="s">
        <v>125</v>
      </c>
      <c r="F585" s="71">
        <f>F590+F586+F588</f>
        <v>6336.4</v>
      </c>
      <c r="G585" s="71"/>
      <c r="H585" s="71">
        <f>H590+H586+H588</f>
        <v>6336.4</v>
      </c>
      <c r="I585" s="71">
        <f>I590+I586+I588</f>
        <v>6768.7</v>
      </c>
      <c r="J585" s="71"/>
      <c r="K585" s="71">
        <f>K590+K586+K588</f>
        <v>6768.7</v>
      </c>
      <c r="L585" s="71">
        <f>L590+L586+L588</f>
        <v>6837.7999999999993</v>
      </c>
      <c r="M585" s="71"/>
      <c r="N585" s="71">
        <f>N590+N586+N588</f>
        <v>6837.7999999999993</v>
      </c>
    </row>
    <row r="586" spans="1:14" ht="26.25" x14ac:dyDescent="0.25">
      <c r="A586" s="92"/>
      <c r="B586" s="92"/>
      <c r="C586" s="6" t="s">
        <v>126</v>
      </c>
      <c r="D586" s="6"/>
      <c r="E586" s="3" t="s">
        <v>127</v>
      </c>
      <c r="F586" s="70">
        <f>F587</f>
        <v>109.3</v>
      </c>
      <c r="G586" s="70"/>
      <c r="H586" s="70">
        <f>H587</f>
        <v>109.3</v>
      </c>
      <c r="I586" s="70">
        <f>I587</f>
        <v>113.7</v>
      </c>
      <c r="J586" s="70"/>
      <c r="K586" s="70">
        <f>K587</f>
        <v>113.7</v>
      </c>
      <c r="L586" s="70">
        <f>L587</f>
        <v>118.2</v>
      </c>
      <c r="M586" s="70"/>
      <c r="N586" s="70">
        <f>N587</f>
        <v>118.2</v>
      </c>
    </row>
    <row r="587" spans="1:14" ht="26.25" x14ac:dyDescent="0.25">
      <c r="A587" s="92"/>
      <c r="B587" s="92"/>
      <c r="C587" s="6"/>
      <c r="D587" s="6" t="s">
        <v>470</v>
      </c>
      <c r="E587" s="3" t="s">
        <v>471</v>
      </c>
      <c r="F587" s="70">
        <v>109.3</v>
      </c>
      <c r="G587" s="70"/>
      <c r="H587" s="70">
        <v>109.3</v>
      </c>
      <c r="I587" s="70">
        <v>113.7</v>
      </c>
      <c r="J587" s="70"/>
      <c r="K587" s="70">
        <v>113.7</v>
      </c>
      <c r="L587" s="70">
        <v>118.2</v>
      </c>
      <c r="M587" s="70"/>
      <c r="N587" s="70">
        <v>118.2</v>
      </c>
    </row>
    <row r="588" spans="1:14" ht="26.25" x14ac:dyDescent="0.25">
      <c r="A588" s="92"/>
      <c r="B588" s="92"/>
      <c r="C588" s="6" t="s">
        <v>128</v>
      </c>
      <c r="D588" s="6"/>
      <c r="E588" s="3" t="s">
        <v>129</v>
      </c>
      <c r="F588" s="70">
        <f>F589</f>
        <v>1551.9</v>
      </c>
      <c r="G588" s="70"/>
      <c r="H588" s="70">
        <f>H589</f>
        <v>1551.9</v>
      </c>
      <c r="I588" s="70">
        <f>I589</f>
        <v>1614</v>
      </c>
      <c r="J588" s="70"/>
      <c r="K588" s="70">
        <f>K589</f>
        <v>1614</v>
      </c>
      <c r="L588" s="70">
        <f>L589</f>
        <v>1678.6</v>
      </c>
      <c r="M588" s="70"/>
      <c r="N588" s="70">
        <f>N589</f>
        <v>1678.6</v>
      </c>
    </row>
    <row r="589" spans="1:14" ht="26.25" x14ac:dyDescent="0.25">
      <c r="A589" s="92"/>
      <c r="B589" s="92"/>
      <c r="C589" s="6"/>
      <c r="D589" s="6" t="s">
        <v>470</v>
      </c>
      <c r="E589" s="3" t="s">
        <v>471</v>
      </c>
      <c r="F589" s="70">
        <v>1551.9</v>
      </c>
      <c r="G589" s="70"/>
      <c r="H589" s="70">
        <v>1551.9</v>
      </c>
      <c r="I589" s="70">
        <v>1614</v>
      </c>
      <c r="J589" s="70"/>
      <c r="K589" s="70">
        <v>1614</v>
      </c>
      <c r="L589" s="70">
        <v>1678.6</v>
      </c>
      <c r="M589" s="70"/>
      <c r="N589" s="70">
        <v>1678.6</v>
      </c>
    </row>
    <row r="590" spans="1:14" ht="39" x14ac:dyDescent="0.25">
      <c r="A590" s="92"/>
      <c r="B590" s="92"/>
      <c r="C590" s="6" t="s">
        <v>130</v>
      </c>
      <c r="D590" s="6"/>
      <c r="E590" s="3" t="s">
        <v>131</v>
      </c>
      <c r="F590" s="70">
        <f>F592</f>
        <v>4675.2</v>
      </c>
      <c r="G590" s="70"/>
      <c r="H590" s="70">
        <f>H592</f>
        <v>4675.2</v>
      </c>
      <c r="I590" s="70">
        <f>I592</f>
        <v>5041</v>
      </c>
      <c r="J590" s="70"/>
      <c r="K590" s="70">
        <f>K592</f>
        <v>5041</v>
      </c>
      <c r="L590" s="70">
        <f>L592</f>
        <v>5041</v>
      </c>
      <c r="M590" s="70"/>
      <c r="N590" s="70">
        <f>N592</f>
        <v>5041</v>
      </c>
    </row>
    <row r="591" spans="1:14" x14ac:dyDescent="0.25">
      <c r="A591" s="92"/>
      <c r="B591" s="92"/>
      <c r="C591" s="6"/>
      <c r="D591" s="6" t="s">
        <v>423</v>
      </c>
      <c r="E591" s="3" t="s">
        <v>424</v>
      </c>
      <c r="F591" s="70">
        <v>0</v>
      </c>
      <c r="G591" s="70"/>
      <c r="H591" s="70">
        <v>0</v>
      </c>
      <c r="I591" s="70">
        <v>0</v>
      </c>
      <c r="J591" s="70"/>
      <c r="K591" s="70">
        <v>0</v>
      </c>
      <c r="L591" s="70">
        <v>0</v>
      </c>
      <c r="M591" s="70"/>
      <c r="N591" s="70">
        <v>0</v>
      </c>
    </row>
    <row r="592" spans="1:14" ht="26.25" x14ac:dyDescent="0.25">
      <c r="A592" s="92"/>
      <c r="B592" s="92"/>
      <c r="C592" s="6"/>
      <c r="D592" s="6" t="s">
        <v>470</v>
      </c>
      <c r="E592" s="3" t="s">
        <v>471</v>
      </c>
      <c r="F592" s="70">
        <v>4675.2</v>
      </c>
      <c r="G592" s="70"/>
      <c r="H592" s="70">
        <v>4675.2</v>
      </c>
      <c r="I592" s="70">
        <v>5041</v>
      </c>
      <c r="J592" s="70"/>
      <c r="K592" s="70">
        <v>5041</v>
      </c>
      <c r="L592" s="70">
        <v>5041</v>
      </c>
      <c r="M592" s="70"/>
      <c r="N592" s="70">
        <v>5041</v>
      </c>
    </row>
    <row r="593" spans="1:14" x14ac:dyDescent="0.25">
      <c r="A593" s="92"/>
      <c r="B593" s="92"/>
      <c r="C593" s="6"/>
      <c r="D593" s="6" t="s">
        <v>405</v>
      </c>
      <c r="E593" s="3" t="s">
        <v>406</v>
      </c>
      <c r="F593" s="70">
        <v>0</v>
      </c>
      <c r="G593" s="70"/>
      <c r="H593" s="70">
        <v>0</v>
      </c>
      <c r="I593" s="70">
        <v>0</v>
      </c>
      <c r="J593" s="70"/>
      <c r="K593" s="70">
        <v>0</v>
      </c>
      <c r="L593" s="70">
        <v>0</v>
      </c>
      <c r="M593" s="70"/>
      <c r="N593" s="70">
        <v>0</v>
      </c>
    </row>
    <row r="594" spans="1:14" x14ac:dyDescent="0.25">
      <c r="A594" s="31"/>
      <c r="B594" s="31"/>
      <c r="C594" s="31" t="s">
        <v>132</v>
      </c>
      <c r="D594" s="31"/>
      <c r="E594" s="32" t="s">
        <v>133</v>
      </c>
      <c r="F594" s="75">
        <f>F595</f>
        <v>276.7</v>
      </c>
      <c r="G594" s="75"/>
      <c r="H594" s="75">
        <f>H595</f>
        <v>276.7</v>
      </c>
      <c r="I594" s="75">
        <f>I595</f>
        <v>281.2</v>
      </c>
      <c r="J594" s="75"/>
      <c r="K594" s="75">
        <f>K595</f>
        <v>281.2</v>
      </c>
      <c r="L594" s="75">
        <f>L595</f>
        <v>285.8</v>
      </c>
      <c r="M594" s="75"/>
      <c r="N594" s="75">
        <f>N595</f>
        <v>285.8</v>
      </c>
    </row>
    <row r="595" spans="1:14" ht="26.25" x14ac:dyDescent="0.25">
      <c r="A595" s="33"/>
      <c r="B595" s="33"/>
      <c r="C595" s="33" t="s">
        <v>134</v>
      </c>
      <c r="D595" s="33"/>
      <c r="E595" s="34" t="s">
        <v>135</v>
      </c>
      <c r="F595" s="71">
        <f>F598+F596</f>
        <v>276.7</v>
      </c>
      <c r="G595" s="71"/>
      <c r="H595" s="71">
        <f>H598+H596</f>
        <v>276.7</v>
      </c>
      <c r="I595" s="71">
        <f>I598+I596</f>
        <v>281.2</v>
      </c>
      <c r="J595" s="71"/>
      <c r="K595" s="71">
        <f>K598+K596</f>
        <v>281.2</v>
      </c>
      <c r="L595" s="71">
        <f>L598+L596</f>
        <v>285.8</v>
      </c>
      <c r="M595" s="71"/>
      <c r="N595" s="71">
        <f>N598+N596</f>
        <v>285.8</v>
      </c>
    </row>
    <row r="596" spans="1:14" x14ac:dyDescent="0.25">
      <c r="A596" s="40"/>
      <c r="B596" s="40"/>
      <c r="C596" s="40" t="s">
        <v>136</v>
      </c>
      <c r="D596" s="40"/>
      <c r="E596" s="41" t="s">
        <v>137</v>
      </c>
      <c r="F596" s="70">
        <f>F597</f>
        <v>175</v>
      </c>
      <c r="G596" s="70"/>
      <c r="H596" s="70">
        <f>H597</f>
        <v>175</v>
      </c>
      <c r="I596" s="70">
        <f>I597</f>
        <v>175.4</v>
      </c>
      <c r="J596" s="70"/>
      <c r="K596" s="70">
        <f>K597</f>
        <v>175.4</v>
      </c>
      <c r="L596" s="70">
        <f>L597</f>
        <v>175.8</v>
      </c>
      <c r="M596" s="70"/>
      <c r="N596" s="70">
        <f>N597</f>
        <v>175.8</v>
      </c>
    </row>
    <row r="597" spans="1:14" ht="26.25" x14ac:dyDescent="0.25">
      <c r="A597" s="40"/>
      <c r="B597" s="40"/>
      <c r="C597" s="40"/>
      <c r="D597" s="40" t="s">
        <v>470</v>
      </c>
      <c r="E597" s="41" t="s">
        <v>471</v>
      </c>
      <c r="F597" s="70">
        <v>175</v>
      </c>
      <c r="G597" s="70"/>
      <c r="H597" s="70">
        <v>175</v>
      </c>
      <c r="I597" s="70">
        <v>175.4</v>
      </c>
      <c r="J597" s="70"/>
      <c r="K597" s="70">
        <v>175.4</v>
      </c>
      <c r="L597" s="70">
        <v>175.8</v>
      </c>
      <c r="M597" s="70"/>
      <c r="N597" s="70">
        <v>175.8</v>
      </c>
    </row>
    <row r="598" spans="1:14" ht="26.25" x14ac:dyDescent="0.25">
      <c r="A598" s="6"/>
      <c r="B598" s="6"/>
      <c r="C598" s="6" t="s">
        <v>138</v>
      </c>
      <c r="D598" s="6"/>
      <c r="E598" s="3" t="s">
        <v>139</v>
      </c>
      <c r="F598" s="70">
        <f>F599</f>
        <v>101.7</v>
      </c>
      <c r="G598" s="70"/>
      <c r="H598" s="70">
        <f>H599</f>
        <v>101.7</v>
      </c>
      <c r="I598" s="70">
        <f>I599</f>
        <v>105.8</v>
      </c>
      <c r="J598" s="70"/>
      <c r="K598" s="70">
        <f>K599</f>
        <v>105.8</v>
      </c>
      <c r="L598" s="70">
        <f>L599</f>
        <v>110</v>
      </c>
      <c r="M598" s="70"/>
      <c r="N598" s="70">
        <f>N599</f>
        <v>110</v>
      </c>
    </row>
    <row r="599" spans="1:14" ht="26.25" x14ac:dyDescent="0.25">
      <c r="A599" s="6"/>
      <c r="B599" s="6"/>
      <c r="C599" s="6"/>
      <c r="D599" s="40" t="s">
        <v>470</v>
      </c>
      <c r="E599" s="41" t="s">
        <v>471</v>
      </c>
      <c r="F599" s="70">
        <v>101.7</v>
      </c>
      <c r="G599" s="70"/>
      <c r="H599" s="70">
        <v>101.7</v>
      </c>
      <c r="I599" s="70">
        <v>105.8</v>
      </c>
      <c r="J599" s="70"/>
      <c r="K599" s="70">
        <v>105.8</v>
      </c>
      <c r="L599" s="70">
        <v>110</v>
      </c>
      <c r="M599" s="70"/>
      <c r="N599" s="70">
        <v>110</v>
      </c>
    </row>
    <row r="600" spans="1:14" x14ac:dyDescent="0.25">
      <c r="A600" s="31"/>
      <c r="B600" s="31"/>
      <c r="C600" s="31" t="s">
        <v>153</v>
      </c>
      <c r="D600" s="31"/>
      <c r="E600" s="32" t="s">
        <v>154</v>
      </c>
      <c r="F600" s="75">
        <f t="shared" ref="F600:N602" si="142">F601</f>
        <v>43</v>
      </c>
      <c r="G600" s="75"/>
      <c r="H600" s="75">
        <f t="shared" si="142"/>
        <v>43</v>
      </c>
      <c r="I600" s="75">
        <f t="shared" si="142"/>
        <v>43.5</v>
      </c>
      <c r="J600" s="75"/>
      <c r="K600" s="75">
        <f t="shared" si="142"/>
        <v>43.5</v>
      </c>
      <c r="L600" s="75">
        <f t="shared" si="142"/>
        <v>44</v>
      </c>
      <c r="M600" s="75"/>
      <c r="N600" s="75">
        <f t="shared" si="142"/>
        <v>44</v>
      </c>
    </row>
    <row r="601" spans="1:14" x14ac:dyDescent="0.25">
      <c r="A601" s="33"/>
      <c r="B601" s="33"/>
      <c r="C601" s="33" t="s">
        <v>155</v>
      </c>
      <c r="D601" s="33"/>
      <c r="E601" s="34" t="s">
        <v>156</v>
      </c>
      <c r="F601" s="71">
        <f t="shared" si="142"/>
        <v>43</v>
      </c>
      <c r="G601" s="71"/>
      <c r="H601" s="71">
        <f t="shared" si="142"/>
        <v>43</v>
      </c>
      <c r="I601" s="71">
        <f t="shared" si="142"/>
        <v>43.5</v>
      </c>
      <c r="J601" s="71"/>
      <c r="K601" s="71">
        <f t="shared" si="142"/>
        <v>43.5</v>
      </c>
      <c r="L601" s="71">
        <f t="shared" si="142"/>
        <v>44</v>
      </c>
      <c r="M601" s="71"/>
      <c r="N601" s="71">
        <f t="shared" si="142"/>
        <v>44</v>
      </c>
    </row>
    <row r="602" spans="1:14" ht="26.25" x14ac:dyDescent="0.25">
      <c r="A602" s="92"/>
      <c r="B602" s="92"/>
      <c r="C602" s="6" t="s">
        <v>157</v>
      </c>
      <c r="D602" s="6"/>
      <c r="E602" s="3" t="s">
        <v>158</v>
      </c>
      <c r="F602" s="70">
        <f>F603</f>
        <v>43</v>
      </c>
      <c r="G602" s="70"/>
      <c r="H602" s="70">
        <f>H603</f>
        <v>43</v>
      </c>
      <c r="I602" s="70">
        <f t="shared" si="142"/>
        <v>43.5</v>
      </c>
      <c r="J602" s="70"/>
      <c r="K602" s="70">
        <f t="shared" si="142"/>
        <v>43.5</v>
      </c>
      <c r="L602" s="70">
        <f t="shared" si="142"/>
        <v>44</v>
      </c>
      <c r="M602" s="70"/>
      <c r="N602" s="70">
        <f t="shared" si="142"/>
        <v>44</v>
      </c>
    </row>
    <row r="603" spans="1:14" ht="26.25" x14ac:dyDescent="0.25">
      <c r="A603" s="92"/>
      <c r="B603" s="92"/>
      <c r="C603" s="6"/>
      <c r="D603" s="6" t="s">
        <v>470</v>
      </c>
      <c r="E603" s="3" t="s">
        <v>471</v>
      </c>
      <c r="F603" s="70">
        <v>43</v>
      </c>
      <c r="G603" s="70"/>
      <c r="H603" s="70">
        <v>43</v>
      </c>
      <c r="I603" s="70">
        <v>43.5</v>
      </c>
      <c r="J603" s="70"/>
      <c r="K603" s="70">
        <v>43.5</v>
      </c>
      <c r="L603" s="70">
        <v>44</v>
      </c>
      <c r="M603" s="70"/>
      <c r="N603" s="70">
        <v>44</v>
      </c>
    </row>
    <row r="604" spans="1:14" x14ac:dyDescent="0.25">
      <c r="A604" s="92"/>
      <c r="B604" s="17">
        <v>1000</v>
      </c>
      <c r="C604" s="103"/>
      <c r="D604" s="102"/>
      <c r="E604" s="96" t="s">
        <v>626</v>
      </c>
      <c r="F604" s="74">
        <f>F605+F630</f>
        <v>28123.068460000002</v>
      </c>
      <c r="G604" s="74">
        <f>G605+G630</f>
        <v>-5.0047300000000003</v>
      </c>
      <c r="H604" s="74">
        <f>H605+H630</f>
        <v>28118.063730000002</v>
      </c>
      <c r="I604" s="74">
        <f>I605+I630</f>
        <v>28194.785790000002</v>
      </c>
      <c r="J604" s="74"/>
      <c r="K604" s="74">
        <f>K605+K630</f>
        <v>28194.785790000002</v>
      </c>
      <c r="L604" s="74">
        <f>L605+L630</f>
        <v>27923.585790000001</v>
      </c>
      <c r="M604" s="74"/>
      <c r="N604" s="74">
        <f>N605+N630</f>
        <v>27923.585790000001</v>
      </c>
    </row>
    <row r="605" spans="1:14" x14ac:dyDescent="0.25">
      <c r="A605" s="92"/>
      <c r="B605" s="17">
        <v>1003</v>
      </c>
      <c r="C605" s="103"/>
      <c r="D605" s="102"/>
      <c r="E605" s="96" t="s">
        <v>630</v>
      </c>
      <c r="F605" s="74">
        <f t="shared" ref="F605:N606" si="143">F606</f>
        <v>24150.968460000004</v>
      </c>
      <c r="G605" s="74">
        <f t="shared" si="143"/>
        <v>-5.0047300000000003</v>
      </c>
      <c r="H605" s="74">
        <f t="shared" si="143"/>
        <v>24145.963730000003</v>
      </c>
      <c r="I605" s="74">
        <f t="shared" si="143"/>
        <v>23854.785790000002</v>
      </c>
      <c r="J605" s="74"/>
      <c r="K605" s="74">
        <f t="shared" si="143"/>
        <v>23854.785790000002</v>
      </c>
      <c r="L605" s="74">
        <f t="shared" si="143"/>
        <v>23696.085790000001</v>
      </c>
      <c r="M605" s="74"/>
      <c r="N605" s="74">
        <f t="shared" si="143"/>
        <v>23696.085790000001</v>
      </c>
    </row>
    <row r="606" spans="1:14" x14ac:dyDescent="0.25">
      <c r="A606" s="92"/>
      <c r="B606" s="17"/>
      <c r="C606" s="103" t="s">
        <v>5</v>
      </c>
      <c r="D606" s="102"/>
      <c r="E606" s="123" t="s">
        <v>6</v>
      </c>
      <c r="F606" s="74">
        <f t="shared" si="143"/>
        <v>24150.968460000004</v>
      </c>
      <c r="G606" s="74">
        <f t="shared" si="143"/>
        <v>-5.0047300000000003</v>
      </c>
      <c r="H606" s="74">
        <f t="shared" si="143"/>
        <v>24145.963730000003</v>
      </c>
      <c r="I606" s="74">
        <f t="shared" si="143"/>
        <v>23854.785790000002</v>
      </c>
      <c r="J606" s="74"/>
      <c r="K606" s="74">
        <f t="shared" si="143"/>
        <v>23854.785790000002</v>
      </c>
      <c r="L606" s="74">
        <f t="shared" si="143"/>
        <v>23696.085790000001</v>
      </c>
      <c r="M606" s="74"/>
      <c r="N606" s="74">
        <f t="shared" si="143"/>
        <v>23696.085790000001</v>
      </c>
    </row>
    <row r="607" spans="1:14" ht="25.5" x14ac:dyDescent="0.25">
      <c r="A607" s="107"/>
      <c r="B607" s="107"/>
      <c r="C607" s="107" t="s">
        <v>57</v>
      </c>
      <c r="D607" s="106"/>
      <c r="E607" s="108" t="s">
        <v>58</v>
      </c>
      <c r="F607" s="109">
        <f>F608+F612+F620</f>
        <v>24150.968460000004</v>
      </c>
      <c r="G607" s="109">
        <f>G608+G612+G620</f>
        <v>-5.0047300000000003</v>
      </c>
      <c r="H607" s="109">
        <f t="shared" ref="H607:N607" si="144">H608+H612+H620</f>
        <v>24145.963730000003</v>
      </c>
      <c r="I607" s="109">
        <f t="shared" si="144"/>
        <v>23854.785790000002</v>
      </c>
      <c r="J607" s="109"/>
      <c r="K607" s="109">
        <f t="shared" si="144"/>
        <v>23854.785790000002</v>
      </c>
      <c r="L607" s="109">
        <f t="shared" si="144"/>
        <v>23696.085790000001</v>
      </c>
      <c r="M607" s="109"/>
      <c r="N607" s="109">
        <f t="shared" si="144"/>
        <v>23696.085790000001</v>
      </c>
    </row>
    <row r="608" spans="1:14" x14ac:dyDescent="0.25">
      <c r="A608" s="31"/>
      <c r="B608" s="31"/>
      <c r="C608" s="31" t="s">
        <v>59</v>
      </c>
      <c r="D608" s="31"/>
      <c r="E608" s="32" t="s">
        <v>60</v>
      </c>
      <c r="F608" s="75">
        <f t="shared" ref="F608:N610" si="145">F609</f>
        <v>245.9</v>
      </c>
      <c r="G608" s="75">
        <f t="shared" si="145"/>
        <v>-5.0047300000000003</v>
      </c>
      <c r="H608" s="75">
        <f t="shared" si="145"/>
        <v>240.89527000000001</v>
      </c>
      <c r="I608" s="75">
        <f t="shared" si="145"/>
        <v>255.7</v>
      </c>
      <c r="J608" s="75"/>
      <c r="K608" s="75">
        <f t="shared" si="145"/>
        <v>255.7</v>
      </c>
      <c r="L608" s="75">
        <f t="shared" si="145"/>
        <v>265.89999999999998</v>
      </c>
      <c r="M608" s="75"/>
      <c r="N608" s="75">
        <f t="shared" si="145"/>
        <v>265.89999999999998</v>
      </c>
    </row>
    <row r="609" spans="1:14" ht="26.25" x14ac:dyDescent="0.25">
      <c r="A609" s="33"/>
      <c r="B609" s="33"/>
      <c r="C609" s="33" t="s">
        <v>61</v>
      </c>
      <c r="D609" s="33"/>
      <c r="E609" s="34" t="s">
        <v>62</v>
      </c>
      <c r="F609" s="71">
        <f t="shared" si="145"/>
        <v>245.9</v>
      </c>
      <c r="G609" s="71">
        <f t="shared" si="145"/>
        <v>-5.0047300000000003</v>
      </c>
      <c r="H609" s="71">
        <f t="shared" si="145"/>
        <v>240.89527000000001</v>
      </c>
      <c r="I609" s="71">
        <f t="shared" si="145"/>
        <v>255.7</v>
      </c>
      <c r="J609" s="71"/>
      <c r="K609" s="71">
        <f t="shared" si="145"/>
        <v>255.7</v>
      </c>
      <c r="L609" s="71">
        <f t="shared" si="145"/>
        <v>265.89999999999998</v>
      </c>
      <c r="M609" s="71"/>
      <c r="N609" s="71">
        <f t="shared" si="145"/>
        <v>265.89999999999998</v>
      </c>
    </row>
    <row r="610" spans="1:14" ht="26.25" x14ac:dyDescent="0.25">
      <c r="A610" s="92"/>
      <c r="B610" s="92"/>
      <c r="C610" s="16" t="s">
        <v>71</v>
      </c>
      <c r="D610" s="6"/>
      <c r="E610" s="3" t="s">
        <v>72</v>
      </c>
      <c r="F610" s="70">
        <f>F611</f>
        <v>245.9</v>
      </c>
      <c r="G610" s="70">
        <f>G611</f>
        <v>-5.0047300000000003</v>
      </c>
      <c r="H610" s="70">
        <f>H611</f>
        <v>240.89527000000001</v>
      </c>
      <c r="I610" s="70">
        <f t="shared" si="145"/>
        <v>255.7</v>
      </c>
      <c r="J610" s="70"/>
      <c r="K610" s="70">
        <f t="shared" si="145"/>
        <v>255.7</v>
      </c>
      <c r="L610" s="70">
        <f t="shared" si="145"/>
        <v>265.89999999999998</v>
      </c>
      <c r="M610" s="70"/>
      <c r="N610" s="70">
        <f t="shared" si="145"/>
        <v>265.89999999999998</v>
      </c>
    </row>
    <row r="611" spans="1:14" ht="26.25" x14ac:dyDescent="0.25">
      <c r="A611" s="92"/>
      <c r="B611" s="92"/>
      <c r="C611" s="16"/>
      <c r="D611" s="6" t="s">
        <v>470</v>
      </c>
      <c r="E611" s="3" t="s">
        <v>471</v>
      </c>
      <c r="F611" s="70">
        <v>245.9</v>
      </c>
      <c r="G611" s="70">
        <v>-5.0047300000000003</v>
      </c>
      <c r="H611" s="70">
        <f>245.9-5.00473</f>
        <v>240.89527000000001</v>
      </c>
      <c r="I611" s="70">
        <v>255.7</v>
      </c>
      <c r="J611" s="70"/>
      <c r="K611" s="70">
        <v>255.7</v>
      </c>
      <c r="L611" s="70">
        <v>265.89999999999998</v>
      </c>
      <c r="M611" s="70"/>
      <c r="N611" s="70">
        <v>265.89999999999998</v>
      </c>
    </row>
    <row r="612" spans="1:14" x14ac:dyDescent="0.25">
      <c r="A612" s="31"/>
      <c r="B612" s="31"/>
      <c r="C612" s="31" t="s">
        <v>73</v>
      </c>
      <c r="D612" s="31"/>
      <c r="E612" s="32" t="s">
        <v>74</v>
      </c>
      <c r="F612" s="75">
        <f>F613</f>
        <v>10550</v>
      </c>
      <c r="G612" s="75"/>
      <c r="H612" s="75">
        <f>H613</f>
        <v>10550</v>
      </c>
      <c r="I612" s="75">
        <f>I613</f>
        <v>10157.799999999999</v>
      </c>
      <c r="J612" s="75"/>
      <c r="K612" s="75">
        <f>K613</f>
        <v>10157.799999999999</v>
      </c>
      <c r="L612" s="75">
        <f>L613</f>
        <v>9965.7000000000007</v>
      </c>
      <c r="M612" s="75"/>
      <c r="N612" s="75">
        <f>N613</f>
        <v>9965.7000000000007</v>
      </c>
    </row>
    <row r="613" spans="1:14" ht="26.25" x14ac:dyDescent="0.25">
      <c r="A613" s="33"/>
      <c r="B613" s="33"/>
      <c r="C613" s="33" t="s">
        <v>85</v>
      </c>
      <c r="D613" s="33"/>
      <c r="E613" s="34" t="s">
        <v>86</v>
      </c>
      <c r="F613" s="71">
        <f>F614+F616+F618</f>
        <v>10550</v>
      </c>
      <c r="G613" s="71"/>
      <c r="H613" s="71">
        <f>H614+H616+H618</f>
        <v>10550</v>
      </c>
      <c r="I613" s="71">
        <f>I614+I616+I618</f>
        <v>10157.799999999999</v>
      </c>
      <c r="J613" s="71"/>
      <c r="K613" s="71">
        <f>K614+K616+K618</f>
        <v>10157.799999999999</v>
      </c>
      <c r="L613" s="71">
        <f>L614+L616+L618</f>
        <v>9965.7000000000007</v>
      </c>
      <c r="M613" s="71"/>
      <c r="N613" s="71">
        <f>N614+N616+N618</f>
        <v>9965.7000000000007</v>
      </c>
    </row>
    <row r="614" spans="1:14" ht="25.5" x14ac:dyDescent="0.25">
      <c r="A614" s="92"/>
      <c r="B614" s="92"/>
      <c r="C614" s="38" t="s">
        <v>94</v>
      </c>
      <c r="D614" s="6"/>
      <c r="E614" s="1" t="s">
        <v>675</v>
      </c>
      <c r="F614" s="70">
        <f>F615</f>
        <v>3993</v>
      </c>
      <c r="G614" s="70"/>
      <c r="H614" s="70">
        <f>H615</f>
        <v>3993</v>
      </c>
      <c r="I614" s="70">
        <f>I615</f>
        <v>3796.1</v>
      </c>
      <c r="J614" s="70"/>
      <c r="K614" s="70">
        <f>K615</f>
        <v>3796.1</v>
      </c>
      <c r="L614" s="70">
        <f>L615</f>
        <v>3685.9</v>
      </c>
      <c r="M614" s="70"/>
      <c r="N614" s="70">
        <f>N615</f>
        <v>3685.9</v>
      </c>
    </row>
    <row r="615" spans="1:14" ht="26.25" x14ac:dyDescent="0.25">
      <c r="A615" s="92"/>
      <c r="B615" s="92"/>
      <c r="C615" s="38"/>
      <c r="D615" s="6" t="s">
        <v>470</v>
      </c>
      <c r="E615" s="3" t="s">
        <v>471</v>
      </c>
      <c r="F615" s="70">
        <v>3993</v>
      </c>
      <c r="G615" s="70"/>
      <c r="H615" s="70">
        <v>3993</v>
      </c>
      <c r="I615" s="70">
        <v>3796.1</v>
      </c>
      <c r="J615" s="70"/>
      <c r="K615" s="70">
        <v>3796.1</v>
      </c>
      <c r="L615" s="70">
        <v>3685.9</v>
      </c>
      <c r="M615" s="70"/>
      <c r="N615" s="70">
        <v>3685.9</v>
      </c>
    </row>
    <row r="616" spans="1:14" ht="26.25" x14ac:dyDescent="0.25">
      <c r="A616" s="92"/>
      <c r="B616" s="92"/>
      <c r="C616" s="38" t="s">
        <v>95</v>
      </c>
      <c r="D616" s="6"/>
      <c r="E616" s="3" t="s">
        <v>676</v>
      </c>
      <c r="F616" s="70">
        <f>F617</f>
        <v>5123.5</v>
      </c>
      <c r="G616" s="70"/>
      <c r="H616" s="70">
        <f>H617</f>
        <v>5123.5</v>
      </c>
      <c r="I616" s="70">
        <f>I617</f>
        <v>4870.8999999999996</v>
      </c>
      <c r="J616" s="70"/>
      <c r="K616" s="70">
        <f>K617</f>
        <v>4870.8999999999996</v>
      </c>
      <c r="L616" s="70">
        <f>L617</f>
        <v>4729.3</v>
      </c>
      <c r="M616" s="70"/>
      <c r="N616" s="70">
        <f>N617</f>
        <v>4729.3</v>
      </c>
    </row>
    <row r="617" spans="1:14" ht="26.25" x14ac:dyDescent="0.25">
      <c r="A617" s="92"/>
      <c r="B617" s="92"/>
      <c r="C617" s="38"/>
      <c r="D617" s="6" t="s">
        <v>470</v>
      </c>
      <c r="E617" s="3" t="s">
        <v>471</v>
      </c>
      <c r="F617" s="70">
        <v>5123.5</v>
      </c>
      <c r="G617" s="70"/>
      <c r="H617" s="70">
        <v>5123.5</v>
      </c>
      <c r="I617" s="70">
        <v>4870.8999999999996</v>
      </c>
      <c r="J617" s="70"/>
      <c r="K617" s="70">
        <v>4870.8999999999996</v>
      </c>
      <c r="L617" s="70">
        <v>4729.3</v>
      </c>
      <c r="M617" s="70"/>
      <c r="N617" s="70">
        <v>4729.3</v>
      </c>
    </row>
    <row r="618" spans="1:14" ht="26.25" x14ac:dyDescent="0.25">
      <c r="A618" s="92"/>
      <c r="B618" s="92"/>
      <c r="C618" s="6" t="s">
        <v>89</v>
      </c>
      <c r="D618" s="6"/>
      <c r="E618" s="3" t="s">
        <v>72</v>
      </c>
      <c r="F618" s="70">
        <f>F619</f>
        <v>1433.5</v>
      </c>
      <c r="G618" s="70"/>
      <c r="H618" s="70">
        <f>H619</f>
        <v>1433.5</v>
      </c>
      <c r="I618" s="70">
        <f>I619</f>
        <v>1490.8</v>
      </c>
      <c r="J618" s="70"/>
      <c r="K618" s="70">
        <f>K619</f>
        <v>1490.8</v>
      </c>
      <c r="L618" s="70">
        <f>L619</f>
        <v>1550.5</v>
      </c>
      <c r="M618" s="70"/>
      <c r="N618" s="70">
        <f>N619</f>
        <v>1550.5</v>
      </c>
    </row>
    <row r="619" spans="1:14" ht="26.25" x14ac:dyDescent="0.25">
      <c r="A619" s="92"/>
      <c r="B619" s="92"/>
      <c r="C619" s="6"/>
      <c r="D619" s="6" t="s">
        <v>470</v>
      </c>
      <c r="E619" s="3" t="s">
        <v>471</v>
      </c>
      <c r="F619" s="70">
        <v>1433.5</v>
      </c>
      <c r="G619" s="70"/>
      <c r="H619" s="70">
        <v>1433.5</v>
      </c>
      <c r="I619" s="70">
        <v>1490.8</v>
      </c>
      <c r="J619" s="70"/>
      <c r="K619" s="70">
        <v>1490.8</v>
      </c>
      <c r="L619" s="70">
        <v>1550.5</v>
      </c>
      <c r="M619" s="70"/>
      <c r="N619" s="70">
        <v>1550.5</v>
      </c>
    </row>
    <row r="620" spans="1:14" x14ac:dyDescent="0.25">
      <c r="A620" s="31"/>
      <c r="B620" s="31"/>
      <c r="C620" s="31" t="s">
        <v>132</v>
      </c>
      <c r="D620" s="31"/>
      <c r="E620" s="32" t="s">
        <v>133</v>
      </c>
      <c r="F620" s="75">
        <f t="shared" ref="F620:N620" si="146">F621</f>
        <v>13355.068460000002</v>
      </c>
      <c r="G620" s="75">
        <f t="shared" si="146"/>
        <v>0</v>
      </c>
      <c r="H620" s="75">
        <f t="shared" si="146"/>
        <v>13355.068460000002</v>
      </c>
      <c r="I620" s="75">
        <f t="shared" si="146"/>
        <v>13441.28579</v>
      </c>
      <c r="J620" s="75"/>
      <c r="K620" s="75">
        <f t="shared" si="146"/>
        <v>13441.28579</v>
      </c>
      <c r="L620" s="75">
        <f t="shared" si="146"/>
        <v>13464.485790000001</v>
      </c>
      <c r="M620" s="75"/>
      <c r="N620" s="75">
        <f t="shared" si="146"/>
        <v>13464.485790000001</v>
      </c>
    </row>
    <row r="621" spans="1:14" ht="26.25" x14ac:dyDescent="0.25">
      <c r="A621" s="33"/>
      <c r="B621" s="33"/>
      <c r="C621" s="33" t="s">
        <v>140</v>
      </c>
      <c r="D621" s="33"/>
      <c r="E621" s="34" t="s">
        <v>141</v>
      </c>
      <c r="F621" s="71">
        <f>F622+F624+F627</f>
        <v>13355.068460000002</v>
      </c>
      <c r="G621" s="71">
        <f>G622+G624+G627</f>
        <v>0</v>
      </c>
      <c r="H621" s="71">
        <f>H622+H624+H627</f>
        <v>13355.068460000002</v>
      </c>
      <c r="I621" s="71">
        <f t="shared" ref="I621:N621" si="147">I622+I624</f>
        <v>13441.28579</v>
      </c>
      <c r="J621" s="71"/>
      <c r="K621" s="71">
        <f t="shared" si="147"/>
        <v>13441.28579</v>
      </c>
      <c r="L621" s="71">
        <f t="shared" si="147"/>
        <v>13464.485790000001</v>
      </c>
      <c r="M621" s="71"/>
      <c r="N621" s="71">
        <f t="shared" si="147"/>
        <v>13464.485790000001</v>
      </c>
    </row>
    <row r="622" spans="1:14" ht="26.25" x14ac:dyDescent="0.25">
      <c r="A622" s="92"/>
      <c r="B622" s="92"/>
      <c r="C622" s="6" t="s">
        <v>142</v>
      </c>
      <c r="D622" s="6"/>
      <c r="E622" s="3" t="s">
        <v>143</v>
      </c>
      <c r="F622" s="70">
        <f>SUM(F623)</f>
        <v>599.4</v>
      </c>
      <c r="G622" s="70"/>
      <c r="H622" s="70">
        <f>SUM(H623)</f>
        <v>599.4</v>
      </c>
      <c r="I622" s="70">
        <f>SUM(I623)</f>
        <v>621.29999999999995</v>
      </c>
      <c r="J622" s="70"/>
      <c r="K622" s="70">
        <f>SUM(K623)</f>
        <v>621.29999999999995</v>
      </c>
      <c r="L622" s="70">
        <f>SUM(L623)</f>
        <v>644.5</v>
      </c>
      <c r="M622" s="70"/>
      <c r="N622" s="70">
        <f>SUM(N623)</f>
        <v>644.5</v>
      </c>
    </row>
    <row r="623" spans="1:14" x14ac:dyDescent="0.25">
      <c r="A623" s="92"/>
      <c r="B623" s="92"/>
      <c r="C623" s="6"/>
      <c r="D623" s="6" t="s">
        <v>423</v>
      </c>
      <c r="E623" s="3" t="s">
        <v>424</v>
      </c>
      <c r="F623" s="70">
        <v>599.4</v>
      </c>
      <c r="G623" s="70"/>
      <c r="H623" s="70">
        <v>599.4</v>
      </c>
      <c r="I623" s="70">
        <v>621.29999999999995</v>
      </c>
      <c r="J623" s="70"/>
      <c r="K623" s="70">
        <v>621.29999999999995</v>
      </c>
      <c r="L623" s="70">
        <v>644.5</v>
      </c>
      <c r="M623" s="70"/>
      <c r="N623" s="70">
        <v>644.5</v>
      </c>
    </row>
    <row r="624" spans="1:14" ht="51.75" x14ac:dyDescent="0.25">
      <c r="A624" s="92"/>
      <c r="B624" s="92"/>
      <c r="C624" s="6" t="s">
        <v>144</v>
      </c>
      <c r="D624" s="6"/>
      <c r="E624" s="3" t="s">
        <v>145</v>
      </c>
      <c r="F624" s="70">
        <f t="shared" ref="F624:N624" si="148">F625+F626</f>
        <v>12716.228460000002</v>
      </c>
      <c r="G624" s="70"/>
      <c r="H624" s="70">
        <f t="shared" si="148"/>
        <v>12716.228460000002</v>
      </c>
      <c r="I624" s="70">
        <f t="shared" si="148"/>
        <v>12819.985790000001</v>
      </c>
      <c r="J624" s="70"/>
      <c r="K624" s="70">
        <f t="shared" si="148"/>
        <v>12819.985790000001</v>
      </c>
      <c r="L624" s="70">
        <f t="shared" si="148"/>
        <v>12819.985790000001</v>
      </c>
      <c r="M624" s="70"/>
      <c r="N624" s="70">
        <f t="shared" si="148"/>
        <v>12819.985790000001</v>
      </c>
    </row>
    <row r="625" spans="1:15" x14ac:dyDescent="0.25">
      <c r="A625" s="92"/>
      <c r="B625" s="92"/>
      <c r="C625" s="6"/>
      <c r="D625" s="6" t="s">
        <v>423</v>
      </c>
      <c r="E625" s="3" t="s">
        <v>424</v>
      </c>
      <c r="F625" s="70">
        <v>5946.1129600000004</v>
      </c>
      <c r="G625" s="70"/>
      <c r="H625" s="70">
        <f>5817.8+128.31296</f>
        <v>5946.1129600000004</v>
      </c>
      <c r="I625" s="70">
        <v>5994.7872900000002</v>
      </c>
      <c r="J625" s="70"/>
      <c r="K625" s="70">
        <f>5865.2+129.58729</f>
        <v>5994.7872900000002</v>
      </c>
      <c r="L625" s="70">
        <v>5994.7872900000002</v>
      </c>
      <c r="M625" s="70"/>
      <c r="N625" s="70">
        <f>5865.2+129.58729</f>
        <v>5994.7872900000002</v>
      </c>
    </row>
    <row r="626" spans="1:15" ht="26.25" x14ac:dyDescent="0.25">
      <c r="A626" s="92"/>
      <c r="B626" s="92"/>
      <c r="C626" s="6"/>
      <c r="D626" s="6" t="s">
        <v>470</v>
      </c>
      <c r="E626" s="3" t="s">
        <v>471</v>
      </c>
      <c r="F626" s="70">
        <v>6770.1155000000008</v>
      </c>
      <c r="G626" s="70"/>
      <c r="H626" s="70">
        <f>6968.6-198.4845</f>
        <v>6770.1155000000008</v>
      </c>
      <c r="I626" s="70">
        <v>6825.1985000000004</v>
      </c>
      <c r="J626" s="70"/>
      <c r="K626" s="70">
        <f>7025.3-200.1015</f>
        <v>6825.1985000000004</v>
      </c>
      <c r="L626" s="70">
        <v>6825.1985000000004</v>
      </c>
      <c r="M626" s="70"/>
      <c r="N626" s="70">
        <f>7025.3-200.1015</f>
        <v>6825.1985000000004</v>
      </c>
      <c r="O626" s="25" t="s">
        <v>922</v>
      </c>
    </row>
    <row r="627" spans="1:15" ht="26.25" x14ac:dyDescent="0.25">
      <c r="A627" s="92"/>
      <c r="B627" s="92"/>
      <c r="C627" s="6" t="s">
        <v>887</v>
      </c>
      <c r="D627" s="6"/>
      <c r="E627" s="3" t="s">
        <v>888</v>
      </c>
      <c r="F627" s="70">
        <v>39.44</v>
      </c>
      <c r="G627" s="70"/>
      <c r="H627" s="70">
        <v>39.44</v>
      </c>
      <c r="I627" s="70"/>
      <c r="J627" s="70"/>
      <c r="K627" s="70">
        <v>0</v>
      </c>
      <c r="L627" s="70"/>
      <c r="M627" s="70"/>
      <c r="N627" s="70">
        <v>0</v>
      </c>
    </row>
    <row r="628" spans="1:15" x14ac:dyDescent="0.25">
      <c r="A628" s="92"/>
      <c r="B628" s="92"/>
      <c r="C628" s="6"/>
      <c r="D628" s="6" t="s">
        <v>280</v>
      </c>
      <c r="E628" s="3" t="s">
        <v>281</v>
      </c>
      <c r="F628" s="70">
        <v>39.44</v>
      </c>
      <c r="G628" s="70"/>
      <c r="H628" s="70">
        <v>39.44</v>
      </c>
      <c r="I628" s="70"/>
      <c r="J628" s="70"/>
      <c r="K628" s="70">
        <v>0</v>
      </c>
      <c r="L628" s="70"/>
      <c r="M628" s="70"/>
      <c r="N628" s="70">
        <v>0</v>
      </c>
    </row>
    <row r="629" spans="1:15" x14ac:dyDescent="0.25">
      <c r="A629" s="92"/>
      <c r="B629" s="92"/>
      <c r="C629" s="6"/>
      <c r="D629" s="6"/>
      <c r="E629" s="3" t="s">
        <v>84</v>
      </c>
      <c r="F629" s="70">
        <v>39.44</v>
      </c>
      <c r="G629" s="70"/>
      <c r="H629" s="70">
        <v>39.44</v>
      </c>
      <c r="I629" s="70"/>
      <c r="J629" s="70"/>
      <c r="K629" s="70">
        <v>0</v>
      </c>
      <c r="L629" s="70"/>
      <c r="M629" s="70"/>
      <c r="N629" s="70">
        <v>0</v>
      </c>
    </row>
    <row r="630" spans="1:15" x14ac:dyDescent="0.25">
      <c r="A630" s="102"/>
      <c r="B630" s="17">
        <v>1004</v>
      </c>
      <c r="C630" s="103"/>
      <c r="D630" s="102"/>
      <c r="E630" s="96" t="s">
        <v>632</v>
      </c>
      <c r="F630" s="74">
        <f t="shared" ref="F630:H635" si="149">F631</f>
        <v>3972.1</v>
      </c>
      <c r="G630" s="74"/>
      <c r="H630" s="74">
        <f t="shared" si="149"/>
        <v>3972.1</v>
      </c>
      <c r="I630" s="74">
        <f t="shared" ref="I630:N635" si="150">I631</f>
        <v>4340</v>
      </c>
      <c r="J630" s="74"/>
      <c r="K630" s="74">
        <f t="shared" si="150"/>
        <v>4340</v>
      </c>
      <c r="L630" s="74">
        <f t="shared" si="150"/>
        <v>4227.5</v>
      </c>
      <c r="M630" s="74"/>
      <c r="N630" s="74">
        <f t="shared" si="150"/>
        <v>4227.5</v>
      </c>
    </row>
    <row r="631" spans="1:15" x14ac:dyDescent="0.25">
      <c r="A631" s="102"/>
      <c r="B631" s="17"/>
      <c r="C631" s="103" t="s">
        <v>5</v>
      </c>
      <c r="D631" s="17"/>
      <c r="E631" s="7" t="s">
        <v>593</v>
      </c>
      <c r="F631" s="74">
        <f t="shared" si="149"/>
        <v>3972.1</v>
      </c>
      <c r="G631" s="74"/>
      <c r="H631" s="74">
        <f t="shared" si="149"/>
        <v>3972.1</v>
      </c>
      <c r="I631" s="74">
        <f t="shared" si="150"/>
        <v>4340</v>
      </c>
      <c r="J631" s="74"/>
      <c r="K631" s="74">
        <f t="shared" si="150"/>
        <v>4340</v>
      </c>
      <c r="L631" s="74">
        <f t="shared" si="150"/>
        <v>4227.5</v>
      </c>
      <c r="M631" s="74"/>
      <c r="N631" s="74">
        <f t="shared" si="150"/>
        <v>4227.5</v>
      </c>
    </row>
    <row r="632" spans="1:15" ht="25.5" x14ac:dyDescent="0.25">
      <c r="A632" s="105"/>
      <c r="B632" s="106"/>
      <c r="C632" s="107" t="s">
        <v>57</v>
      </c>
      <c r="D632" s="106"/>
      <c r="E632" s="108" t="s">
        <v>58</v>
      </c>
      <c r="F632" s="109">
        <f t="shared" si="149"/>
        <v>3972.1</v>
      </c>
      <c r="G632" s="109"/>
      <c r="H632" s="109">
        <f t="shared" si="149"/>
        <v>3972.1</v>
      </c>
      <c r="I632" s="109">
        <f t="shared" si="150"/>
        <v>4340</v>
      </c>
      <c r="J632" s="109"/>
      <c r="K632" s="109">
        <f t="shared" si="150"/>
        <v>4340</v>
      </c>
      <c r="L632" s="109">
        <f t="shared" si="150"/>
        <v>4227.5</v>
      </c>
      <c r="M632" s="109"/>
      <c r="N632" s="109">
        <f t="shared" si="150"/>
        <v>4227.5</v>
      </c>
    </row>
    <row r="633" spans="1:15" x14ac:dyDescent="0.25">
      <c r="A633" s="126"/>
      <c r="B633" s="127"/>
      <c r="C633" s="128" t="s">
        <v>59</v>
      </c>
      <c r="D633" s="127"/>
      <c r="E633" s="129" t="s">
        <v>60</v>
      </c>
      <c r="F633" s="130">
        <f t="shared" si="149"/>
        <v>3972.1</v>
      </c>
      <c r="G633" s="130"/>
      <c r="H633" s="130">
        <f t="shared" si="149"/>
        <v>3972.1</v>
      </c>
      <c r="I633" s="130">
        <f t="shared" si="150"/>
        <v>4340</v>
      </c>
      <c r="J633" s="130"/>
      <c r="K633" s="130">
        <f t="shared" si="150"/>
        <v>4340</v>
      </c>
      <c r="L633" s="130">
        <f t="shared" si="150"/>
        <v>4227.5</v>
      </c>
      <c r="M633" s="130"/>
      <c r="N633" s="130">
        <f t="shared" si="150"/>
        <v>4227.5</v>
      </c>
    </row>
    <row r="634" spans="1:15" ht="26.25" x14ac:dyDescent="0.25">
      <c r="A634" s="33"/>
      <c r="B634" s="33"/>
      <c r="C634" s="33" t="s">
        <v>61</v>
      </c>
      <c r="D634" s="33"/>
      <c r="E634" s="34" t="s">
        <v>76</v>
      </c>
      <c r="F634" s="71">
        <f t="shared" si="149"/>
        <v>3972.1</v>
      </c>
      <c r="G634" s="71"/>
      <c r="H634" s="71">
        <f t="shared" si="149"/>
        <v>3972.1</v>
      </c>
      <c r="I634" s="71">
        <f t="shared" si="150"/>
        <v>4340</v>
      </c>
      <c r="J634" s="71"/>
      <c r="K634" s="71">
        <f t="shared" si="150"/>
        <v>4340</v>
      </c>
      <c r="L634" s="71">
        <f t="shared" si="150"/>
        <v>4227.5</v>
      </c>
      <c r="M634" s="71"/>
      <c r="N634" s="71">
        <f t="shared" si="150"/>
        <v>4227.5</v>
      </c>
    </row>
    <row r="635" spans="1:15" ht="39" x14ac:dyDescent="0.25">
      <c r="A635" s="92"/>
      <c r="B635" s="92"/>
      <c r="C635" s="6" t="s">
        <v>67</v>
      </c>
      <c r="D635" s="6"/>
      <c r="E635" s="3" t="s">
        <v>68</v>
      </c>
      <c r="F635" s="70">
        <f t="shared" si="149"/>
        <v>3972.1</v>
      </c>
      <c r="G635" s="70"/>
      <c r="H635" s="70">
        <f t="shared" si="149"/>
        <v>3972.1</v>
      </c>
      <c r="I635" s="70">
        <f t="shared" si="150"/>
        <v>4340</v>
      </c>
      <c r="J635" s="70"/>
      <c r="K635" s="70">
        <f t="shared" si="150"/>
        <v>4340</v>
      </c>
      <c r="L635" s="70">
        <f t="shared" si="150"/>
        <v>4227.5</v>
      </c>
      <c r="M635" s="70"/>
      <c r="N635" s="70">
        <f t="shared" si="150"/>
        <v>4227.5</v>
      </c>
    </row>
    <row r="636" spans="1:15" ht="26.25" x14ac:dyDescent="0.25">
      <c r="A636" s="92"/>
      <c r="B636" s="92"/>
      <c r="C636" s="6"/>
      <c r="D636" s="6" t="s">
        <v>470</v>
      </c>
      <c r="E636" s="3" t="s">
        <v>471</v>
      </c>
      <c r="F636" s="70">
        <v>3972.1</v>
      </c>
      <c r="G636" s="70"/>
      <c r="H636" s="70">
        <v>3972.1</v>
      </c>
      <c r="I636" s="70">
        <v>4340</v>
      </c>
      <c r="J636" s="70"/>
      <c r="K636" s="70">
        <v>4340</v>
      </c>
      <c r="L636" s="70">
        <v>4227.5</v>
      </c>
      <c r="M636" s="70"/>
      <c r="N636" s="70">
        <v>4227.5</v>
      </c>
    </row>
    <row r="637" spans="1:15" x14ac:dyDescent="0.25">
      <c r="A637" s="68"/>
      <c r="B637" s="17">
        <v>1100</v>
      </c>
      <c r="C637" s="103"/>
      <c r="D637" s="102"/>
      <c r="E637" s="96" t="s">
        <v>645</v>
      </c>
      <c r="F637" s="74">
        <f t="shared" ref="F637:N639" si="151">F638</f>
        <v>5581.03</v>
      </c>
      <c r="G637" s="74">
        <f t="shared" si="151"/>
        <v>0</v>
      </c>
      <c r="H637" s="74">
        <f t="shared" si="151"/>
        <v>5581.03</v>
      </c>
      <c r="I637" s="74">
        <f t="shared" si="151"/>
        <v>0</v>
      </c>
      <c r="J637" s="74">
        <f t="shared" si="151"/>
        <v>0</v>
      </c>
      <c r="K637" s="74">
        <f t="shared" si="151"/>
        <v>0</v>
      </c>
      <c r="L637" s="74">
        <f t="shared" si="151"/>
        <v>0</v>
      </c>
      <c r="M637" s="74"/>
      <c r="N637" s="74">
        <f t="shared" si="151"/>
        <v>0</v>
      </c>
    </row>
    <row r="638" spans="1:15" x14ac:dyDescent="0.25">
      <c r="A638" s="68"/>
      <c r="B638" s="17" t="s">
        <v>646</v>
      </c>
      <c r="C638" s="103"/>
      <c r="D638" s="17"/>
      <c r="E638" s="123" t="s">
        <v>647</v>
      </c>
      <c r="F638" s="74">
        <f t="shared" si="151"/>
        <v>5581.03</v>
      </c>
      <c r="G638" s="74">
        <f t="shared" si="151"/>
        <v>0</v>
      </c>
      <c r="H638" s="74">
        <f t="shared" si="151"/>
        <v>5581.03</v>
      </c>
      <c r="I638" s="74">
        <f t="shared" si="151"/>
        <v>0</v>
      </c>
      <c r="J638" s="74">
        <f t="shared" si="151"/>
        <v>0</v>
      </c>
      <c r="K638" s="74">
        <f t="shared" si="151"/>
        <v>0</v>
      </c>
      <c r="L638" s="74">
        <f t="shared" si="151"/>
        <v>0</v>
      </c>
      <c r="M638" s="74"/>
      <c r="N638" s="74">
        <f t="shared" si="151"/>
        <v>0</v>
      </c>
    </row>
    <row r="639" spans="1:15" x14ac:dyDescent="0.25">
      <c r="A639" s="68"/>
      <c r="B639" s="17"/>
      <c r="C639" s="103" t="s">
        <v>5</v>
      </c>
      <c r="D639" s="17"/>
      <c r="E639" s="123" t="s">
        <v>6</v>
      </c>
      <c r="F639" s="74">
        <f t="shared" si="151"/>
        <v>5581.03</v>
      </c>
      <c r="G639" s="74">
        <f t="shared" si="151"/>
        <v>0</v>
      </c>
      <c r="H639" s="74">
        <f t="shared" si="151"/>
        <v>5581.03</v>
      </c>
      <c r="I639" s="74">
        <f t="shared" si="151"/>
        <v>0</v>
      </c>
      <c r="J639" s="74">
        <f t="shared" si="151"/>
        <v>0</v>
      </c>
      <c r="K639" s="74">
        <f t="shared" si="151"/>
        <v>0</v>
      </c>
      <c r="L639" s="74">
        <f t="shared" si="151"/>
        <v>0</v>
      </c>
      <c r="M639" s="74"/>
      <c r="N639" s="74">
        <f t="shared" si="151"/>
        <v>0</v>
      </c>
    </row>
    <row r="640" spans="1:15" ht="25.5" x14ac:dyDescent="0.25">
      <c r="A640" s="105"/>
      <c r="B640" s="106"/>
      <c r="C640" s="107" t="s">
        <v>255</v>
      </c>
      <c r="D640" s="106"/>
      <c r="E640" s="108" t="s">
        <v>256</v>
      </c>
      <c r="F640" s="109">
        <f t="shared" ref="F640:L640" si="152">F641+F652+F647</f>
        <v>5581.03</v>
      </c>
      <c r="G640" s="109">
        <f t="shared" si="152"/>
        <v>0</v>
      </c>
      <c r="H640" s="109">
        <f t="shared" si="152"/>
        <v>5581.03</v>
      </c>
      <c r="I640" s="109">
        <f t="shared" si="152"/>
        <v>0</v>
      </c>
      <c r="J640" s="109">
        <f t="shared" si="152"/>
        <v>0</v>
      </c>
      <c r="K640" s="109">
        <f t="shared" si="152"/>
        <v>0</v>
      </c>
      <c r="L640" s="109">
        <f t="shared" si="152"/>
        <v>0</v>
      </c>
      <c r="M640" s="109"/>
      <c r="N640" s="109">
        <f>N641+N652+N647</f>
        <v>0</v>
      </c>
    </row>
    <row r="641" spans="1:14" ht="26.25" x14ac:dyDescent="0.25">
      <c r="A641" s="33"/>
      <c r="B641" s="33"/>
      <c r="C641" s="33" t="s">
        <v>257</v>
      </c>
      <c r="D641" s="33"/>
      <c r="E641" s="34" t="s">
        <v>684</v>
      </c>
      <c r="F641" s="71">
        <f>F642+F644</f>
        <v>1581.03</v>
      </c>
      <c r="G641" s="71">
        <f>G642+G644</f>
        <v>0</v>
      </c>
      <c r="H641" s="71">
        <f>H642+H644</f>
        <v>1581.03</v>
      </c>
      <c r="I641" s="71">
        <f t="shared" ref="F641:N642" si="153">I642</f>
        <v>0</v>
      </c>
      <c r="J641" s="71"/>
      <c r="K641" s="71">
        <f t="shared" si="153"/>
        <v>0</v>
      </c>
      <c r="L641" s="71">
        <f t="shared" si="153"/>
        <v>0</v>
      </c>
      <c r="M641" s="71"/>
      <c r="N641" s="71">
        <f t="shared" si="153"/>
        <v>0</v>
      </c>
    </row>
    <row r="642" spans="1:14" ht="39" x14ac:dyDescent="0.25">
      <c r="A642" s="92"/>
      <c r="B642" s="92"/>
      <c r="C642" s="6" t="s">
        <v>259</v>
      </c>
      <c r="D642" s="6"/>
      <c r="E642" s="3" t="s">
        <v>260</v>
      </c>
      <c r="F642" s="70">
        <f t="shared" si="153"/>
        <v>1442.7</v>
      </c>
      <c r="G642" s="70"/>
      <c r="H642" s="70">
        <f t="shared" si="153"/>
        <v>1442.7</v>
      </c>
      <c r="I642" s="70">
        <f t="shared" si="153"/>
        <v>0</v>
      </c>
      <c r="J642" s="70"/>
      <c r="K642" s="70">
        <f t="shared" si="153"/>
        <v>0</v>
      </c>
      <c r="L642" s="70">
        <f t="shared" si="153"/>
        <v>0</v>
      </c>
      <c r="M642" s="70"/>
      <c r="N642" s="70">
        <f t="shared" si="153"/>
        <v>0</v>
      </c>
    </row>
    <row r="643" spans="1:14" ht="26.25" x14ac:dyDescent="0.25">
      <c r="A643" s="92"/>
      <c r="B643" s="92"/>
      <c r="C643" s="6"/>
      <c r="D643" s="6" t="s">
        <v>470</v>
      </c>
      <c r="E643" s="3" t="s">
        <v>471</v>
      </c>
      <c r="F643" s="70">
        <v>1442.7</v>
      </c>
      <c r="G643" s="70"/>
      <c r="H643" s="70">
        <v>1442.7</v>
      </c>
      <c r="I643" s="70">
        <v>0</v>
      </c>
      <c r="J643" s="70"/>
      <c r="K643" s="70">
        <v>0</v>
      </c>
      <c r="L643" s="70">
        <v>0</v>
      </c>
      <c r="M643" s="70"/>
      <c r="N643" s="70">
        <v>0</v>
      </c>
    </row>
    <row r="644" spans="1:14" x14ac:dyDescent="0.25">
      <c r="A644" s="92"/>
      <c r="B644" s="92"/>
      <c r="C644" s="6" t="s">
        <v>835</v>
      </c>
      <c r="D644" s="6"/>
      <c r="E644" s="3" t="s">
        <v>836</v>
      </c>
      <c r="F644" s="70">
        <f t="shared" ref="F644:H645" si="154">F645</f>
        <v>138.33000000000001</v>
      </c>
      <c r="G644" s="70"/>
      <c r="H644" s="70">
        <f t="shared" si="154"/>
        <v>138.33000000000001</v>
      </c>
      <c r="I644" s="70"/>
      <c r="J644" s="70"/>
      <c r="K644" s="70">
        <v>0</v>
      </c>
      <c r="L644" s="70"/>
      <c r="M644" s="70"/>
      <c r="N644" s="70">
        <v>0</v>
      </c>
    </row>
    <row r="645" spans="1:14" ht="26.25" x14ac:dyDescent="0.25">
      <c r="A645" s="92"/>
      <c r="B645" s="92"/>
      <c r="C645" s="6"/>
      <c r="D645" s="6" t="s">
        <v>470</v>
      </c>
      <c r="E645" s="3" t="s">
        <v>471</v>
      </c>
      <c r="F645" s="70">
        <f t="shared" si="154"/>
        <v>138.33000000000001</v>
      </c>
      <c r="G645" s="70"/>
      <c r="H645" s="70">
        <f t="shared" si="154"/>
        <v>138.33000000000001</v>
      </c>
      <c r="I645" s="70"/>
      <c r="J645" s="70"/>
      <c r="K645" s="70">
        <v>0</v>
      </c>
      <c r="L645" s="70"/>
      <c r="M645" s="70"/>
      <c r="N645" s="70">
        <v>0</v>
      </c>
    </row>
    <row r="646" spans="1:14" x14ac:dyDescent="0.25">
      <c r="A646" s="92"/>
      <c r="B646" s="92"/>
      <c r="C646" s="6"/>
      <c r="D646" s="6"/>
      <c r="E646" s="1" t="s">
        <v>150</v>
      </c>
      <c r="F646" s="70">
        <v>138.33000000000001</v>
      </c>
      <c r="G646" s="80"/>
      <c r="H646" s="70">
        <f>SUM(F646:G646)</f>
        <v>138.33000000000001</v>
      </c>
      <c r="I646" s="70"/>
      <c r="J646" s="70"/>
      <c r="K646" s="70">
        <v>0</v>
      </c>
      <c r="L646" s="70"/>
      <c r="M646" s="70"/>
      <c r="N646" s="70">
        <v>0</v>
      </c>
    </row>
    <row r="647" spans="1:14" ht="26.25" x14ac:dyDescent="0.25">
      <c r="A647" s="33"/>
      <c r="B647" s="33"/>
      <c r="C647" s="33" t="s">
        <v>261</v>
      </c>
      <c r="D647" s="33"/>
      <c r="E647" s="34" t="s">
        <v>262</v>
      </c>
      <c r="F647" s="71">
        <f t="shared" ref="F647:N648" si="155">F648</f>
        <v>4000</v>
      </c>
      <c r="G647" s="71">
        <f t="shared" si="155"/>
        <v>0</v>
      </c>
      <c r="H647" s="71">
        <f t="shared" si="155"/>
        <v>4000</v>
      </c>
      <c r="I647" s="71">
        <f t="shared" si="155"/>
        <v>0</v>
      </c>
      <c r="J647" s="71"/>
      <c r="K647" s="71">
        <f t="shared" si="155"/>
        <v>0</v>
      </c>
      <c r="L647" s="71">
        <f t="shared" si="155"/>
        <v>0</v>
      </c>
      <c r="M647" s="71"/>
      <c r="N647" s="71">
        <f t="shared" si="155"/>
        <v>0</v>
      </c>
    </row>
    <row r="648" spans="1:14" ht="26.25" x14ac:dyDescent="0.25">
      <c r="A648" s="92"/>
      <c r="B648" s="92"/>
      <c r="C648" s="6" t="s">
        <v>263</v>
      </c>
      <c r="D648" s="6"/>
      <c r="E648" s="3" t="s">
        <v>264</v>
      </c>
      <c r="F648" s="70">
        <f t="shared" si="155"/>
        <v>4000</v>
      </c>
      <c r="G648" s="70"/>
      <c r="H648" s="70">
        <f t="shared" si="155"/>
        <v>4000</v>
      </c>
      <c r="I648" s="70">
        <f t="shared" si="155"/>
        <v>0</v>
      </c>
      <c r="J648" s="70"/>
      <c r="K648" s="70">
        <f t="shared" si="155"/>
        <v>0</v>
      </c>
      <c r="L648" s="70">
        <f t="shared" si="155"/>
        <v>0</v>
      </c>
      <c r="M648" s="70"/>
      <c r="N648" s="70">
        <f t="shared" si="155"/>
        <v>0</v>
      </c>
    </row>
    <row r="649" spans="1:14" ht="26.25" x14ac:dyDescent="0.25">
      <c r="A649" s="92"/>
      <c r="B649" s="92"/>
      <c r="C649" s="6"/>
      <c r="D649" s="6" t="s">
        <v>470</v>
      </c>
      <c r="E649" s="3" t="s">
        <v>471</v>
      </c>
      <c r="F649" s="70">
        <f>F650+F651</f>
        <v>4000</v>
      </c>
      <c r="G649" s="70"/>
      <c r="H649" s="70">
        <f>H650+H651</f>
        <v>4000</v>
      </c>
      <c r="I649" s="70">
        <f>I650+I651</f>
        <v>0</v>
      </c>
      <c r="J649" s="70"/>
      <c r="K649" s="70">
        <f>K650+K651</f>
        <v>0</v>
      </c>
      <c r="L649" s="70">
        <v>0</v>
      </c>
      <c r="M649" s="70"/>
      <c r="N649" s="70">
        <v>0</v>
      </c>
    </row>
    <row r="650" spans="1:14" x14ac:dyDescent="0.25">
      <c r="A650" s="92"/>
      <c r="B650" s="92"/>
      <c r="C650" s="6"/>
      <c r="D650" s="6"/>
      <c r="E650" s="3" t="s">
        <v>152</v>
      </c>
      <c r="F650" s="70">
        <v>3000</v>
      </c>
      <c r="G650" s="70"/>
      <c r="H650" s="70">
        <v>3000</v>
      </c>
      <c r="I650" s="70">
        <v>0</v>
      </c>
      <c r="J650" s="70"/>
      <c r="K650" s="70">
        <v>0</v>
      </c>
      <c r="L650" s="80">
        <v>0</v>
      </c>
      <c r="M650" s="80"/>
      <c r="N650" s="80">
        <v>0</v>
      </c>
    </row>
    <row r="651" spans="1:14" x14ac:dyDescent="0.25">
      <c r="A651" s="92"/>
      <c r="B651" s="92"/>
      <c r="C651" s="6"/>
      <c r="D651" s="6"/>
      <c r="E651" s="3" t="s">
        <v>105</v>
      </c>
      <c r="F651" s="70">
        <v>1000</v>
      </c>
      <c r="G651" s="70"/>
      <c r="H651" s="70">
        <v>1000</v>
      </c>
      <c r="I651" s="70">
        <v>0</v>
      </c>
      <c r="J651" s="70"/>
      <c r="K651" s="70">
        <v>0</v>
      </c>
      <c r="L651" s="70">
        <v>0</v>
      </c>
      <c r="M651" s="70"/>
      <c r="N651" s="70">
        <v>0</v>
      </c>
    </row>
    <row r="652" spans="1:14" ht="26.25" x14ac:dyDescent="0.25">
      <c r="A652" s="33"/>
      <c r="B652" s="33"/>
      <c r="C652" s="33" t="s">
        <v>440</v>
      </c>
      <c r="D652" s="33"/>
      <c r="E652" s="34" t="s">
        <v>441</v>
      </c>
      <c r="F652" s="71">
        <f>F653</f>
        <v>0</v>
      </c>
      <c r="G652" s="71"/>
      <c r="H652" s="71">
        <f>H653</f>
        <v>0</v>
      </c>
      <c r="I652" s="71">
        <f t="shared" ref="I652:N652" si="156">I653</f>
        <v>0</v>
      </c>
      <c r="J652" s="71">
        <f t="shared" si="156"/>
        <v>0</v>
      </c>
      <c r="K652" s="71">
        <f t="shared" si="156"/>
        <v>0</v>
      </c>
      <c r="L652" s="71">
        <f t="shared" si="156"/>
        <v>0</v>
      </c>
      <c r="M652" s="71"/>
      <c r="N652" s="71">
        <f t="shared" si="156"/>
        <v>0</v>
      </c>
    </row>
    <row r="653" spans="1:14" x14ac:dyDescent="0.25">
      <c r="A653" s="92"/>
      <c r="B653" s="92"/>
      <c r="C653" s="6" t="s">
        <v>442</v>
      </c>
      <c r="D653" s="6"/>
      <c r="E653" s="3" t="s">
        <v>265</v>
      </c>
      <c r="F653" s="70">
        <v>0</v>
      </c>
      <c r="G653" s="70"/>
      <c r="H653" s="70">
        <v>0</v>
      </c>
      <c r="I653" s="70">
        <v>0</v>
      </c>
      <c r="J653" s="70"/>
      <c r="K653" s="70">
        <v>0</v>
      </c>
      <c r="L653" s="70">
        <v>0</v>
      </c>
      <c r="M653" s="70"/>
      <c r="N653" s="70">
        <v>0</v>
      </c>
    </row>
    <row r="654" spans="1:14" ht="26.25" x14ac:dyDescent="0.25">
      <c r="A654" s="92"/>
      <c r="B654" s="92"/>
      <c r="C654" s="6"/>
      <c r="D654" s="6" t="s">
        <v>470</v>
      </c>
      <c r="E654" s="3" t="s">
        <v>471</v>
      </c>
      <c r="F654" s="70">
        <v>0</v>
      </c>
      <c r="G654" s="70"/>
      <c r="H654" s="70">
        <v>0</v>
      </c>
      <c r="I654" s="70">
        <v>0</v>
      </c>
      <c r="J654" s="70"/>
      <c r="K654" s="70">
        <v>0</v>
      </c>
      <c r="L654" s="70">
        <v>0</v>
      </c>
      <c r="M654" s="70"/>
      <c r="N654" s="70">
        <v>0</v>
      </c>
    </row>
    <row r="655" spans="1:14" x14ac:dyDescent="0.25">
      <c r="A655" s="92"/>
      <c r="B655" s="92"/>
      <c r="C655" s="6"/>
      <c r="D655" s="6"/>
      <c r="E655" s="3" t="s">
        <v>152</v>
      </c>
      <c r="F655" s="80">
        <v>0</v>
      </c>
      <c r="G655" s="80"/>
      <c r="H655" s="80">
        <v>0</v>
      </c>
      <c r="I655" s="80">
        <v>0</v>
      </c>
      <c r="J655" s="80"/>
      <c r="K655" s="80">
        <v>0</v>
      </c>
      <c r="L655" s="80">
        <v>0</v>
      </c>
      <c r="M655" s="80"/>
      <c r="N655" s="80">
        <v>0</v>
      </c>
    </row>
    <row r="656" spans="1:14" x14ac:dyDescent="0.25">
      <c r="A656" s="92"/>
      <c r="B656" s="92"/>
      <c r="C656" s="6"/>
      <c r="D656" s="6"/>
      <c r="E656" s="3" t="s">
        <v>105</v>
      </c>
      <c r="F656" s="70">
        <v>0</v>
      </c>
      <c r="G656" s="70"/>
      <c r="H656" s="70">
        <v>0</v>
      </c>
      <c r="I656" s="70">
        <v>0</v>
      </c>
      <c r="J656" s="70"/>
      <c r="K656" s="70">
        <v>0</v>
      </c>
      <c r="L656" s="70">
        <v>0</v>
      </c>
      <c r="M656" s="70"/>
      <c r="N656" s="70">
        <v>0</v>
      </c>
    </row>
    <row r="657" spans="1:14" ht="25.5" x14ac:dyDescent="0.25">
      <c r="A657" s="100">
        <v>621</v>
      </c>
      <c r="B657" s="147"/>
      <c r="C657" s="148"/>
      <c r="D657" s="100"/>
      <c r="E657" s="101" t="s">
        <v>648</v>
      </c>
      <c r="F657" s="83">
        <f>F658+F674+F700+F751+F763+F770</f>
        <v>95871.199670000002</v>
      </c>
      <c r="G657" s="83">
        <f>G658+G674+G700+G751+G763+G770</f>
        <v>3935.0000000000005</v>
      </c>
      <c r="H657" s="83">
        <f t="shared" ref="H657:M657" si="157">H658+H674+H700+H751+H763+H770</f>
        <v>99806.199669999987</v>
      </c>
      <c r="I657" s="83">
        <f t="shared" si="157"/>
        <v>94230.270600000003</v>
      </c>
      <c r="J657" s="83">
        <f t="shared" si="157"/>
        <v>2600</v>
      </c>
      <c r="K657" s="83">
        <f t="shared" si="157"/>
        <v>96830.270600000003</v>
      </c>
      <c r="L657" s="83">
        <f t="shared" si="157"/>
        <v>92411.270600000003</v>
      </c>
      <c r="M657" s="83">
        <f t="shared" si="157"/>
        <v>0</v>
      </c>
      <c r="N657" s="83">
        <f>N658+N674+N700+N751+N763+N770</f>
        <v>92411.270600000003</v>
      </c>
    </row>
    <row r="658" spans="1:14" x14ac:dyDescent="0.25">
      <c r="A658" s="150"/>
      <c r="B658" s="17" t="s">
        <v>564</v>
      </c>
      <c r="C658" s="103"/>
      <c r="D658" s="102"/>
      <c r="E658" s="96" t="s">
        <v>572</v>
      </c>
      <c r="F658" s="74">
        <f>F659</f>
        <v>96.5</v>
      </c>
      <c r="G658" s="74"/>
      <c r="H658" s="74">
        <f>H659</f>
        <v>96.5</v>
      </c>
      <c r="I658" s="74">
        <f t="shared" ref="I658:N660" si="158">I659</f>
        <v>100.4</v>
      </c>
      <c r="J658" s="74"/>
      <c r="K658" s="74">
        <f t="shared" si="158"/>
        <v>100.4</v>
      </c>
      <c r="L658" s="74">
        <f t="shared" si="158"/>
        <v>104.4</v>
      </c>
      <c r="M658" s="74"/>
      <c r="N658" s="74">
        <f t="shared" si="158"/>
        <v>104.4</v>
      </c>
    </row>
    <row r="659" spans="1:14" x14ac:dyDescent="0.25">
      <c r="A659" s="150"/>
      <c r="B659" s="17" t="s">
        <v>569</v>
      </c>
      <c r="C659" s="103"/>
      <c r="D659" s="102"/>
      <c r="E659" s="96" t="s">
        <v>580</v>
      </c>
      <c r="F659" s="74">
        <f>F660</f>
        <v>96.5</v>
      </c>
      <c r="G659" s="74"/>
      <c r="H659" s="74">
        <f>H660</f>
        <v>96.5</v>
      </c>
      <c r="I659" s="74">
        <f t="shared" si="158"/>
        <v>100.4</v>
      </c>
      <c r="J659" s="74"/>
      <c r="K659" s="74">
        <f t="shared" si="158"/>
        <v>100.4</v>
      </c>
      <c r="L659" s="74">
        <f t="shared" si="158"/>
        <v>104.4</v>
      </c>
      <c r="M659" s="74"/>
      <c r="N659" s="74">
        <f t="shared" si="158"/>
        <v>104.4</v>
      </c>
    </row>
    <row r="660" spans="1:14" x14ac:dyDescent="0.25">
      <c r="A660" s="151"/>
      <c r="B660" s="17"/>
      <c r="C660" s="103" t="s">
        <v>5</v>
      </c>
      <c r="D660" s="102"/>
      <c r="E660" s="123" t="s">
        <v>6</v>
      </c>
      <c r="F660" s="74">
        <f>F661</f>
        <v>96.5</v>
      </c>
      <c r="G660" s="74"/>
      <c r="H660" s="74">
        <f>H661</f>
        <v>96.5</v>
      </c>
      <c r="I660" s="74">
        <f t="shared" si="158"/>
        <v>100.4</v>
      </c>
      <c r="J660" s="74"/>
      <c r="K660" s="74">
        <f t="shared" si="158"/>
        <v>100.4</v>
      </c>
      <c r="L660" s="74">
        <f t="shared" si="158"/>
        <v>104.4</v>
      </c>
      <c r="M660" s="74"/>
      <c r="N660" s="74">
        <f t="shared" si="158"/>
        <v>104.4</v>
      </c>
    </row>
    <row r="661" spans="1:14" ht="25.5" x14ac:dyDescent="0.25">
      <c r="A661" s="105"/>
      <c r="B661" s="106"/>
      <c r="C661" s="107" t="s">
        <v>159</v>
      </c>
      <c r="D661" s="106"/>
      <c r="E661" s="108" t="s">
        <v>160</v>
      </c>
      <c r="F661" s="109">
        <f>F662+F666+F670</f>
        <v>96.5</v>
      </c>
      <c r="G661" s="109"/>
      <c r="H661" s="109">
        <f>H662+H666+H670</f>
        <v>96.5</v>
      </c>
      <c r="I661" s="109">
        <f>I662+I666+I670</f>
        <v>100.4</v>
      </c>
      <c r="J661" s="109"/>
      <c r="K661" s="109">
        <f>K662+K666+K670</f>
        <v>100.4</v>
      </c>
      <c r="L661" s="109">
        <f>L662+L666+L670</f>
        <v>104.4</v>
      </c>
      <c r="M661" s="109"/>
      <c r="N661" s="109">
        <f>N662+N666+N670</f>
        <v>104.4</v>
      </c>
    </row>
    <row r="662" spans="1:14" ht="26.25" x14ac:dyDescent="0.25">
      <c r="A662" s="31"/>
      <c r="B662" s="31"/>
      <c r="C662" s="31" t="s">
        <v>167</v>
      </c>
      <c r="D662" s="31"/>
      <c r="E662" s="32" t="s">
        <v>168</v>
      </c>
      <c r="F662" s="75">
        <f t="shared" ref="F662:N663" si="159">F663</f>
        <v>10</v>
      </c>
      <c r="G662" s="75"/>
      <c r="H662" s="75">
        <f t="shared" si="159"/>
        <v>10</v>
      </c>
      <c r="I662" s="75">
        <f t="shared" si="159"/>
        <v>10.4</v>
      </c>
      <c r="J662" s="75"/>
      <c r="K662" s="75">
        <f t="shared" si="159"/>
        <v>10.4</v>
      </c>
      <c r="L662" s="75">
        <f t="shared" si="159"/>
        <v>10.8</v>
      </c>
      <c r="M662" s="75"/>
      <c r="N662" s="75">
        <f t="shared" si="159"/>
        <v>10.8</v>
      </c>
    </row>
    <row r="663" spans="1:14" ht="26.25" x14ac:dyDescent="0.25">
      <c r="A663" s="33"/>
      <c r="B663" s="33"/>
      <c r="C663" s="33" t="s">
        <v>169</v>
      </c>
      <c r="D663" s="33"/>
      <c r="E663" s="34" t="s">
        <v>170</v>
      </c>
      <c r="F663" s="71">
        <f t="shared" si="159"/>
        <v>10</v>
      </c>
      <c r="G663" s="71"/>
      <c r="H663" s="71">
        <f t="shared" si="159"/>
        <v>10</v>
      </c>
      <c r="I663" s="71">
        <f t="shared" si="159"/>
        <v>10.4</v>
      </c>
      <c r="J663" s="71"/>
      <c r="K663" s="71">
        <f t="shared" si="159"/>
        <v>10.4</v>
      </c>
      <c r="L663" s="71">
        <f t="shared" si="159"/>
        <v>10.8</v>
      </c>
      <c r="M663" s="71"/>
      <c r="N663" s="71">
        <f t="shared" si="159"/>
        <v>10.8</v>
      </c>
    </row>
    <row r="664" spans="1:14" x14ac:dyDescent="0.25">
      <c r="A664" s="92"/>
      <c r="B664" s="92"/>
      <c r="C664" s="6" t="s">
        <v>171</v>
      </c>
      <c r="D664" s="6"/>
      <c r="E664" s="3" t="s">
        <v>533</v>
      </c>
      <c r="F664" s="70">
        <v>10</v>
      </c>
      <c r="G664" s="70"/>
      <c r="H664" s="70">
        <v>10</v>
      </c>
      <c r="I664" s="70">
        <f>I665</f>
        <v>10.4</v>
      </c>
      <c r="J664" s="70"/>
      <c r="K664" s="70">
        <f>K665</f>
        <v>10.4</v>
      </c>
      <c r="L664" s="70">
        <v>10.8</v>
      </c>
      <c r="M664" s="70"/>
      <c r="N664" s="70">
        <v>10.8</v>
      </c>
    </row>
    <row r="665" spans="1:14" ht="26.25" x14ac:dyDescent="0.25">
      <c r="A665" s="92"/>
      <c r="B665" s="92"/>
      <c r="C665" s="6"/>
      <c r="D665" s="6" t="s">
        <v>470</v>
      </c>
      <c r="E665" s="3" t="s">
        <v>471</v>
      </c>
      <c r="F665" s="70">
        <v>10</v>
      </c>
      <c r="G665" s="70"/>
      <c r="H665" s="70">
        <v>10</v>
      </c>
      <c r="I665" s="70">
        <v>10.4</v>
      </c>
      <c r="J665" s="70"/>
      <c r="K665" s="70">
        <v>10.4</v>
      </c>
      <c r="L665" s="70">
        <v>10.8</v>
      </c>
      <c r="M665" s="70"/>
      <c r="N665" s="70">
        <v>10.8</v>
      </c>
    </row>
    <row r="666" spans="1:14" x14ac:dyDescent="0.25">
      <c r="A666" s="31"/>
      <c r="B666" s="31"/>
      <c r="C666" s="31" t="s">
        <v>172</v>
      </c>
      <c r="D666" s="31"/>
      <c r="E666" s="32" t="s">
        <v>173</v>
      </c>
      <c r="F666" s="75">
        <f t="shared" ref="F666:N667" si="160">F667</f>
        <v>26.5</v>
      </c>
      <c r="G666" s="75"/>
      <c r="H666" s="75">
        <f t="shared" si="160"/>
        <v>26.5</v>
      </c>
      <c r="I666" s="75">
        <f t="shared" si="160"/>
        <v>27.6</v>
      </c>
      <c r="J666" s="75"/>
      <c r="K666" s="75">
        <f t="shared" si="160"/>
        <v>27.6</v>
      </c>
      <c r="L666" s="75">
        <f t="shared" si="160"/>
        <v>28.7</v>
      </c>
      <c r="M666" s="75"/>
      <c r="N666" s="75">
        <f t="shared" si="160"/>
        <v>28.7</v>
      </c>
    </row>
    <row r="667" spans="1:14" ht="26.25" x14ac:dyDescent="0.25">
      <c r="A667" s="33"/>
      <c r="B667" s="33"/>
      <c r="C667" s="33" t="s">
        <v>174</v>
      </c>
      <c r="D667" s="33"/>
      <c r="E667" s="34" t="s">
        <v>175</v>
      </c>
      <c r="F667" s="71">
        <f t="shared" si="160"/>
        <v>26.5</v>
      </c>
      <c r="G667" s="71"/>
      <c r="H667" s="71">
        <f t="shared" si="160"/>
        <v>26.5</v>
      </c>
      <c r="I667" s="71">
        <f t="shared" si="160"/>
        <v>27.6</v>
      </c>
      <c r="J667" s="71"/>
      <c r="K667" s="71">
        <f t="shared" si="160"/>
        <v>27.6</v>
      </c>
      <c r="L667" s="71">
        <f t="shared" si="160"/>
        <v>28.7</v>
      </c>
      <c r="M667" s="71"/>
      <c r="N667" s="71">
        <f t="shared" si="160"/>
        <v>28.7</v>
      </c>
    </row>
    <row r="668" spans="1:14" ht="26.25" x14ac:dyDescent="0.25">
      <c r="A668" s="92"/>
      <c r="B668" s="92"/>
      <c r="C668" s="6" t="s">
        <v>176</v>
      </c>
      <c r="D668" s="6"/>
      <c r="E668" s="3" t="s">
        <v>177</v>
      </c>
      <c r="F668" s="80">
        <v>26.5</v>
      </c>
      <c r="G668" s="80"/>
      <c r="H668" s="80">
        <v>26.5</v>
      </c>
      <c r="I668" s="80">
        <v>27.6</v>
      </c>
      <c r="J668" s="80"/>
      <c r="K668" s="80">
        <v>27.6</v>
      </c>
      <c r="L668" s="80">
        <v>28.7</v>
      </c>
      <c r="M668" s="80"/>
      <c r="N668" s="80">
        <v>28.7</v>
      </c>
    </row>
    <row r="669" spans="1:14" ht="26.25" x14ac:dyDescent="0.25">
      <c r="A669" s="92"/>
      <c r="B669" s="92"/>
      <c r="C669" s="6"/>
      <c r="D669" s="6" t="s">
        <v>470</v>
      </c>
      <c r="E669" s="3" t="s">
        <v>471</v>
      </c>
      <c r="F669" s="80">
        <v>26.5</v>
      </c>
      <c r="G669" s="80"/>
      <c r="H669" s="80">
        <v>26.5</v>
      </c>
      <c r="I669" s="80">
        <v>27.6</v>
      </c>
      <c r="J669" s="80"/>
      <c r="K669" s="80">
        <v>27.6</v>
      </c>
      <c r="L669" s="80">
        <v>28.7</v>
      </c>
      <c r="M669" s="80"/>
      <c r="N669" s="80">
        <v>28.7</v>
      </c>
    </row>
    <row r="670" spans="1:14" x14ac:dyDescent="0.25">
      <c r="A670" s="31"/>
      <c r="B670" s="31"/>
      <c r="C670" s="31" t="s">
        <v>434</v>
      </c>
      <c r="D670" s="31"/>
      <c r="E670" s="32" t="s">
        <v>178</v>
      </c>
      <c r="F670" s="75">
        <f t="shared" ref="F670:N671" si="161">F671</f>
        <v>60</v>
      </c>
      <c r="G670" s="75"/>
      <c r="H670" s="75">
        <f t="shared" si="161"/>
        <v>60</v>
      </c>
      <c r="I670" s="75">
        <f t="shared" si="161"/>
        <v>62.4</v>
      </c>
      <c r="J670" s="75"/>
      <c r="K670" s="75">
        <f t="shared" si="161"/>
        <v>62.4</v>
      </c>
      <c r="L670" s="75">
        <f t="shared" si="161"/>
        <v>64.900000000000006</v>
      </c>
      <c r="M670" s="75"/>
      <c r="N670" s="75">
        <f t="shared" si="161"/>
        <v>64.900000000000006</v>
      </c>
    </row>
    <row r="671" spans="1:14" ht="26.25" x14ac:dyDescent="0.25">
      <c r="A671" s="33"/>
      <c r="B671" s="33"/>
      <c r="C671" s="33" t="s">
        <v>435</v>
      </c>
      <c r="D671" s="33"/>
      <c r="E671" s="34" t="s">
        <v>179</v>
      </c>
      <c r="F671" s="71">
        <f t="shared" si="161"/>
        <v>60</v>
      </c>
      <c r="G671" s="71"/>
      <c r="H671" s="71">
        <f t="shared" si="161"/>
        <v>60</v>
      </c>
      <c r="I671" s="71">
        <f t="shared" si="161"/>
        <v>62.4</v>
      </c>
      <c r="J671" s="71"/>
      <c r="K671" s="71">
        <f t="shared" si="161"/>
        <v>62.4</v>
      </c>
      <c r="L671" s="71">
        <f t="shared" si="161"/>
        <v>64.900000000000006</v>
      </c>
      <c r="M671" s="71"/>
      <c r="N671" s="71">
        <f t="shared" si="161"/>
        <v>64.900000000000006</v>
      </c>
    </row>
    <row r="672" spans="1:14" ht="26.25" x14ac:dyDescent="0.25">
      <c r="A672" s="92"/>
      <c r="B672" s="92"/>
      <c r="C672" s="6" t="s">
        <v>483</v>
      </c>
      <c r="D672" s="6"/>
      <c r="E672" s="3" t="s">
        <v>693</v>
      </c>
      <c r="F672" s="70">
        <v>60</v>
      </c>
      <c r="G672" s="70"/>
      <c r="H672" s="70">
        <v>60</v>
      </c>
      <c r="I672" s="70">
        <v>62.4</v>
      </c>
      <c r="J672" s="70"/>
      <c r="K672" s="70">
        <v>62.4</v>
      </c>
      <c r="L672" s="70">
        <v>64.900000000000006</v>
      </c>
      <c r="M672" s="70"/>
      <c r="N672" s="70">
        <v>64.900000000000006</v>
      </c>
    </row>
    <row r="673" spans="1:14" ht="26.25" x14ac:dyDescent="0.25">
      <c r="A673" s="92"/>
      <c r="B673" s="92"/>
      <c r="C673" s="6"/>
      <c r="D673" s="6" t="s">
        <v>470</v>
      </c>
      <c r="E673" s="3" t="s">
        <v>471</v>
      </c>
      <c r="F673" s="70">
        <v>60</v>
      </c>
      <c r="G673" s="70"/>
      <c r="H673" s="70">
        <v>60</v>
      </c>
      <c r="I673" s="70">
        <v>62.4</v>
      </c>
      <c r="J673" s="70"/>
      <c r="K673" s="70">
        <v>62.4</v>
      </c>
      <c r="L673" s="70">
        <v>64.900000000000006</v>
      </c>
      <c r="M673" s="70"/>
      <c r="N673" s="70">
        <v>64.900000000000006</v>
      </c>
    </row>
    <row r="674" spans="1:14" x14ac:dyDescent="0.25">
      <c r="A674" s="151"/>
      <c r="B674" s="17" t="s">
        <v>615</v>
      </c>
      <c r="C674" s="103"/>
      <c r="D674" s="102"/>
      <c r="E674" s="96" t="s">
        <v>616</v>
      </c>
      <c r="F674" s="74">
        <f>F675+F682+F693</f>
        <v>19869.3</v>
      </c>
      <c r="G674" s="74"/>
      <c r="H674" s="74">
        <f>H675+H682+H693</f>
        <v>19869.3</v>
      </c>
      <c r="I674" s="74">
        <f>I675+I682+I693</f>
        <v>19893.7</v>
      </c>
      <c r="J674" s="74"/>
      <c r="K674" s="74">
        <f>K675+K682+K693</f>
        <v>19893.7</v>
      </c>
      <c r="L674" s="74">
        <f>L675+L682+L693</f>
        <v>19607.600000000002</v>
      </c>
      <c r="M674" s="74"/>
      <c r="N674" s="74">
        <f>N675+N682+N693</f>
        <v>19607.600000000002</v>
      </c>
    </row>
    <row r="675" spans="1:14" x14ac:dyDescent="0.25">
      <c r="A675" s="151"/>
      <c r="B675" s="17" t="s">
        <v>639</v>
      </c>
      <c r="C675" s="103"/>
      <c r="D675" s="102"/>
      <c r="E675" s="96" t="s">
        <v>640</v>
      </c>
      <c r="F675" s="74">
        <f t="shared" ref="F675:H680" si="162">F676</f>
        <v>19445.100000000002</v>
      </c>
      <c r="G675" s="74"/>
      <c r="H675" s="74">
        <f t="shared" si="162"/>
        <v>19445.100000000002</v>
      </c>
      <c r="I675" s="74">
        <f t="shared" ref="I675:N677" si="163">I676</f>
        <v>19464.2</v>
      </c>
      <c r="J675" s="74"/>
      <c r="K675" s="74">
        <f t="shared" si="163"/>
        <v>19464.2</v>
      </c>
      <c r="L675" s="74">
        <f t="shared" si="163"/>
        <v>19464.2</v>
      </c>
      <c r="M675" s="74"/>
      <c r="N675" s="74">
        <f t="shared" si="163"/>
        <v>19464.2</v>
      </c>
    </row>
    <row r="676" spans="1:14" x14ac:dyDescent="0.25">
      <c r="A676" s="151"/>
      <c r="B676" s="17"/>
      <c r="C676" s="103" t="s">
        <v>5</v>
      </c>
      <c r="D676" s="17"/>
      <c r="E676" s="123" t="s">
        <v>6</v>
      </c>
      <c r="F676" s="74">
        <f t="shared" si="162"/>
        <v>19445.100000000002</v>
      </c>
      <c r="G676" s="74"/>
      <c r="H676" s="74">
        <f t="shared" si="162"/>
        <v>19445.100000000002</v>
      </c>
      <c r="I676" s="74">
        <f t="shared" si="163"/>
        <v>19464.2</v>
      </c>
      <c r="J676" s="74"/>
      <c r="K676" s="74">
        <f t="shared" si="163"/>
        <v>19464.2</v>
      </c>
      <c r="L676" s="74">
        <f t="shared" si="163"/>
        <v>19464.2</v>
      </c>
      <c r="M676" s="74"/>
      <c r="N676" s="74">
        <f t="shared" si="163"/>
        <v>19464.2</v>
      </c>
    </row>
    <row r="677" spans="1:14" ht="25.5" x14ac:dyDescent="0.25">
      <c r="A677" s="105"/>
      <c r="B677" s="106"/>
      <c r="C677" s="107" t="s">
        <v>210</v>
      </c>
      <c r="D677" s="106"/>
      <c r="E677" s="108" t="s">
        <v>211</v>
      </c>
      <c r="F677" s="109">
        <f t="shared" si="162"/>
        <v>19445.100000000002</v>
      </c>
      <c r="G677" s="109"/>
      <c r="H677" s="109">
        <f t="shared" si="162"/>
        <v>19445.100000000002</v>
      </c>
      <c r="I677" s="109">
        <f t="shared" si="163"/>
        <v>19464.2</v>
      </c>
      <c r="J677" s="109"/>
      <c r="K677" s="109">
        <f t="shared" si="163"/>
        <v>19464.2</v>
      </c>
      <c r="L677" s="109">
        <f t="shared" si="163"/>
        <v>19464.2</v>
      </c>
      <c r="M677" s="109"/>
      <c r="N677" s="109">
        <f t="shared" si="163"/>
        <v>19464.2</v>
      </c>
    </row>
    <row r="678" spans="1:14" ht="26.25" x14ac:dyDescent="0.25">
      <c r="A678" s="31"/>
      <c r="B678" s="31"/>
      <c r="C678" s="31" t="s">
        <v>212</v>
      </c>
      <c r="D678" s="31"/>
      <c r="E678" s="32" t="s">
        <v>213</v>
      </c>
      <c r="F678" s="75">
        <f t="shared" si="162"/>
        <v>19445.100000000002</v>
      </c>
      <c r="G678" s="75"/>
      <c r="H678" s="75">
        <f t="shared" si="162"/>
        <v>19445.100000000002</v>
      </c>
      <c r="I678" s="75">
        <f t="shared" ref="I678:N680" si="164">I679</f>
        <v>19464.2</v>
      </c>
      <c r="J678" s="75"/>
      <c r="K678" s="75">
        <f t="shared" si="164"/>
        <v>19464.2</v>
      </c>
      <c r="L678" s="75">
        <f t="shared" si="164"/>
        <v>19464.2</v>
      </c>
      <c r="M678" s="75"/>
      <c r="N678" s="75">
        <f t="shared" si="164"/>
        <v>19464.2</v>
      </c>
    </row>
    <row r="679" spans="1:14" ht="26.25" x14ac:dyDescent="0.25">
      <c r="A679" s="33"/>
      <c r="B679" s="33"/>
      <c r="C679" s="33" t="s">
        <v>225</v>
      </c>
      <c r="D679" s="33"/>
      <c r="E679" s="34" t="s">
        <v>226</v>
      </c>
      <c r="F679" s="71">
        <f t="shared" si="162"/>
        <v>19445.100000000002</v>
      </c>
      <c r="G679" s="71"/>
      <c r="H679" s="71">
        <f t="shared" si="162"/>
        <v>19445.100000000002</v>
      </c>
      <c r="I679" s="71">
        <f t="shared" si="164"/>
        <v>19464.2</v>
      </c>
      <c r="J679" s="71"/>
      <c r="K679" s="71">
        <f t="shared" si="164"/>
        <v>19464.2</v>
      </c>
      <c r="L679" s="71">
        <f t="shared" si="164"/>
        <v>19464.2</v>
      </c>
      <c r="M679" s="71"/>
      <c r="N679" s="71">
        <f t="shared" si="164"/>
        <v>19464.2</v>
      </c>
    </row>
    <row r="680" spans="1:14" x14ac:dyDescent="0.25">
      <c r="A680" s="92"/>
      <c r="B680" s="92"/>
      <c r="C680" s="6" t="s">
        <v>227</v>
      </c>
      <c r="D680" s="6"/>
      <c r="E680" s="8" t="s">
        <v>439</v>
      </c>
      <c r="F680" s="70">
        <f t="shared" si="162"/>
        <v>19445.100000000002</v>
      </c>
      <c r="G680" s="70"/>
      <c r="H680" s="70">
        <f t="shared" si="162"/>
        <v>19445.100000000002</v>
      </c>
      <c r="I680" s="70">
        <f t="shared" si="164"/>
        <v>19464.2</v>
      </c>
      <c r="J680" s="70"/>
      <c r="K680" s="70">
        <f t="shared" si="164"/>
        <v>19464.2</v>
      </c>
      <c r="L680" s="70">
        <f t="shared" si="164"/>
        <v>19464.2</v>
      </c>
      <c r="M680" s="70"/>
      <c r="N680" s="70">
        <f t="shared" si="164"/>
        <v>19464.2</v>
      </c>
    </row>
    <row r="681" spans="1:14" ht="26.25" x14ac:dyDescent="0.25">
      <c r="A681" s="92"/>
      <c r="B681" s="92"/>
      <c r="C681" s="6"/>
      <c r="D681" s="6" t="s">
        <v>470</v>
      </c>
      <c r="E681" s="3" t="s">
        <v>471</v>
      </c>
      <c r="F681" s="70">
        <f>19464.2-19.1</f>
        <v>19445.100000000002</v>
      </c>
      <c r="G681" s="70"/>
      <c r="H681" s="70">
        <f>19464.2-19.1</f>
        <v>19445.100000000002</v>
      </c>
      <c r="I681" s="70">
        <f>19481.9-17.7</f>
        <v>19464.2</v>
      </c>
      <c r="J681" s="70"/>
      <c r="K681" s="70">
        <f>19481.9-17.7</f>
        <v>19464.2</v>
      </c>
      <c r="L681" s="70">
        <f>19500-35.8</f>
        <v>19464.2</v>
      </c>
      <c r="M681" s="70"/>
      <c r="N681" s="70">
        <f>19500-35.8</f>
        <v>19464.2</v>
      </c>
    </row>
    <row r="682" spans="1:14" x14ac:dyDescent="0.25">
      <c r="A682" s="150"/>
      <c r="B682" s="17" t="s">
        <v>641</v>
      </c>
      <c r="C682" s="103"/>
      <c r="D682" s="17"/>
      <c r="E682" s="96" t="s">
        <v>642</v>
      </c>
      <c r="F682" s="74">
        <f t="shared" ref="F682:N683" si="165">F683</f>
        <v>291.60000000000002</v>
      </c>
      <c r="G682" s="74"/>
      <c r="H682" s="74">
        <f t="shared" si="165"/>
        <v>291.60000000000002</v>
      </c>
      <c r="I682" s="74">
        <f t="shared" si="165"/>
        <v>291.60000000000002</v>
      </c>
      <c r="J682" s="74"/>
      <c r="K682" s="74">
        <f t="shared" si="165"/>
        <v>291.60000000000002</v>
      </c>
      <c r="L682" s="74">
        <f t="shared" si="165"/>
        <v>0</v>
      </c>
      <c r="M682" s="74"/>
      <c r="N682" s="74">
        <f t="shared" si="165"/>
        <v>0</v>
      </c>
    </row>
    <row r="683" spans="1:14" x14ac:dyDescent="0.25">
      <c r="A683" s="150"/>
      <c r="B683" s="17"/>
      <c r="C683" s="103" t="s">
        <v>5</v>
      </c>
      <c r="D683" s="17"/>
      <c r="E683" s="123" t="s">
        <v>6</v>
      </c>
      <c r="F683" s="74">
        <f t="shared" si="165"/>
        <v>291.60000000000002</v>
      </c>
      <c r="G683" s="74"/>
      <c r="H683" s="74">
        <f t="shared" si="165"/>
        <v>291.60000000000002</v>
      </c>
      <c r="I683" s="74">
        <f t="shared" si="165"/>
        <v>291.60000000000002</v>
      </c>
      <c r="J683" s="74"/>
      <c r="K683" s="74">
        <f t="shared" si="165"/>
        <v>291.60000000000002</v>
      </c>
      <c r="L683" s="74">
        <f t="shared" si="165"/>
        <v>0</v>
      </c>
      <c r="M683" s="74"/>
      <c r="N683" s="74">
        <f t="shared" si="165"/>
        <v>0</v>
      </c>
    </row>
    <row r="684" spans="1:14" ht="25.5" x14ac:dyDescent="0.25">
      <c r="A684" s="105"/>
      <c r="B684" s="106"/>
      <c r="C684" s="107" t="s">
        <v>210</v>
      </c>
      <c r="D684" s="106"/>
      <c r="E684" s="108" t="s">
        <v>211</v>
      </c>
      <c r="F684" s="109">
        <f t="shared" ref="F684:N685" si="166">F685</f>
        <v>291.60000000000002</v>
      </c>
      <c r="G684" s="109"/>
      <c r="H684" s="109">
        <f t="shared" si="166"/>
        <v>291.60000000000002</v>
      </c>
      <c r="I684" s="109">
        <f t="shared" si="166"/>
        <v>291.60000000000002</v>
      </c>
      <c r="J684" s="109"/>
      <c r="K684" s="109">
        <f t="shared" si="166"/>
        <v>291.60000000000002</v>
      </c>
      <c r="L684" s="109">
        <f t="shared" si="166"/>
        <v>0</v>
      </c>
      <c r="M684" s="109"/>
      <c r="N684" s="109">
        <f t="shared" si="166"/>
        <v>0</v>
      </c>
    </row>
    <row r="685" spans="1:14" x14ac:dyDescent="0.25">
      <c r="A685" s="31"/>
      <c r="B685" s="31"/>
      <c r="C685" s="31" t="s">
        <v>242</v>
      </c>
      <c r="D685" s="31"/>
      <c r="E685" s="32" t="s">
        <v>243</v>
      </c>
      <c r="F685" s="75">
        <f t="shared" si="166"/>
        <v>291.60000000000002</v>
      </c>
      <c r="G685" s="75"/>
      <c r="H685" s="75">
        <f t="shared" si="166"/>
        <v>291.60000000000002</v>
      </c>
      <c r="I685" s="75">
        <f t="shared" si="166"/>
        <v>291.60000000000002</v>
      </c>
      <c r="J685" s="75"/>
      <c r="K685" s="75">
        <f t="shared" si="166"/>
        <v>291.60000000000002</v>
      </c>
      <c r="L685" s="75">
        <f t="shared" si="166"/>
        <v>0</v>
      </c>
      <c r="M685" s="75"/>
      <c r="N685" s="75">
        <f t="shared" si="166"/>
        <v>0</v>
      </c>
    </row>
    <row r="686" spans="1:14" x14ac:dyDescent="0.25">
      <c r="A686" s="33"/>
      <c r="B686" s="33"/>
      <c r="C686" s="33" t="s">
        <v>244</v>
      </c>
      <c r="D686" s="33"/>
      <c r="E686" s="34" t="s">
        <v>245</v>
      </c>
      <c r="F686" s="71">
        <f>F687+F689</f>
        <v>291.60000000000002</v>
      </c>
      <c r="G686" s="71"/>
      <c r="H686" s="71">
        <f>H687+H689</f>
        <v>291.60000000000002</v>
      </c>
      <c r="I686" s="71">
        <f>I687+I689</f>
        <v>291.60000000000002</v>
      </c>
      <c r="J686" s="71"/>
      <c r="K686" s="71">
        <f>K687+K689</f>
        <v>291.60000000000002</v>
      </c>
      <c r="L686" s="71">
        <f>L687+L689</f>
        <v>0</v>
      </c>
      <c r="M686" s="71"/>
      <c r="N686" s="71">
        <f>N687+N689</f>
        <v>0</v>
      </c>
    </row>
    <row r="687" spans="1:14" ht="64.5" x14ac:dyDescent="0.25">
      <c r="A687" s="92"/>
      <c r="B687" s="92"/>
      <c r="C687" s="6" t="s">
        <v>246</v>
      </c>
      <c r="D687" s="6"/>
      <c r="E687" s="3" t="s">
        <v>247</v>
      </c>
      <c r="F687" s="70">
        <f>F688</f>
        <v>225.1</v>
      </c>
      <c r="G687" s="70"/>
      <c r="H687" s="70">
        <f>H688</f>
        <v>225.1</v>
      </c>
      <c r="I687" s="70">
        <f>I688</f>
        <v>225.1</v>
      </c>
      <c r="J687" s="70"/>
      <c r="K687" s="70">
        <f>K688</f>
        <v>225.1</v>
      </c>
      <c r="L687" s="70">
        <f>L688</f>
        <v>0</v>
      </c>
      <c r="M687" s="70"/>
      <c r="N687" s="70">
        <f>N688</f>
        <v>0</v>
      </c>
    </row>
    <row r="688" spans="1:14" ht="26.25" x14ac:dyDescent="0.25">
      <c r="A688" s="92"/>
      <c r="B688" s="92"/>
      <c r="C688" s="6"/>
      <c r="D688" s="6" t="s">
        <v>470</v>
      </c>
      <c r="E688" s="3" t="s">
        <v>471</v>
      </c>
      <c r="F688" s="70">
        <f>237-11.9</f>
        <v>225.1</v>
      </c>
      <c r="G688" s="70"/>
      <c r="H688" s="70">
        <f>237-11.9</f>
        <v>225.1</v>
      </c>
      <c r="I688" s="70">
        <f>237-11.9</f>
        <v>225.1</v>
      </c>
      <c r="J688" s="70"/>
      <c r="K688" s="70">
        <f>237-11.9</f>
        <v>225.1</v>
      </c>
      <c r="L688" s="70">
        <v>0</v>
      </c>
      <c r="M688" s="70"/>
      <c r="N688" s="70">
        <v>0</v>
      </c>
    </row>
    <row r="689" spans="1:14" x14ac:dyDescent="0.25">
      <c r="A689" s="92"/>
      <c r="B689" s="92"/>
      <c r="C689" s="16" t="s">
        <v>248</v>
      </c>
      <c r="D689" s="16"/>
      <c r="E689" s="1" t="s">
        <v>249</v>
      </c>
      <c r="F689" s="70">
        <f>F690</f>
        <v>66.5</v>
      </c>
      <c r="G689" s="70"/>
      <c r="H689" s="70">
        <f>H690</f>
        <v>66.5</v>
      </c>
      <c r="I689" s="70">
        <f>I690</f>
        <v>66.5</v>
      </c>
      <c r="J689" s="70"/>
      <c r="K689" s="70">
        <f>K690</f>
        <v>66.5</v>
      </c>
      <c r="L689" s="70">
        <f>L690</f>
        <v>0</v>
      </c>
      <c r="M689" s="70"/>
      <c r="N689" s="70">
        <f>N690</f>
        <v>0</v>
      </c>
    </row>
    <row r="690" spans="1:14" ht="26.25" x14ac:dyDescent="0.25">
      <c r="A690" s="92"/>
      <c r="B690" s="92"/>
      <c r="C690" s="16"/>
      <c r="D690" s="6" t="s">
        <v>470</v>
      </c>
      <c r="E690" s="3" t="s">
        <v>471</v>
      </c>
      <c r="F690" s="70">
        <f>F692</f>
        <v>66.5</v>
      </c>
      <c r="G690" s="70"/>
      <c r="H690" s="70">
        <f>H692</f>
        <v>66.5</v>
      </c>
      <c r="I690" s="70">
        <f>I692</f>
        <v>66.5</v>
      </c>
      <c r="J690" s="70"/>
      <c r="K690" s="70">
        <f>K692</f>
        <v>66.5</v>
      </c>
      <c r="L690" s="70">
        <f>L692</f>
        <v>0</v>
      </c>
      <c r="M690" s="70"/>
      <c r="N690" s="70">
        <f>N692</f>
        <v>0</v>
      </c>
    </row>
    <row r="691" spans="1:14" x14ac:dyDescent="0.25">
      <c r="A691" s="92"/>
      <c r="B691" s="92"/>
      <c r="C691" s="6"/>
      <c r="D691" s="6"/>
      <c r="E691" s="1" t="s">
        <v>185</v>
      </c>
      <c r="F691" s="70">
        <v>0</v>
      </c>
      <c r="G691" s="70"/>
      <c r="H691" s="70">
        <v>0</v>
      </c>
      <c r="I691" s="70">
        <v>0</v>
      </c>
      <c r="J691" s="70"/>
      <c r="K691" s="70">
        <v>0</v>
      </c>
      <c r="L691" s="70">
        <v>0</v>
      </c>
      <c r="M691" s="70"/>
      <c r="N691" s="70">
        <v>0</v>
      </c>
    </row>
    <row r="692" spans="1:14" x14ac:dyDescent="0.25">
      <c r="A692" s="92"/>
      <c r="B692" s="92"/>
      <c r="C692" s="6"/>
      <c r="D692" s="6"/>
      <c r="E692" s="1" t="s">
        <v>150</v>
      </c>
      <c r="F692" s="70">
        <f>70-3.5</f>
        <v>66.5</v>
      </c>
      <c r="G692" s="70"/>
      <c r="H692" s="70">
        <f>70-3.5</f>
        <v>66.5</v>
      </c>
      <c r="I692" s="70">
        <f>70-3.5</f>
        <v>66.5</v>
      </c>
      <c r="J692" s="70"/>
      <c r="K692" s="70">
        <f>70-3.5</f>
        <v>66.5</v>
      </c>
      <c r="L692" s="70">
        <v>0</v>
      </c>
      <c r="M692" s="70"/>
      <c r="N692" s="70">
        <v>0</v>
      </c>
    </row>
    <row r="693" spans="1:14" x14ac:dyDescent="0.25">
      <c r="A693" s="150"/>
      <c r="B693" s="17" t="s">
        <v>643</v>
      </c>
      <c r="C693" s="103"/>
      <c r="D693" s="17"/>
      <c r="E693" s="123" t="s">
        <v>644</v>
      </c>
      <c r="F693" s="74">
        <f t="shared" ref="F693:N695" si="167">F694</f>
        <v>132.6</v>
      </c>
      <c r="G693" s="74"/>
      <c r="H693" s="74">
        <f t="shared" si="167"/>
        <v>132.6</v>
      </c>
      <c r="I693" s="74">
        <f t="shared" si="167"/>
        <v>137.9</v>
      </c>
      <c r="J693" s="74"/>
      <c r="K693" s="74">
        <f t="shared" si="167"/>
        <v>137.9</v>
      </c>
      <c r="L693" s="74">
        <f t="shared" si="167"/>
        <v>143.4</v>
      </c>
      <c r="M693" s="74"/>
      <c r="N693" s="74">
        <f t="shared" si="167"/>
        <v>143.4</v>
      </c>
    </row>
    <row r="694" spans="1:14" x14ac:dyDescent="0.25">
      <c r="A694" s="150"/>
      <c r="B694" s="17"/>
      <c r="C694" s="103" t="s">
        <v>5</v>
      </c>
      <c r="D694" s="17"/>
      <c r="E694" s="123" t="s">
        <v>6</v>
      </c>
      <c r="F694" s="74">
        <f t="shared" si="167"/>
        <v>132.6</v>
      </c>
      <c r="G694" s="74"/>
      <c r="H694" s="74">
        <f t="shared" si="167"/>
        <v>132.6</v>
      </c>
      <c r="I694" s="74">
        <f t="shared" si="167"/>
        <v>137.9</v>
      </c>
      <c r="J694" s="74"/>
      <c r="K694" s="74">
        <f t="shared" si="167"/>
        <v>137.9</v>
      </c>
      <c r="L694" s="74">
        <f t="shared" si="167"/>
        <v>143.4</v>
      </c>
      <c r="M694" s="74"/>
      <c r="N694" s="74">
        <f t="shared" si="167"/>
        <v>143.4</v>
      </c>
    </row>
    <row r="695" spans="1:14" ht="25.5" x14ac:dyDescent="0.25">
      <c r="A695" s="105"/>
      <c r="B695" s="106"/>
      <c r="C695" s="107" t="s">
        <v>57</v>
      </c>
      <c r="D695" s="106"/>
      <c r="E695" s="108" t="s">
        <v>58</v>
      </c>
      <c r="F695" s="109">
        <f t="shared" si="167"/>
        <v>132.6</v>
      </c>
      <c r="G695" s="109"/>
      <c r="H695" s="109">
        <f t="shared" si="167"/>
        <v>132.6</v>
      </c>
      <c r="I695" s="109">
        <f t="shared" si="167"/>
        <v>137.9</v>
      </c>
      <c r="J695" s="109"/>
      <c r="K695" s="109">
        <f t="shared" si="167"/>
        <v>137.9</v>
      </c>
      <c r="L695" s="109">
        <f t="shared" si="167"/>
        <v>143.4</v>
      </c>
      <c r="M695" s="109"/>
      <c r="N695" s="109">
        <f t="shared" si="167"/>
        <v>143.4</v>
      </c>
    </row>
    <row r="696" spans="1:14" x14ac:dyDescent="0.25">
      <c r="A696" s="31"/>
      <c r="B696" s="31"/>
      <c r="C696" s="31" t="s">
        <v>122</v>
      </c>
      <c r="D696" s="31"/>
      <c r="E696" s="35" t="s">
        <v>123</v>
      </c>
      <c r="F696" s="75">
        <f t="shared" ref="F696:N698" si="168">F697</f>
        <v>132.6</v>
      </c>
      <c r="G696" s="75"/>
      <c r="H696" s="75">
        <f t="shared" si="168"/>
        <v>132.6</v>
      </c>
      <c r="I696" s="75">
        <f t="shared" si="168"/>
        <v>137.9</v>
      </c>
      <c r="J696" s="75"/>
      <c r="K696" s="75">
        <f t="shared" si="168"/>
        <v>137.9</v>
      </c>
      <c r="L696" s="75">
        <f t="shared" si="168"/>
        <v>143.4</v>
      </c>
      <c r="M696" s="75"/>
      <c r="N696" s="75">
        <f t="shared" si="168"/>
        <v>143.4</v>
      </c>
    </row>
    <row r="697" spans="1:14" ht="26.25" x14ac:dyDescent="0.25">
      <c r="A697" s="33"/>
      <c r="B697" s="33"/>
      <c r="C697" s="33" t="s">
        <v>124</v>
      </c>
      <c r="D697" s="33"/>
      <c r="E697" s="34" t="s">
        <v>125</v>
      </c>
      <c r="F697" s="71">
        <f>F698</f>
        <v>132.6</v>
      </c>
      <c r="G697" s="71"/>
      <c r="H697" s="71">
        <f>H698</f>
        <v>132.6</v>
      </c>
      <c r="I697" s="71">
        <f t="shared" si="168"/>
        <v>137.9</v>
      </c>
      <c r="J697" s="71"/>
      <c r="K697" s="71">
        <f t="shared" si="168"/>
        <v>137.9</v>
      </c>
      <c r="L697" s="71">
        <f t="shared" si="168"/>
        <v>143.4</v>
      </c>
      <c r="M697" s="71"/>
      <c r="N697" s="71">
        <f t="shared" si="168"/>
        <v>143.4</v>
      </c>
    </row>
    <row r="698" spans="1:14" ht="26.25" x14ac:dyDescent="0.25">
      <c r="A698" s="92"/>
      <c r="B698" s="92"/>
      <c r="C698" s="6" t="s">
        <v>128</v>
      </c>
      <c r="D698" s="6"/>
      <c r="E698" s="3" t="s">
        <v>129</v>
      </c>
      <c r="F698" s="70">
        <f>F699</f>
        <v>132.6</v>
      </c>
      <c r="G698" s="70"/>
      <c r="H698" s="70">
        <f>H699</f>
        <v>132.6</v>
      </c>
      <c r="I698" s="70">
        <f t="shared" si="168"/>
        <v>137.9</v>
      </c>
      <c r="J698" s="70"/>
      <c r="K698" s="70">
        <f t="shared" si="168"/>
        <v>137.9</v>
      </c>
      <c r="L698" s="70">
        <f t="shared" si="168"/>
        <v>143.4</v>
      </c>
      <c r="M698" s="70"/>
      <c r="N698" s="70">
        <f t="shared" si="168"/>
        <v>143.4</v>
      </c>
    </row>
    <row r="699" spans="1:14" ht="26.25" x14ac:dyDescent="0.25">
      <c r="A699" s="92"/>
      <c r="B699" s="92"/>
      <c r="C699" s="6"/>
      <c r="D699" s="6" t="s">
        <v>470</v>
      </c>
      <c r="E699" s="3" t="s">
        <v>471</v>
      </c>
      <c r="F699" s="70">
        <v>132.6</v>
      </c>
      <c r="G699" s="70"/>
      <c r="H699" s="70">
        <v>132.6</v>
      </c>
      <c r="I699" s="70">
        <v>137.9</v>
      </c>
      <c r="J699" s="70"/>
      <c r="K699" s="70">
        <v>137.9</v>
      </c>
      <c r="L699" s="70">
        <v>143.4</v>
      </c>
      <c r="M699" s="70"/>
      <c r="N699" s="70">
        <v>143.4</v>
      </c>
    </row>
    <row r="700" spans="1:14" x14ac:dyDescent="0.25">
      <c r="A700" s="102"/>
      <c r="B700" s="17" t="s">
        <v>619</v>
      </c>
      <c r="C700" s="103"/>
      <c r="D700" s="102"/>
      <c r="E700" s="96" t="s">
        <v>620</v>
      </c>
      <c r="F700" s="74">
        <f t="shared" ref="F700:N700" si="169">F701+F733</f>
        <v>74024.152629999997</v>
      </c>
      <c r="G700" s="74">
        <f t="shared" si="169"/>
        <v>3935.0000000000005</v>
      </c>
      <c r="H700" s="74">
        <f t="shared" si="169"/>
        <v>77959.152629999982</v>
      </c>
      <c r="I700" s="74">
        <f t="shared" si="169"/>
        <v>72428.357889999999</v>
      </c>
      <c r="J700" s="74">
        <f t="shared" ref="J700" si="170">J701+J733</f>
        <v>2600</v>
      </c>
      <c r="K700" s="74">
        <f t="shared" si="169"/>
        <v>75028.357889999999</v>
      </c>
      <c r="L700" s="74">
        <f t="shared" si="169"/>
        <v>70891.457890000005</v>
      </c>
      <c r="M700" s="74">
        <f t="shared" si="169"/>
        <v>0</v>
      </c>
      <c r="N700" s="74">
        <f t="shared" si="169"/>
        <v>70891.457890000005</v>
      </c>
    </row>
    <row r="701" spans="1:14" x14ac:dyDescent="0.25">
      <c r="A701" s="68"/>
      <c r="B701" s="17" t="s">
        <v>649</v>
      </c>
      <c r="C701" s="103"/>
      <c r="D701" s="102"/>
      <c r="E701" s="96" t="s">
        <v>621</v>
      </c>
      <c r="F701" s="74">
        <f t="shared" ref="F701:J702" si="171">F702</f>
        <v>68972.752630000003</v>
      </c>
      <c r="G701" s="74">
        <f t="shared" si="171"/>
        <v>3935.0000000000005</v>
      </c>
      <c r="H701" s="74">
        <f t="shared" si="171"/>
        <v>72907.752629999988</v>
      </c>
      <c r="I701" s="74">
        <f>I702</f>
        <v>67391.957890000005</v>
      </c>
      <c r="J701" s="74">
        <f t="shared" si="171"/>
        <v>2600</v>
      </c>
      <c r="K701" s="74">
        <f t="shared" ref="K701:L703" si="172">K702</f>
        <v>69991.957890000005</v>
      </c>
      <c r="L701" s="74">
        <f t="shared" si="172"/>
        <v>67391.957890000005</v>
      </c>
      <c r="M701" s="74"/>
      <c r="N701" s="74">
        <f>N702</f>
        <v>67391.957890000005</v>
      </c>
    </row>
    <row r="702" spans="1:14" x14ac:dyDescent="0.25">
      <c r="A702" s="68"/>
      <c r="B702" s="17"/>
      <c r="C702" s="103" t="s">
        <v>5</v>
      </c>
      <c r="D702" s="17"/>
      <c r="E702" s="123" t="s">
        <v>6</v>
      </c>
      <c r="F702" s="74">
        <f t="shared" si="171"/>
        <v>68972.752630000003</v>
      </c>
      <c r="G702" s="74">
        <f t="shared" si="171"/>
        <v>3935.0000000000005</v>
      </c>
      <c r="H702" s="74">
        <f t="shared" si="171"/>
        <v>72907.752629999988</v>
      </c>
      <c r="I702" s="74">
        <f>I703</f>
        <v>67391.957890000005</v>
      </c>
      <c r="J702" s="74">
        <f t="shared" si="171"/>
        <v>2600</v>
      </c>
      <c r="K702" s="74">
        <f t="shared" si="172"/>
        <v>69991.957890000005</v>
      </c>
      <c r="L702" s="74">
        <f t="shared" si="172"/>
        <v>67391.957890000005</v>
      </c>
      <c r="M702" s="74"/>
      <c r="N702" s="74">
        <f>N703</f>
        <v>67391.957890000005</v>
      </c>
    </row>
    <row r="703" spans="1:14" ht="25.5" x14ac:dyDescent="0.25">
      <c r="A703" s="105"/>
      <c r="B703" s="106"/>
      <c r="C703" s="107" t="s">
        <v>210</v>
      </c>
      <c r="D703" s="106"/>
      <c r="E703" s="108" t="s">
        <v>211</v>
      </c>
      <c r="F703" s="109">
        <f>F704</f>
        <v>68972.752630000003</v>
      </c>
      <c r="G703" s="109">
        <f>G704</f>
        <v>3935.0000000000005</v>
      </c>
      <c r="H703" s="109">
        <f>H704</f>
        <v>72907.752629999988</v>
      </c>
      <c r="I703" s="109">
        <f>I704</f>
        <v>67391.957890000005</v>
      </c>
      <c r="J703" s="109">
        <f>J704</f>
        <v>2600</v>
      </c>
      <c r="K703" s="109">
        <f t="shared" si="172"/>
        <v>69991.957890000005</v>
      </c>
      <c r="L703" s="109">
        <f t="shared" si="172"/>
        <v>67391.957890000005</v>
      </c>
      <c r="M703" s="109"/>
      <c r="N703" s="109">
        <f>N704</f>
        <v>67391.957890000005</v>
      </c>
    </row>
    <row r="704" spans="1:14" ht="26.25" x14ac:dyDescent="0.25">
      <c r="A704" s="31"/>
      <c r="B704" s="31"/>
      <c r="C704" s="31" t="s">
        <v>212</v>
      </c>
      <c r="D704" s="31"/>
      <c r="E704" s="32" t="s">
        <v>213</v>
      </c>
      <c r="F704" s="75">
        <f t="shared" ref="F704:L704" si="173">F705+F708+F713+F716+F726</f>
        <v>68972.752630000003</v>
      </c>
      <c r="G704" s="75">
        <f>G705+G708+G713+G716+G726</f>
        <v>3935.0000000000005</v>
      </c>
      <c r="H704" s="75">
        <f t="shared" si="173"/>
        <v>72907.752629999988</v>
      </c>
      <c r="I704" s="75">
        <f t="shared" si="173"/>
        <v>67391.957890000005</v>
      </c>
      <c r="J704" s="75">
        <f t="shared" si="173"/>
        <v>2600</v>
      </c>
      <c r="K704" s="75">
        <f t="shared" si="173"/>
        <v>69991.957890000005</v>
      </c>
      <c r="L704" s="75">
        <f t="shared" si="173"/>
        <v>67391.957890000005</v>
      </c>
      <c r="M704" s="75"/>
      <c r="N704" s="75">
        <f>N705+N708+N713+N716+N726</f>
        <v>67391.957890000005</v>
      </c>
    </row>
    <row r="705" spans="1:14" ht="39" x14ac:dyDescent="0.25">
      <c r="A705" s="33"/>
      <c r="B705" s="33"/>
      <c r="C705" s="33" t="s">
        <v>214</v>
      </c>
      <c r="D705" s="33"/>
      <c r="E705" s="34" t="s">
        <v>215</v>
      </c>
      <c r="F705" s="71">
        <f t="shared" ref="F705:N706" si="174">F706</f>
        <v>46407.7</v>
      </c>
      <c r="G705" s="71">
        <f t="shared" si="174"/>
        <v>1045.2</v>
      </c>
      <c r="H705" s="71">
        <f t="shared" si="174"/>
        <v>47452.899999999994</v>
      </c>
      <c r="I705" s="71">
        <f t="shared" si="174"/>
        <v>46721.5</v>
      </c>
      <c r="J705" s="71">
        <f t="shared" si="174"/>
        <v>0</v>
      </c>
      <c r="K705" s="71">
        <f t="shared" si="174"/>
        <v>46721.5</v>
      </c>
      <c r="L705" s="71">
        <f t="shared" si="174"/>
        <v>46721.5</v>
      </c>
      <c r="M705" s="71"/>
      <c r="N705" s="71">
        <f t="shared" si="174"/>
        <v>46721.5</v>
      </c>
    </row>
    <row r="706" spans="1:14" x14ac:dyDescent="0.25">
      <c r="A706" s="6"/>
      <c r="B706" s="6"/>
      <c r="C706" s="6" t="s">
        <v>216</v>
      </c>
      <c r="D706" s="6"/>
      <c r="E706" s="8" t="s">
        <v>436</v>
      </c>
      <c r="F706" s="70">
        <f t="shared" si="174"/>
        <v>46407.7</v>
      </c>
      <c r="G706" s="70">
        <f>G707</f>
        <v>1045.2</v>
      </c>
      <c r="H706" s="70">
        <f t="shared" si="174"/>
        <v>47452.899999999994</v>
      </c>
      <c r="I706" s="70">
        <f t="shared" si="174"/>
        <v>46721.5</v>
      </c>
      <c r="J706" s="70"/>
      <c r="K706" s="70">
        <f t="shared" si="174"/>
        <v>46721.5</v>
      </c>
      <c r="L706" s="70">
        <f t="shared" si="174"/>
        <v>46721.5</v>
      </c>
      <c r="M706" s="70"/>
      <c r="N706" s="70">
        <f t="shared" si="174"/>
        <v>46721.5</v>
      </c>
    </row>
    <row r="707" spans="1:14" ht="26.25" x14ac:dyDescent="0.25">
      <c r="A707" s="6"/>
      <c r="B707" s="6"/>
      <c r="C707" s="6"/>
      <c r="D707" s="6" t="s">
        <v>470</v>
      </c>
      <c r="E707" s="3" t="s">
        <v>471</v>
      </c>
      <c r="F707" s="70">
        <v>46407.7</v>
      </c>
      <c r="G707" s="80">
        <v>1045.2</v>
      </c>
      <c r="H707" s="70">
        <f>SUM(F707:G707)</f>
        <v>47452.899999999994</v>
      </c>
      <c r="I707" s="70">
        <f>46857.1-135.6</f>
        <v>46721.5</v>
      </c>
      <c r="J707" s="70"/>
      <c r="K707" s="70">
        <f>46857.1-135.6</f>
        <v>46721.5</v>
      </c>
      <c r="L707" s="70">
        <f>47006.2-284.7</f>
        <v>46721.5</v>
      </c>
      <c r="M707" s="70"/>
      <c r="N707" s="70">
        <f>47006.2-284.7</f>
        <v>46721.5</v>
      </c>
    </row>
    <row r="708" spans="1:14" x14ac:dyDescent="0.25">
      <c r="A708" s="33"/>
      <c r="B708" s="33"/>
      <c r="C708" s="33" t="s">
        <v>217</v>
      </c>
      <c r="D708" s="33"/>
      <c r="E708" s="34" t="s">
        <v>218</v>
      </c>
      <c r="F708" s="71">
        <f>F709+F711</f>
        <v>19129.8</v>
      </c>
      <c r="G708" s="71">
        <f>G709</f>
        <v>2698.9</v>
      </c>
      <c r="H708" s="71">
        <f>H709+H711</f>
        <v>21828.7</v>
      </c>
      <c r="I708" s="71">
        <f>I709+I711</f>
        <v>19243</v>
      </c>
      <c r="J708" s="71"/>
      <c r="K708" s="71">
        <f>K709+K711</f>
        <v>19243</v>
      </c>
      <c r="L708" s="71">
        <f>L709+L711</f>
        <v>19243</v>
      </c>
      <c r="M708" s="71"/>
      <c r="N708" s="71">
        <f>N709+N711</f>
        <v>19243</v>
      </c>
    </row>
    <row r="709" spans="1:14" ht="26.25" x14ac:dyDescent="0.25">
      <c r="A709" s="6"/>
      <c r="B709" s="6"/>
      <c r="C709" s="6" t="s">
        <v>219</v>
      </c>
      <c r="D709" s="6"/>
      <c r="E709" s="8" t="s">
        <v>437</v>
      </c>
      <c r="F709" s="70">
        <f>F710</f>
        <v>18629.8</v>
      </c>
      <c r="G709" s="70">
        <f>G710</f>
        <v>2698.9</v>
      </c>
      <c r="H709" s="70">
        <f>H710</f>
        <v>21328.7</v>
      </c>
      <c r="I709" s="70">
        <f>I710</f>
        <v>18743</v>
      </c>
      <c r="J709" s="70"/>
      <c r="K709" s="70">
        <f>K710</f>
        <v>18743</v>
      </c>
      <c r="L709" s="70">
        <f>L710</f>
        <v>18743</v>
      </c>
      <c r="M709" s="70"/>
      <c r="N709" s="70">
        <f>N710</f>
        <v>18743</v>
      </c>
    </row>
    <row r="710" spans="1:14" ht="26.25" x14ac:dyDescent="0.25">
      <c r="A710" s="6"/>
      <c r="B710" s="6"/>
      <c r="C710" s="6"/>
      <c r="D710" s="6" t="s">
        <v>470</v>
      </c>
      <c r="E710" s="3" t="s">
        <v>471</v>
      </c>
      <c r="F710" s="70">
        <f>18743-113.2</f>
        <v>18629.8</v>
      </c>
      <c r="G710" s="70">
        <v>2698.9</v>
      </c>
      <c r="H710" s="70">
        <f>18743-113.2+2698.9</f>
        <v>21328.7</v>
      </c>
      <c r="I710" s="70">
        <f>18792-49</f>
        <v>18743</v>
      </c>
      <c r="J710" s="70"/>
      <c r="K710" s="70">
        <f>18792-49</f>
        <v>18743</v>
      </c>
      <c r="L710" s="70">
        <f>18843.2-100.2</f>
        <v>18743</v>
      </c>
      <c r="M710" s="70"/>
      <c r="N710" s="70">
        <f>18843.2-100.2</f>
        <v>18743</v>
      </c>
    </row>
    <row r="711" spans="1:14" x14ac:dyDescent="0.25">
      <c r="A711" s="6"/>
      <c r="B711" s="6"/>
      <c r="C711" s="6" t="s">
        <v>220</v>
      </c>
      <c r="D711" s="6"/>
      <c r="E711" s="8" t="s">
        <v>221</v>
      </c>
      <c r="F711" s="70">
        <v>500</v>
      </c>
      <c r="G711" s="70"/>
      <c r="H711" s="70">
        <v>500</v>
      </c>
      <c r="I711" s="70">
        <v>500</v>
      </c>
      <c r="J711" s="70"/>
      <c r="K711" s="70">
        <v>500</v>
      </c>
      <c r="L711" s="70">
        <v>500</v>
      </c>
      <c r="M711" s="70"/>
      <c r="N711" s="70">
        <v>500</v>
      </c>
    </row>
    <row r="712" spans="1:14" ht="26.25" x14ac:dyDescent="0.25">
      <c r="A712" s="6"/>
      <c r="B712" s="6"/>
      <c r="C712" s="6"/>
      <c r="D712" s="6" t="s">
        <v>470</v>
      </c>
      <c r="E712" s="3" t="s">
        <v>471</v>
      </c>
      <c r="F712" s="70">
        <v>500</v>
      </c>
      <c r="G712" s="70"/>
      <c r="H712" s="70">
        <v>500</v>
      </c>
      <c r="I712" s="70">
        <v>500</v>
      </c>
      <c r="J712" s="70"/>
      <c r="K712" s="70">
        <v>500</v>
      </c>
      <c r="L712" s="70">
        <v>500</v>
      </c>
      <c r="M712" s="70"/>
      <c r="N712" s="70">
        <v>500</v>
      </c>
    </row>
    <row r="713" spans="1:14" ht="26.25" x14ac:dyDescent="0.25">
      <c r="A713" s="33"/>
      <c r="B713" s="33"/>
      <c r="C713" s="33" t="s">
        <v>222</v>
      </c>
      <c r="D713" s="33"/>
      <c r="E713" s="34" t="s">
        <v>223</v>
      </c>
      <c r="F713" s="71">
        <f t="shared" ref="F713:N714" si="175">F714</f>
        <v>1422</v>
      </c>
      <c r="G713" s="71">
        <f>G714</f>
        <v>190.9</v>
      </c>
      <c r="H713" s="71">
        <f t="shared" si="175"/>
        <v>1612.9</v>
      </c>
      <c r="I713" s="71">
        <f t="shared" si="175"/>
        <v>1427.3</v>
      </c>
      <c r="J713" s="71"/>
      <c r="K713" s="71">
        <f t="shared" si="175"/>
        <v>1427.3</v>
      </c>
      <c r="L713" s="71">
        <f t="shared" si="175"/>
        <v>1427.3</v>
      </c>
      <c r="M713" s="71"/>
      <c r="N713" s="71">
        <f t="shared" si="175"/>
        <v>1427.3</v>
      </c>
    </row>
    <row r="714" spans="1:14" x14ac:dyDescent="0.25">
      <c r="A714" s="6"/>
      <c r="B714" s="6"/>
      <c r="C714" s="6" t="s">
        <v>224</v>
      </c>
      <c r="D714" s="6"/>
      <c r="E714" s="8" t="s">
        <v>438</v>
      </c>
      <c r="F714" s="70">
        <f t="shared" si="175"/>
        <v>1422</v>
      </c>
      <c r="G714" s="70">
        <f>G715</f>
        <v>190.9</v>
      </c>
      <c r="H714" s="70">
        <f t="shared" si="175"/>
        <v>1612.9</v>
      </c>
      <c r="I714" s="70">
        <f t="shared" si="175"/>
        <v>1427.3</v>
      </c>
      <c r="J714" s="70"/>
      <c r="K714" s="70">
        <f t="shared" si="175"/>
        <v>1427.3</v>
      </c>
      <c r="L714" s="70">
        <f t="shared" si="175"/>
        <v>1427.3</v>
      </c>
      <c r="M714" s="70"/>
      <c r="N714" s="70">
        <f t="shared" si="175"/>
        <v>1427.3</v>
      </c>
    </row>
    <row r="715" spans="1:14" ht="26.25" x14ac:dyDescent="0.25">
      <c r="A715" s="6"/>
      <c r="B715" s="6"/>
      <c r="C715" s="6"/>
      <c r="D715" s="6" t="s">
        <v>470</v>
      </c>
      <c r="E715" s="3" t="s">
        <v>471</v>
      </c>
      <c r="F715" s="70">
        <f>1427.3-5.3</f>
        <v>1422</v>
      </c>
      <c r="G715" s="70">
        <v>190.9</v>
      </c>
      <c r="H715" s="70">
        <f>1427.3-5.3+190.9</f>
        <v>1612.9</v>
      </c>
      <c r="I715" s="70">
        <f>1429.8-2.5</f>
        <v>1427.3</v>
      </c>
      <c r="J715" s="70"/>
      <c r="K715" s="70">
        <f>1429.8-2.5</f>
        <v>1427.3</v>
      </c>
      <c r="L715" s="70">
        <f>1431.5-4.2</f>
        <v>1427.3</v>
      </c>
      <c r="M715" s="70"/>
      <c r="N715" s="70">
        <f>1431.5-4.2</f>
        <v>1427.3</v>
      </c>
    </row>
    <row r="716" spans="1:14" s="50" customFormat="1" ht="39" x14ac:dyDescent="0.25">
      <c r="A716" s="33"/>
      <c r="B716" s="33"/>
      <c r="C716" s="33" t="s">
        <v>236</v>
      </c>
      <c r="D716" s="33"/>
      <c r="E716" s="48" t="s">
        <v>237</v>
      </c>
      <c r="F716" s="71">
        <f>F717</f>
        <v>2013.2</v>
      </c>
      <c r="G716" s="71">
        <f>G724</f>
        <v>0</v>
      </c>
      <c r="H716" s="71">
        <f>H717+H724</f>
        <v>2013.2</v>
      </c>
      <c r="I716" s="71">
        <f>I717</f>
        <v>0</v>
      </c>
      <c r="J716" s="71">
        <f>J724</f>
        <v>2600</v>
      </c>
      <c r="K716" s="71">
        <f>K724</f>
        <v>2600</v>
      </c>
      <c r="L716" s="71">
        <f>L717</f>
        <v>0</v>
      </c>
      <c r="M716" s="71"/>
      <c r="N716" s="71">
        <f>N717</f>
        <v>0</v>
      </c>
    </row>
    <row r="717" spans="1:14" ht="25.5" x14ac:dyDescent="0.25">
      <c r="A717" s="6"/>
      <c r="B717" s="6"/>
      <c r="C717" s="6" t="s">
        <v>893</v>
      </c>
      <c r="D717" s="17"/>
      <c r="E717" s="1" t="s">
        <v>894</v>
      </c>
      <c r="F717" s="73">
        <f>F718</f>
        <v>2013.2</v>
      </c>
      <c r="G717" s="73"/>
      <c r="H717" s="73">
        <f>H718</f>
        <v>2013.2</v>
      </c>
      <c r="I717" s="73">
        <f>I718</f>
        <v>0</v>
      </c>
      <c r="J717" s="73"/>
      <c r="K717" s="73">
        <f>K718</f>
        <v>0</v>
      </c>
      <c r="L717" s="73">
        <v>0</v>
      </c>
      <c r="M717" s="73"/>
      <c r="N717" s="73">
        <v>0</v>
      </c>
    </row>
    <row r="718" spans="1:14" ht="26.25" x14ac:dyDescent="0.25">
      <c r="A718" s="6"/>
      <c r="B718" s="6"/>
      <c r="C718" s="6"/>
      <c r="D718" s="6" t="s">
        <v>470</v>
      </c>
      <c r="E718" s="3" t="s">
        <v>471</v>
      </c>
      <c r="F718" s="73">
        <f>F720</f>
        <v>2013.2</v>
      </c>
      <c r="G718" s="73"/>
      <c r="H718" s="73">
        <f>H720</f>
        <v>2013.2</v>
      </c>
      <c r="I718" s="73">
        <f>I720</f>
        <v>0</v>
      </c>
      <c r="J718" s="73"/>
      <c r="K718" s="73">
        <f>K720</f>
        <v>0</v>
      </c>
      <c r="L718" s="73">
        <v>0</v>
      </c>
      <c r="M718" s="73"/>
      <c r="N718" s="73">
        <v>0</v>
      </c>
    </row>
    <row r="719" spans="1:14" x14ac:dyDescent="0.25">
      <c r="A719" s="92"/>
      <c r="B719" s="92"/>
      <c r="C719" s="6"/>
      <c r="D719" s="49"/>
      <c r="E719" s="3" t="s">
        <v>238</v>
      </c>
      <c r="F719" s="73"/>
      <c r="G719" s="73"/>
      <c r="H719" s="73"/>
      <c r="I719" s="73"/>
      <c r="J719" s="73"/>
      <c r="K719" s="73"/>
      <c r="L719" s="73"/>
      <c r="M719" s="73"/>
      <c r="N719" s="73"/>
    </row>
    <row r="720" spans="1:14" ht="39" x14ac:dyDescent="0.25">
      <c r="A720" s="92"/>
      <c r="B720" s="92"/>
      <c r="C720" s="10"/>
      <c r="D720" s="10"/>
      <c r="E720" s="11" t="s">
        <v>239</v>
      </c>
      <c r="F720" s="77">
        <f>F722+F723</f>
        <v>2013.2</v>
      </c>
      <c r="G720" s="77"/>
      <c r="H720" s="77">
        <f>H722+H723</f>
        <v>2013.2</v>
      </c>
      <c r="I720" s="77">
        <v>0</v>
      </c>
      <c r="J720" s="77"/>
      <c r="K720" s="77">
        <v>0</v>
      </c>
      <c r="L720" s="77">
        <v>0</v>
      </c>
      <c r="M720" s="77"/>
      <c r="N720" s="77">
        <v>0</v>
      </c>
    </row>
    <row r="721" spans="1:14" x14ac:dyDescent="0.25">
      <c r="A721" s="92"/>
      <c r="B721" s="92"/>
      <c r="C721" s="12"/>
      <c r="D721" s="6"/>
      <c r="E721" s="1" t="s">
        <v>187</v>
      </c>
      <c r="F721" s="73">
        <v>0</v>
      </c>
      <c r="G721" s="73"/>
      <c r="H721" s="73">
        <v>0</v>
      </c>
      <c r="I721" s="73">
        <v>0</v>
      </c>
      <c r="J721" s="73"/>
      <c r="K721" s="73">
        <v>0</v>
      </c>
      <c r="L721" s="73">
        <v>0</v>
      </c>
      <c r="M721" s="73"/>
      <c r="N721" s="73">
        <v>0</v>
      </c>
    </row>
    <row r="722" spans="1:14" x14ac:dyDescent="0.25">
      <c r="A722" s="92"/>
      <c r="B722" s="92"/>
      <c r="C722" s="12"/>
      <c r="D722" s="6"/>
      <c r="E722" s="1" t="s">
        <v>185</v>
      </c>
      <c r="F722" s="73">
        <v>1509.9</v>
      </c>
      <c r="G722" s="73"/>
      <c r="H722" s="73">
        <v>1509.9</v>
      </c>
      <c r="I722" s="73">
        <v>0</v>
      </c>
      <c r="J722" s="73"/>
      <c r="K722" s="73">
        <v>0</v>
      </c>
      <c r="L722" s="73">
        <v>0</v>
      </c>
      <c r="M722" s="73"/>
      <c r="N722" s="73">
        <v>0</v>
      </c>
    </row>
    <row r="723" spans="1:14" x14ac:dyDescent="0.25">
      <c r="A723" s="92"/>
      <c r="B723" s="92"/>
      <c r="C723" s="12"/>
      <c r="D723" s="6"/>
      <c r="E723" s="3" t="s">
        <v>150</v>
      </c>
      <c r="F723" s="73">
        <v>503.3</v>
      </c>
      <c r="G723" s="73"/>
      <c r="H723" s="73">
        <v>503.3</v>
      </c>
      <c r="I723" s="73">
        <v>0</v>
      </c>
      <c r="J723" s="73"/>
      <c r="K723" s="73">
        <v>0</v>
      </c>
      <c r="L723" s="73">
        <v>0</v>
      </c>
      <c r="M723" s="73"/>
      <c r="N723" s="73">
        <v>0</v>
      </c>
    </row>
    <row r="724" spans="1:14" ht="39" x14ac:dyDescent="0.25">
      <c r="A724" s="92"/>
      <c r="B724" s="92"/>
      <c r="C724" s="6" t="s">
        <v>900</v>
      </c>
      <c r="D724" s="6"/>
      <c r="E724" s="3" t="s">
        <v>901</v>
      </c>
      <c r="F724" s="73"/>
      <c r="G724" s="73"/>
      <c r="H724" s="73">
        <v>0</v>
      </c>
      <c r="I724" s="73"/>
      <c r="J724" s="73">
        <f>J725</f>
        <v>2600</v>
      </c>
      <c r="K724" s="73">
        <f>K725</f>
        <v>2600</v>
      </c>
      <c r="L724" s="73"/>
      <c r="M724" s="73"/>
      <c r="N724" s="73">
        <v>0</v>
      </c>
    </row>
    <row r="725" spans="1:14" ht="26.25" x14ac:dyDescent="0.25">
      <c r="A725" s="92"/>
      <c r="B725" s="92"/>
      <c r="C725" s="12"/>
      <c r="D725" s="6" t="s">
        <v>470</v>
      </c>
      <c r="E725" s="3" t="s">
        <v>471</v>
      </c>
      <c r="F725" s="73"/>
      <c r="G725" s="73"/>
      <c r="H725" s="73">
        <v>0</v>
      </c>
      <c r="I725" s="73"/>
      <c r="J725" s="73">
        <v>2600</v>
      </c>
      <c r="K725" s="73">
        <v>2600</v>
      </c>
      <c r="L725" s="73"/>
      <c r="M725" s="73"/>
      <c r="N725" s="73">
        <v>0</v>
      </c>
    </row>
    <row r="726" spans="1:14" x14ac:dyDescent="0.25">
      <c r="A726" s="152"/>
      <c r="B726" s="152"/>
      <c r="C726" s="14" t="s">
        <v>240</v>
      </c>
      <c r="D726" s="14"/>
      <c r="E726" s="15" t="s">
        <v>241</v>
      </c>
      <c r="F726" s="76">
        <f>F727+F730</f>
        <v>5.2630000000000003E-2</v>
      </c>
      <c r="G726" s="76">
        <f>G727+G730</f>
        <v>0</v>
      </c>
      <c r="H726" s="76">
        <f>H727+H730</f>
        <v>5.2630000000000003E-2</v>
      </c>
      <c r="I726" s="76">
        <f>I727+I730</f>
        <v>0.15789</v>
      </c>
      <c r="J726" s="76"/>
      <c r="K726" s="76">
        <f>K727+K730</f>
        <v>0.15789</v>
      </c>
      <c r="L726" s="76">
        <f>L727+L730</f>
        <v>0.15789</v>
      </c>
      <c r="M726" s="76"/>
      <c r="N726" s="76">
        <f>N727+N730</f>
        <v>0.15789</v>
      </c>
    </row>
    <row r="727" spans="1:14" ht="25.5" x14ac:dyDescent="0.25">
      <c r="A727" s="92"/>
      <c r="B727" s="92"/>
      <c r="C727" s="16" t="s">
        <v>490</v>
      </c>
      <c r="D727" s="16"/>
      <c r="E727" s="7" t="s">
        <v>542</v>
      </c>
      <c r="F727" s="73">
        <f t="shared" ref="F727:N728" si="176">F728</f>
        <v>5.2630000000000003E-2</v>
      </c>
      <c r="G727" s="73"/>
      <c r="H727" s="73">
        <f t="shared" si="176"/>
        <v>5.2630000000000003E-2</v>
      </c>
      <c r="I727" s="73">
        <f t="shared" si="176"/>
        <v>5.2630000000000003E-2</v>
      </c>
      <c r="J727" s="73"/>
      <c r="K727" s="73">
        <f t="shared" si="176"/>
        <v>5.2630000000000003E-2</v>
      </c>
      <c r="L727" s="73">
        <f t="shared" si="176"/>
        <v>5.2630000000000003E-2</v>
      </c>
      <c r="M727" s="73"/>
      <c r="N727" s="73">
        <f t="shared" si="176"/>
        <v>5.2630000000000003E-2</v>
      </c>
    </row>
    <row r="728" spans="1:14" ht="25.5" x14ac:dyDescent="0.25">
      <c r="A728" s="92"/>
      <c r="B728" s="92"/>
      <c r="C728" s="17"/>
      <c r="D728" s="16" t="s">
        <v>470</v>
      </c>
      <c r="E728" s="1" t="s">
        <v>471</v>
      </c>
      <c r="F728" s="73">
        <f t="shared" si="176"/>
        <v>5.2630000000000003E-2</v>
      </c>
      <c r="G728" s="73"/>
      <c r="H728" s="73">
        <f t="shared" si="176"/>
        <v>5.2630000000000003E-2</v>
      </c>
      <c r="I728" s="73">
        <f t="shared" si="176"/>
        <v>5.2630000000000003E-2</v>
      </c>
      <c r="J728" s="73"/>
      <c r="K728" s="73">
        <f t="shared" si="176"/>
        <v>5.2630000000000003E-2</v>
      </c>
      <c r="L728" s="73">
        <f t="shared" si="176"/>
        <v>5.2630000000000003E-2</v>
      </c>
      <c r="M728" s="73"/>
      <c r="N728" s="73">
        <f t="shared" si="176"/>
        <v>5.2630000000000003E-2</v>
      </c>
    </row>
    <row r="729" spans="1:14" x14ac:dyDescent="0.25">
      <c r="A729" s="92"/>
      <c r="B729" s="92"/>
      <c r="C729" s="17"/>
      <c r="D729" s="16"/>
      <c r="E729" s="3" t="s">
        <v>150</v>
      </c>
      <c r="F729" s="73">
        <v>5.2630000000000003E-2</v>
      </c>
      <c r="G729" s="73"/>
      <c r="H729" s="73">
        <v>5.2630000000000003E-2</v>
      </c>
      <c r="I729" s="73">
        <v>5.2630000000000003E-2</v>
      </c>
      <c r="J729" s="73"/>
      <c r="K729" s="73">
        <v>5.2630000000000003E-2</v>
      </c>
      <c r="L729" s="73">
        <v>5.2630000000000003E-2</v>
      </c>
      <c r="M729" s="73"/>
      <c r="N729" s="73">
        <v>5.2630000000000003E-2</v>
      </c>
    </row>
    <row r="730" spans="1:14" ht="25.5" x14ac:dyDescent="0.25">
      <c r="A730" s="92"/>
      <c r="B730" s="92"/>
      <c r="C730" s="16" t="s">
        <v>491</v>
      </c>
      <c r="D730" s="16"/>
      <c r="E730" s="7" t="s">
        <v>543</v>
      </c>
      <c r="F730" s="73">
        <f t="shared" ref="F730:N731" si="177">F731</f>
        <v>0</v>
      </c>
      <c r="G730" s="73"/>
      <c r="H730" s="73">
        <f t="shared" si="177"/>
        <v>0</v>
      </c>
      <c r="I730" s="73">
        <f t="shared" si="177"/>
        <v>0.10526000000000001</v>
      </c>
      <c r="J730" s="73"/>
      <c r="K730" s="73">
        <f t="shared" si="177"/>
        <v>0.10526000000000001</v>
      </c>
      <c r="L730" s="73">
        <f t="shared" si="177"/>
        <v>0.10526000000000001</v>
      </c>
      <c r="M730" s="73"/>
      <c r="N730" s="73">
        <f t="shared" si="177"/>
        <v>0.10526000000000001</v>
      </c>
    </row>
    <row r="731" spans="1:14" ht="25.5" x14ac:dyDescent="0.25">
      <c r="A731" s="92"/>
      <c r="B731" s="92"/>
      <c r="C731" s="17"/>
      <c r="D731" s="16" t="s">
        <v>470</v>
      </c>
      <c r="E731" s="1" t="s">
        <v>471</v>
      </c>
      <c r="F731" s="73">
        <v>0</v>
      </c>
      <c r="G731" s="73"/>
      <c r="H731" s="73">
        <f t="shared" si="177"/>
        <v>0</v>
      </c>
      <c r="I731" s="73">
        <f t="shared" si="177"/>
        <v>0.10526000000000001</v>
      </c>
      <c r="J731" s="73"/>
      <c r="K731" s="73">
        <f t="shared" si="177"/>
        <v>0.10526000000000001</v>
      </c>
      <c r="L731" s="73">
        <f t="shared" si="177"/>
        <v>0.10526000000000001</v>
      </c>
      <c r="M731" s="73"/>
      <c r="N731" s="73">
        <f t="shared" si="177"/>
        <v>0.10526000000000001</v>
      </c>
    </row>
    <row r="732" spans="1:14" x14ac:dyDescent="0.25">
      <c r="A732" s="92"/>
      <c r="B732" s="92"/>
      <c r="C732" s="17"/>
      <c r="D732" s="16"/>
      <c r="E732" s="3" t="s">
        <v>150</v>
      </c>
      <c r="F732" s="73">
        <v>0</v>
      </c>
      <c r="G732" s="73"/>
      <c r="H732" s="73">
        <v>0</v>
      </c>
      <c r="I732" s="73">
        <v>0.10526000000000001</v>
      </c>
      <c r="J732" s="73"/>
      <c r="K732" s="73">
        <v>0.10526000000000001</v>
      </c>
      <c r="L732" s="73">
        <v>0.10526000000000001</v>
      </c>
      <c r="M732" s="73"/>
      <c r="N732" s="73">
        <v>0.10526000000000001</v>
      </c>
    </row>
    <row r="733" spans="1:14" x14ac:dyDescent="0.25">
      <c r="A733" s="68"/>
      <c r="B733" s="17" t="s">
        <v>650</v>
      </c>
      <c r="C733" s="103"/>
      <c r="D733" s="102"/>
      <c r="E733" s="96" t="s">
        <v>651</v>
      </c>
      <c r="F733" s="153">
        <f>F734</f>
        <v>5051.3999999999996</v>
      </c>
      <c r="G733" s="153">
        <f>G734</f>
        <v>0</v>
      </c>
      <c r="H733" s="153">
        <f>H734</f>
        <v>5051.3999999999996</v>
      </c>
      <c r="I733" s="153">
        <f t="shared" ref="I733:N737" si="178">I734</f>
        <v>5036.3999999999996</v>
      </c>
      <c r="J733" s="153">
        <f>J734</f>
        <v>0</v>
      </c>
      <c r="K733" s="153">
        <f t="shared" si="178"/>
        <v>5036.3999999999996</v>
      </c>
      <c r="L733" s="153">
        <f t="shared" si="178"/>
        <v>3499.5</v>
      </c>
      <c r="M733" s="153">
        <f>M734</f>
        <v>0</v>
      </c>
      <c r="N733" s="153">
        <f t="shared" si="178"/>
        <v>3499.5</v>
      </c>
    </row>
    <row r="734" spans="1:14" x14ac:dyDescent="0.25">
      <c r="A734" s="68"/>
      <c r="B734" s="17"/>
      <c r="C734" s="103" t="s">
        <v>5</v>
      </c>
      <c r="D734" s="102"/>
      <c r="E734" s="123" t="s">
        <v>6</v>
      </c>
      <c r="F734" s="153">
        <f t="shared" ref="F734:N734" si="179">F735+F741</f>
        <v>5051.3999999999996</v>
      </c>
      <c r="G734" s="153">
        <f t="shared" si="179"/>
        <v>0</v>
      </c>
      <c r="H734" s="153">
        <f t="shared" si="179"/>
        <v>5051.3999999999996</v>
      </c>
      <c r="I734" s="153">
        <f t="shared" si="179"/>
        <v>5036.3999999999996</v>
      </c>
      <c r="J734" s="153">
        <f t="shared" si="179"/>
        <v>0</v>
      </c>
      <c r="K734" s="153">
        <f t="shared" si="179"/>
        <v>5036.3999999999996</v>
      </c>
      <c r="L734" s="153">
        <f t="shared" si="179"/>
        <v>3499.5</v>
      </c>
      <c r="M734" s="153">
        <f t="shared" si="179"/>
        <v>0</v>
      </c>
      <c r="N734" s="153">
        <f t="shared" si="179"/>
        <v>3499.5</v>
      </c>
    </row>
    <row r="735" spans="1:14" ht="25.5" x14ac:dyDescent="0.25">
      <c r="A735" s="154"/>
      <c r="B735" s="106"/>
      <c r="C735" s="107" t="s">
        <v>7</v>
      </c>
      <c r="D735" s="106"/>
      <c r="E735" s="108" t="s">
        <v>8</v>
      </c>
      <c r="F735" s="109">
        <f t="shared" ref="F735:J737" si="180">F736</f>
        <v>3490.9</v>
      </c>
      <c r="G735" s="109">
        <f t="shared" si="180"/>
        <v>0</v>
      </c>
      <c r="H735" s="109">
        <f t="shared" si="180"/>
        <v>3490.9</v>
      </c>
      <c r="I735" s="109">
        <f t="shared" si="178"/>
        <v>3475.9</v>
      </c>
      <c r="J735" s="109">
        <f t="shared" si="180"/>
        <v>0</v>
      </c>
      <c r="K735" s="109">
        <f t="shared" si="178"/>
        <v>3475.9</v>
      </c>
      <c r="L735" s="109">
        <f t="shared" si="178"/>
        <v>3449.5</v>
      </c>
      <c r="M735" s="109">
        <f t="shared" si="178"/>
        <v>0</v>
      </c>
      <c r="N735" s="109">
        <f t="shared" si="178"/>
        <v>3449.5</v>
      </c>
    </row>
    <row r="736" spans="1:14" ht="39" x14ac:dyDescent="0.25">
      <c r="A736" s="31"/>
      <c r="B736" s="31"/>
      <c r="C736" s="31" t="s">
        <v>20</v>
      </c>
      <c r="D736" s="31"/>
      <c r="E736" s="32" t="s">
        <v>652</v>
      </c>
      <c r="F736" s="75">
        <f t="shared" si="180"/>
        <v>3490.9</v>
      </c>
      <c r="G736" s="75">
        <f t="shared" si="180"/>
        <v>0</v>
      </c>
      <c r="H736" s="75">
        <f t="shared" si="180"/>
        <v>3490.9</v>
      </c>
      <c r="I736" s="75">
        <f t="shared" si="178"/>
        <v>3475.9</v>
      </c>
      <c r="J736" s="75">
        <f t="shared" si="180"/>
        <v>0</v>
      </c>
      <c r="K736" s="75">
        <f t="shared" si="178"/>
        <v>3475.9</v>
      </c>
      <c r="L736" s="75">
        <f t="shared" si="178"/>
        <v>3449.5</v>
      </c>
      <c r="M736" s="75">
        <f t="shared" si="178"/>
        <v>0</v>
      </c>
      <c r="N736" s="75">
        <f t="shared" si="178"/>
        <v>3449.5</v>
      </c>
    </row>
    <row r="737" spans="1:14" ht="39" x14ac:dyDescent="0.25">
      <c r="A737" s="33"/>
      <c r="B737" s="33"/>
      <c r="C737" s="33" t="s">
        <v>22</v>
      </c>
      <c r="D737" s="36"/>
      <c r="E737" s="34" t="s">
        <v>23</v>
      </c>
      <c r="F737" s="71">
        <f t="shared" si="180"/>
        <v>3490.9</v>
      </c>
      <c r="G737" s="71">
        <f t="shared" si="180"/>
        <v>0</v>
      </c>
      <c r="H737" s="71">
        <f t="shared" si="180"/>
        <v>3490.9</v>
      </c>
      <c r="I737" s="71">
        <f t="shared" si="178"/>
        <v>3475.9</v>
      </c>
      <c r="J737" s="71">
        <f t="shared" si="180"/>
        <v>0</v>
      </c>
      <c r="K737" s="71">
        <f t="shared" si="178"/>
        <v>3475.9</v>
      </c>
      <c r="L737" s="71">
        <f t="shared" si="178"/>
        <v>3449.5</v>
      </c>
      <c r="M737" s="71">
        <f t="shared" si="178"/>
        <v>0</v>
      </c>
      <c r="N737" s="71">
        <f t="shared" si="178"/>
        <v>3449.5</v>
      </c>
    </row>
    <row r="738" spans="1:14" ht="25.5" x14ac:dyDescent="0.25">
      <c r="A738" s="68"/>
      <c r="B738" s="16"/>
      <c r="C738" s="122" t="s">
        <v>26</v>
      </c>
      <c r="D738" s="16"/>
      <c r="E738" s="1" t="s">
        <v>27</v>
      </c>
      <c r="F738" s="73">
        <f t="shared" ref="F738:N738" si="181">F739+F740</f>
        <v>3490.9</v>
      </c>
      <c r="G738" s="73">
        <f t="shared" si="181"/>
        <v>0</v>
      </c>
      <c r="H738" s="73">
        <f t="shared" si="181"/>
        <v>3490.9</v>
      </c>
      <c r="I738" s="73">
        <f t="shared" si="181"/>
        <v>3475.9</v>
      </c>
      <c r="J738" s="73">
        <f t="shared" si="181"/>
        <v>0</v>
      </c>
      <c r="K738" s="73">
        <f t="shared" si="181"/>
        <v>3475.9</v>
      </c>
      <c r="L738" s="73">
        <f t="shared" si="181"/>
        <v>3449.5</v>
      </c>
      <c r="M738" s="73">
        <f t="shared" si="181"/>
        <v>0</v>
      </c>
      <c r="N738" s="73">
        <f t="shared" si="181"/>
        <v>3449.5</v>
      </c>
    </row>
    <row r="739" spans="1:14" ht="39" x14ac:dyDescent="0.25">
      <c r="A739" s="68"/>
      <c r="B739" s="16"/>
      <c r="C739" s="122"/>
      <c r="D739" s="16" t="s">
        <v>398</v>
      </c>
      <c r="E739" s="3" t="s">
        <v>399</v>
      </c>
      <c r="F739" s="73">
        <v>3374.4</v>
      </c>
      <c r="G739" s="73"/>
      <c r="H739" s="73">
        <f>SUM(F739:G739)</f>
        <v>3374.4</v>
      </c>
      <c r="I739" s="73">
        <v>3365.8</v>
      </c>
      <c r="J739" s="73"/>
      <c r="K739" s="73">
        <f>SUM(I739:J739)</f>
        <v>3365.8</v>
      </c>
      <c r="L739" s="73">
        <v>3365.8</v>
      </c>
      <c r="M739" s="73"/>
      <c r="N739" s="73">
        <f>SUM(L739:M739)</f>
        <v>3365.8</v>
      </c>
    </row>
    <row r="740" spans="1:14" x14ac:dyDescent="0.25">
      <c r="A740" s="68"/>
      <c r="B740" s="16"/>
      <c r="C740" s="122"/>
      <c r="D740" s="16" t="s">
        <v>280</v>
      </c>
      <c r="E740" s="7" t="s">
        <v>281</v>
      </c>
      <c r="F740" s="70">
        <v>116.49999999999997</v>
      </c>
      <c r="G740" s="70"/>
      <c r="H740" s="70">
        <f>SUM(F740:G740)</f>
        <v>116.49999999999997</v>
      </c>
      <c r="I740" s="70">
        <v>110.09999999999998</v>
      </c>
      <c r="J740" s="70"/>
      <c r="K740" s="70">
        <f>SUM(I740:J740)</f>
        <v>110.09999999999998</v>
      </c>
      <c r="L740" s="70">
        <v>83.699999999999974</v>
      </c>
      <c r="M740" s="70"/>
      <c r="N740" s="70">
        <f>SUM(L740:M740)</f>
        <v>83.699999999999974</v>
      </c>
    </row>
    <row r="741" spans="1:14" ht="25.5" x14ac:dyDescent="0.25">
      <c r="A741" s="105"/>
      <c r="B741" s="106"/>
      <c r="C741" s="107" t="s">
        <v>210</v>
      </c>
      <c r="D741" s="106"/>
      <c r="E741" s="108" t="s">
        <v>211</v>
      </c>
      <c r="F741" s="109">
        <f>F742</f>
        <v>1560.5</v>
      </c>
      <c r="G741" s="109"/>
      <c r="H741" s="109">
        <f>H742</f>
        <v>1560.5</v>
      </c>
      <c r="I741" s="109">
        <f>I742</f>
        <v>1560.5</v>
      </c>
      <c r="J741" s="109"/>
      <c r="K741" s="109">
        <f>K742</f>
        <v>1560.5</v>
      </c>
      <c r="L741" s="109">
        <f>L742</f>
        <v>50</v>
      </c>
      <c r="M741" s="109"/>
      <c r="N741" s="109">
        <f>N742</f>
        <v>50</v>
      </c>
    </row>
    <row r="742" spans="1:14" ht="26.25" x14ac:dyDescent="0.25">
      <c r="A742" s="31"/>
      <c r="B742" s="31"/>
      <c r="C742" s="31" t="s">
        <v>212</v>
      </c>
      <c r="D742" s="31"/>
      <c r="E742" s="32" t="s">
        <v>213</v>
      </c>
      <c r="F742" s="75">
        <f>F743+F748</f>
        <v>1560.5</v>
      </c>
      <c r="G742" s="75"/>
      <c r="H742" s="75">
        <f>H743+H748</f>
        <v>1560.5</v>
      </c>
      <c r="I742" s="75">
        <f>I743+I748</f>
        <v>1560.5</v>
      </c>
      <c r="J742" s="75"/>
      <c r="K742" s="75">
        <f>K743+K748</f>
        <v>1560.5</v>
      </c>
      <c r="L742" s="75">
        <f>L743+L748</f>
        <v>50</v>
      </c>
      <c r="M742" s="75"/>
      <c r="N742" s="75">
        <f>N743+N748</f>
        <v>50</v>
      </c>
    </row>
    <row r="743" spans="1:14" ht="26.25" x14ac:dyDescent="0.25">
      <c r="A743" s="33"/>
      <c r="B743" s="33"/>
      <c r="C743" s="33" t="s">
        <v>228</v>
      </c>
      <c r="D743" s="36"/>
      <c r="E743" s="34" t="s">
        <v>229</v>
      </c>
      <c r="F743" s="71">
        <f>F744+F746</f>
        <v>1510.5</v>
      </c>
      <c r="G743" s="71"/>
      <c r="H743" s="71">
        <f>H744+H746</f>
        <v>1510.5</v>
      </c>
      <c r="I743" s="71">
        <f>I744+I746</f>
        <v>1510.5</v>
      </c>
      <c r="J743" s="71"/>
      <c r="K743" s="71">
        <f>K744+K746</f>
        <v>1510.5</v>
      </c>
      <c r="L743" s="71">
        <f>L744+L746</f>
        <v>0</v>
      </c>
      <c r="M743" s="71"/>
      <c r="N743" s="71">
        <f>N744+N746</f>
        <v>0</v>
      </c>
    </row>
    <row r="744" spans="1:14" ht="51.75" x14ac:dyDescent="0.25">
      <c r="A744" s="6"/>
      <c r="B744" s="6"/>
      <c r="C744" s="6" t="s">
        <v>230</v>
      </c>
      <c r="D744" s="6"/>
      <c r="E744" s="3" t="s">
        <v>653</v>
      </c>
      <c r="F744" s="70">
        <f>F745</f>
        <v>950</v>
      </c>
      <c r="G744" s="70"/>
      <c r="H744" s="70">
        <f>H745</f>
        <v>950</v>
      </c>
      <c r="I744" s="70">
        <f>I745</f>
        <v>950</v>
      </c>
      <c r="J744" s="70"/>
      <c r="K744" s="70">
        <f>K745</f>
        <v>950</v>
      </c>
      <c r="L744" s="70">
        <f>L745</f>
        <v>0</v>
      </c>
      <c r="M744" s="70"/>
      <c r="N744" s="70">
        <f>N745</f>
        <v>0</v>
      </c>
    </row>
    <row r="745" spans="1:14" ht="26.25" x14ac:dyDescent="0.25">
      <c r="A745" s="6"/>
      <c r="B745" s="6"/>
      <c r="C745" s="6"/>
      <c r="D745" s="6" t="s">
        <v>470</v>
      </c>
      <c r="E745" s="3" t="s">
        <v>471</v>
      </c>
      <c r="F745" s="70">
        <v>950</v>
      </c>
      <c r="G745" s="70"/>
      <c r="H745" s="70">
        <v>950</v>
      </c>
      <c r="I745" s="70">
        <v>950</v>
      </c>
      <c r="J745" s="70"/>
      <c r="K745" s="70">
        <v>950</v>
      </c>
      <c r="L745" s="70">
        <v>0</v>
      </c>
      <c r="M745" s="70"/>
      <c r="N745" s="70">
        <v>0</v>
      </c>
    </row>
    <row r="746" spans="1:14" ht="51.75" x14ac:dyDescent="0.25">
      <c r="A746" s="6"/>
      <c r="B746" s="6"/>
      <c r="C746" s="6" t="s">
        <v>231</v>
      </c>
      <c r="D746" s="6"/>
      <c r="E746" s="3" t="s">
        <v>232</v>
      </c>
      <c r="F746" s="70">
        <f>F747</f>
        <v>560.5</v>
      </c>
      <c r="G746" s="70"/>
      <c r="H746" s="70">
        <f>H747</f>
        <v>560.5</v>
      </c>
      <c r="I746" s="70">
        <f t="shared" ref="I746:N746" si="182">I747</f>
        <v>560.5</v>
      </c>
      <c r="J746" s="70"/>
      <c r="K746" s="70">
        <f t="shared" si="182"/>
        <v>560.5</v>
      </c>
      <c r="L746" s="70">
        <f t="shared" si="182"/>
        <v>0</v>
      </c>
      <c r="M746" s="70"/>
      <c r="N746" s="70">
        <f t="shared" si="182"/>
        <v>0</v>
      </c>
    </row>
    <row r="747" spans="1:14" s="50" customFormat="1" ht="26.25" x14ac:dyDescent="0.25">
      <c r="A747" s="6"/>
      <c r="B747" s="6"/>
      <c r="C747" s="6"/>
      <c r="D747" s="6" t="s">
        <v>470</v>
      </c>
      <c r="E747" s="3" t="s">
        <v>471</v>
      </c>
      <c r="F747" s="70">
        <f>590-29.5</f>
        <v>560.5</v>
      </c>
      <c r="G747" s="70"/>
      <c r="H747" s="70">
        <f>590-29.5</f>
        <v>560.5</v>
      </c>
      <c r="I747" s="70">
        <f>590-29.5</f>
        <v>560.5</v>
      </c>
      <c r="J747" s="70"/>
      <c r="K747" s="70">
        <f>590-29.5</f>
        <v>560.5</v>
      </c>
      <c r="L747" s="70">
        <v>0</v>
      </c>
      <c r="M747" s="70"/>
      <c r="N747" s="70">
        <v>0</v>
      </c>
    </row>
    <row r="748" spans="1:14" x14ac:dyDescent="0.25">
      <c r="A748" s="33"/>
      <c r="B748" s="33"/>
      <c r="C748" s="33" t="s">
        <v>233</v>
      </c>
      <c r="D748" s="36"/>
      <c r="E748" s="34" t="s">
        <v>234</v>
      </c>
      <c r="F748" s="71">
        <f>F749</f>
        <v>50</v>
      </c>
      <c r="G748" s="71"/>
      <c r="H748" s="71">
        <f>H749</f>
        <v>50</v>
      </c>
      <c r="I748" s="71">
        <f>I749</f>
        <v>50</v>
      </c>
      <c r="J748" s="71"/>
      <c r="K748" s="71">
        <f>K749</f>
        <v>50</v>
      </c>
      <c r="L748" s="71">
        <f>L749</f>
        <v>50</v>
      </c>
      <c r="M748" s="71"/>
      <c r="N748" s="71">
        <f>N749</f>
        <v>50</v>
      </c>
    </row>
    <row r="749" spans="1:14" x14ac:dyDescent="0.25">
      <c r="A749" s="6"/>
      <c r="B749" s="6"/>
      <c r="C749" s="6" t="s">
        <v>235</v>
      </c>
      <c r="D749" s="6"/>
      <c r="E749" s="3" t="s">
        <v>682</v>
      </c>
      <c r="F749" s="70">
        <f>F750</f>
        <v>50</v>
      </c>
      <c r="G749" s="70"/>
      <c r="H749" s="70">
        <f>H750</f>
        <v>50</v>
      </c>
      <c r="I749" s="70">
        <f>I750</f>
        <v>50</v>
      </c>
      <c r="J749" s="70"/>
      <c r="K749" s="70">
        <f>K750</f>
        <v>50</v>
      </c>
      <c r="L749" s="70">
        <f>L750</f>
        <v>50</v>
      </c>
      <c r="M749" s="70"/>
      <c r="N749" s="70">
        <f>N750</f>
        <v>50</v>
      </c>
    </row>
    <row r="750" spans="1:14" ht="26.25" x14ac:dyDescent="0.25">
      <c r="A750" s="6"/>
      <c r="B750" s="6"/>
      <c r="C750" s="6"/>
      <c r="D750" s="6" t="s">
        <v>470</v>
      </c>
      <c r="E750" s="3" t="s">
        <v>471</v>
      </c>
      <c r="F750" s="70">
        <v>50</v>
      </c>
      <c r="G750" s="70"/>
      <c r="H750" s="70">
        <v>50</v>
      </c>
      <c r="I750" s="70">
        <v>50</v>
      </c>
      <c r="J750" s="70"/>
      <c r="K750" s="70">
        <v>50</v>
      </c>
      <c r="L750" s="70">
        <v>50</v>
      </c>
      <c r="M750" s="70"/>
      <c r="N750" s="70">
        <v>50</v>
      </c>
    </row>
    <row r="751" spans="1:14" x14ac:dyDescent="0.25">
      <c r="A751" s="68"/>
      <c r="B751" s="17">
        <v>1000</v>
      </c>
      <c r="C751" s="103"/>
      <c r="D751" s="102"/>
      <c r="E751" s="96" t="s">
        <v>626</v>
      </c>
      <c r="F751" s="74">
        <f t="shared" ref="F751:N756" si="183">F752</f>
        <v>327.44704000000002</v>
      </c>
      <c r="G751" s="74">
        <f t="shared" si="183"/>
        <v>0</v>
      </c>
      <c r="H751" s="74">
        <f t="shared" si="183"/>
        <v>327.44704000000002</v>
      </c>
      <c r="I751" s="74">
        <f t="shared" si="183"/>
        <v>320.01271000000003</v>
      </c>
      <c r="J751" s="74"/>
      <c r="K751" s="74">
        <f t="shared" si="183"/>
        <v>320.01271000000003</v>
      </c>
      <c r="L751" s="74">
        <f t="shared" si="183"/>
        <v>320.01271000000003</v>
      </c>
      <c r="M751" s="74"/>
      <c r="N751" s="74">
        <f t="shared" si="183"/>
        <v>320.01271000000003</v>
      </c>
    </row>
    <row r="752" spans="1:14" x14ac:dyDescent="0.25">
      <c r="A752" s="102"/>
      <c r="B752" s="17">
        <v>1003</v>
      </c>
      <c r="C752" s="103"/>
      <c r="D752" s="102"/>
      <c r="E752" s="96" t="s">
        <v>630</v>
      </c>
      <c r="F752" s="74">
        <f t="shared" si="183"/>
        <v>327.44704000000002</v>
      </c>
      <c r="G752" s="74">
        <f t="shared" si="183"/>
        <v>0</v>
      </c>
      <c r="H752" s="74">
        <f t="shared" si="183"/>
        <v>327.44704000000002</v>
      </c>
      <c r="I752" s="74">
        <f t="shared" si="183"/>
        <v>320.01271000000003</v>
      </c>
      <c r="J752" s="74"/>
      <c r="K752" s="74">
        <f t="shared" si="183"/>
        <v>320.01271000000003</v>
      </c>
      <c r="L752" s="74">
        <f t="shared" si="183"/>
        <v>320.01271000000003</v>
      </c>
      <c r="M752" s="74"/>
      <c r="N752" s="74">
        <f t="shared" si="183"/>
        <v>320.01271000000003</v>
      </c>
    </row>
    <row r="753" spans="1:14" x14ac:dyDescent="0.25">
      <c r="A753" s="150"/>
      <c r="B753" s="17"/>
      <c r="C753" s="103" t="s">
        <v>5</v>
      </c>
      <c r="D753" s="102"/>
      <c r="E753" s="123" t="s">
        <v>6</v>
      </c>
      <c r="F753" s="74">
        <f t="shared" si="183"/>
        <v>327.44704000000002</v>
      </c>
      <c r="G753" s="74">
        <f t="shared" si="183"/>
        <v>0</v>
      </c>
      <c r="H753" s="74">
        <f t="shared" si="183"/>
        <v>327.44704000000002</v>
      </c>
      <c r="I753" s="74">
        <f t="shared" si="183"/>
        <v>320.01271000000003</v>
      </c>
      <c r="J753" s="74"/>
      <c r="K753" s="74">
        <f t="shared" si="183"/>
        <v>320.01271000000003</v>
      </c>
      <c r="L753" s="74">
        <f t="shared" si="183"/>
        <v>320.01271000000003</v>
      </c>
      <c r="M753" s="74"/>
      <c r="N753" s="74">
        <f t="shared" si="183"/>
        <v>320.01271000000003</v>
      </c>
    </row>
    <row r="754" spans="1:14" ht="25.5" x14ac:dyDescent="0.25">
      <c r="A754" s="105"/>
      <c r="B754" s="106"/>
      <c r="C754" s="107" t="s">
        <v>57</v>
      </c>
      <c r="D754" s="106"/>
      <c r="E754" s="108" t="s">
        <v>58</v>
      </c>
      <c r="F754" s="109">
        <f t="shared" si="183"/>
        <v>327.44704000000002</v>
      </c>
      <c r="G754" s="109">
        <f t="shared" si="183"/>
        <v>0</v>
      </c>
      <c r="H754" s="109">
        <f t="shared" si="183"/>
        <v>327.44704000000002</v>
      </c>
      <c r="I754" s="109">
        <f t="shared" si="183"/>
        <v>320.01271000000003</v>
      </c>
      <c r="J754" s="109"/>
      <c r="K754" s="109">
        <f t="shared" si="183"/>
        <v>320.01271000000003</v>
      </c>
      <c r="L754" s="109">
        <f t="shared" si="183"/>
        <v>320.01271000000003</v>
      </c>
      <c r="M754" s="109"/>
      <c r="N754" s="109">
        <f t="shared" si="183"/>
        <v>320.01271000000003</v>
      </c>
    </row>
    <row r="755" spans="1:14" x14ac:dyDescent="0.25">
      <c r="A755" s="31"/>
      <c r="B755" s="31"/>
      <c r="C755" s="31" t="s">
        <v>132</v>
      </c>
      <c r="D755" s="31"/>
      <c r="E755" s="32" t="s">
        <v>133</v>
      </c>
      <c r="F755" s="75">
        <f t="shared" si="183"/>
        <v>327.44704000000002</v>
      </c>
      <c r="G755" s="75">
        <f t="shared" si="183"/>
        <v>0</v>
      </c>
      <c r="H755" s="75">
        <f t="shared" si="183"/>
        <v>327.44704000000002</v>
      </c>
      <c r="I755" s="75">
        <f t="shared" si="183"/>
        <v>320.01271000000003</v>
      </c>
      <c r="J755" s="75"/>
      <c r="K755" s="75">
        <f t="shared" si="183"/>
        <v>320.01271000000003</v>
      </c>
      <c r="L755" s="75">
        <f t="shared" si="183"/>
        <v>320.01271000000003</v>
      </c>
      <c r="M755" s="75"/>
      <c r="N755" s="75">
        <f t="shared" si="183"/>
        <v>320.01271000000003</v>
      </c>
    </row>
    <row r="756" spans="1:14" ht="26.25" x14ac:dyDescent="0.25">
      <c r="A756" s="33"/>
      <c r="B756" s="33"/>
      <c r="C756" s="33" t="s">
        <v>140</v>
      </c>
      <c r="D756" s="36"/>
      <c r="E756" s="34" t="s">
        <v>141</v>
      </c>
      <c r="F756" s="71">
        <f>F757+F760</f>
        <v>327.44704000000002</v>
      </c>
      <c r="G756" s="71">
        <f>G757+G760</f>
        <v>0</v>
      </c>
      <c r="H756" s="71">
        <f>H757+H760</f>
        <v>327.44704000000002</v>
      </c>
      <c r="I756" s="71">
        <f t="shared" si="183"/>
        <v>320.01271000000003</v>
      </c>
      <c r="J756" s="71"/>
      <c r="K756" s="71">
        <f t="shared" si="183"/>
        <v>320.01271000000003</v>
      </c>
      <c r="L756" s="71">
        <f t="shared" si="183"/>
        <v>320.01271000000003</v>
      </c>
      <c r="M756" s="71"/>
      <c r="N756" s="71">
        <f t="shared" si="183"/>
        <v>320.01271000000003</v>
      </c>
    </row>
    <row r="757" spans="1:14" ht="51" x14ac:dyDescent="0.25">
      <c r="A757" s="150"/>
      <c r="B757" s="16"/>
      <c r="C757" s="122" t="s">
        <v>144</v>
      </c>
      <c r="D757" s="16"/>
      <c r="E757" s="1" t="s">
        <v>654</v>
      </c>
      <c r="F757" s="70">
        <f>SUM(F758:F759)</f>
        <v>317.58704</v>
      </c>
      <c r="G757" s="70"/>
      <c r="H757" s="70">
        <f t="shared" ref="H757:N757" si="184">H758+H759</f>
        <v>317.58704</v>
      </c>
      <c r="I757" s="70">
        <f t="shared" si="184"/>
        <v>320.01271000000003</v>
      </c>
      <c r="J757" s="70"/>
      <c r="K757" s="70">
        <f t="shared" si="184"/>
        <v>320.01271000000003</v>
      </c>
      <c r="L757" s="70">
        <f t="shared" si="184"/>
        <v>320.01271000000003</v>
      </c>
      <c r="M757" s="70"/>
      <c r="N757" s="70">
        <f t="shared" si="184"/>
        <v>320.01271000000003</v>
      </c>
    </row>
    <row r="758" spans="1:14" x14ac:dyDescent="0.25">
      <c r="A758" s="150"/>
      <c r="B758" s="16"/>
      <c r="C758" s="122"/>
      <c r="D758" s="16" t="s">
        <v>423</v>
      </c>
      <c r="E758" s="3" t="s">
        <v>424</v>
      </c>
      <c r="F758" s="70">
        <v>0</v>
      </c>
      <c r="G758" s="70"/>
      <c r="H758" s="70">
        <v>0</v>
      </c>
      <c r="I758" s="70">
        <v>0</v>
      </c>
      <c r="J758" s="70"/>
      <c r="K758" s="70">
        <v>0</v>
      </c>
      <c r="L758" s="70">
        <v>0</v>
      </c>
      <c r="M758" s="70"/>
      <c r="N758" s="70">
        <v>0</v>
      </c>
    </row>
    <row r="759" spans="1:14" ht="25.5" x14ac:dyDescent="0.25">
      <c r="A759" s="150"/>
      <c r="B759" s="16"/>
      <c r="C759" s="122"/>
      <c r="D759" s="16" t="s">
        <v>470</v>
      </c>
      <c r="E759" s="7" t="s">
        <v>471</v>
      </c>
      <c r="F759" s="70">
        <v>317.58704</v>
      </c>
      <c r="G759" s="70"/>
      <c r="H759" s="70">
        <f>445.9-128.31296</f>
        <v>317.58704</v>
      </c>
      <c r="I759" s="70">
        <v>320.01271000000003</v>
      </c>
      <c r="J759" s="70"/>
      <c r="K759" s="70">
        <f>449.6-129.58729</f>
        <v>320.01271000000003</v>
      </c>
      <c r="L759" s="70">
        <v>320.01271000000003</v>
      </c>
      <c r="M759" s="70"/>
      <c r="N759" s="70">
        <f>449.6-129.58729</f>
        <v>320.01271000000003</v>
      </c>
    </row>
    <row r="760" spans="1:14" ht="26.25" x14ac:dyDescent="0.25">
      <c r="A760" s="150"/>
      <c r="B760" s="16"/>
      <c r="C760" s="6" t="s">
        <v>887</v>
      </c>
      <c r="D760" s="6"/>
      <c r="E760" s="3" t="s">
        <v>888</v>
      </c>
      <c r="F760" s="70">
        <v>9.86</v>
      </c>
      <c r="G760" s="70"/>
      <c r="H760" s="70">
        <v>9.86</v>
      </c>
      <c r="I760" s="70"/>
      <c r="J760" s="70"/>
      <c r="K760" s="70">
        <v>0</v>
      </c>
      <c r="L760" s="70"/>
      <c r="M760" s="70"/>
      <c r="N760" s="70">
        <v>0</v>
      </c>
    </row>
    <row r="761" spans="1:14" x14ac:dyDescent="0.25">
      <c r="A761" s="150"/>
      <c r="B761" s="16"/>
      <c r="C761" s="6"/>
      <c r="D761" s="6" t="s">
        <v>280</v>
      </c>
      <c r="E761" s="3" t="s">
        <v>281</v>
      </c>
      <c r="F761" s="70">
        <v>9.86</v>
      </c>
      <c r="G761" s="70"/>
      <c r="H761" s="70">
        <v>9.86</v>
      </c>
      <c r="I761" s="70"/>
      <c r="J761" s="70"/>
      <c r="K761" s="70">
        <v>0</v>
      </c>
      <c r="L761" s="70"/>
      <c r="M761" s="70"/>
      <c r="N761" s="70">
        <v>0</v>
      </c>
    </row>
    <row r="762" spans="1:14" x14ac:dyDescent="0.25">
      <c r="A762" s="150"/>
      <c r="B762" s="16"/>
      <c r="C762" s="6"/>
      <c r="D762" s="6"/>
      <c r="E762" s="3" t="s">
        <v>84</v>
      </c>
      <c r="F762" s="70">
        <v>9.86</v>
      </c>
      <c r="G762" s="70"/>
      <c r="H762" s="70">
        <v>9.86</v>
      </c>
      <c r="I762" s="70"/>
      <c r="J762" s="70"/>
      <c r="K762" s="70">
        <v>0</v>
      </c>
      <c r="L762" s="70"/>
      <c r="M762" s="70"/>
      <c r="N762" s="70">
        <v>0</v>
      </c>
    </row>
    <row r="763" spans="1:14" x14ac:dyDescent="0.25">
      <c r="A763" s="150"/>
      <c r="B763" s="17">
        <v>1100</v>
      </c>
      <c r="C763" s="103"/>
      <c r="D763" s="102"/>
      <c r="E763" s="96" t="s">
        <v>645</v>
      </c>
      <c r="F763" s="74">
        <f t="shared" ref="F763:N768" si="185">F764</f>
        <v>66</v>
      </c>
      <c r="G763" s="74"/>
      <c r="H763" s="74">
        <f t="shared" si="185"/>
        <v>66</v>
      </c>
      <c r="I763" s="74">
        <f t="shared" si="185"/>
        <v>0</v>
      </c>
      <c r="J763" s="74"/>
      <c r="K763" s="74">
        <f t="shared" si="185"/>
        <v>0</v>
      </c>
      <c r="L763" s="74">
        <f t="shared" si="185"/>
        <v>0</v>
      </c>
      <c r="M763" s="74"/>
      <c r="N763" s="74">
        <f t="shared" si="185"/>
        <v>0</v>
      </c>
    </row>
    <row r="764" spans="1:14" x14ac:dyDescent="0.25">
      <c r="A764" s="150"/>
      <c r="B764" s="17" t="s">
        <v>646</v>
      </c>
      <c r="C764" s="103"/>
      <c r="D764" s="17"/>
      <c r="E764" s="123" t="s">
        <v>647</v>
      </c>
      <c r="F764" s="74">
        <f t="shared" si="185"/>
        <v>66</v>
      </c>
      <c r="G764" s="74"/>
      <c r="H764" s="74">
        <f t="shared" si="185"/>
        <v>66</v>
      </c>
      <c r="I764" s="74">
        <f t="shared" si="185"/>
        <v>0</v>
      </c>
      <c r="J764" s="74"/>
      <c r="K764" s="74">
        <f t="shared" si="185"/>
        <v>0</v>
      </c>
      <c r="L764" s="74">
        <f t="shared" si="185"/>
        <v>0</v>
      </c>
      <c r="M764" s="74"/>
      <c r="N764" s="74">
        <f t="shared" si="185"/>
        <v>0</v>
      </c>
    </row>
    <row r="765" spans="1:14" x14ac:dyDescent="0.25">
      <c r="A765" s="150"/>
      <c r="B765" s="17"/>
      <c r="C765" s="103" t="s">
        <v>5</v>
      </c>
      <c r="D765" s="17"/>
      <c r="E765" s="123" t="s">
        <v>6</v>
      </c>
      <c r="F765" s="74">
        <f t="shared" si="185"/>
        <v>66</v>
      </c>
      <c r="G765" s="74"/>
      <c r="H765" s="74">
        <f t="shared" si="185"/>
        <v>66</v>
      </c>
      <c r="I765" s="74">
        <f t="shared" si="185"/>
        <v>0</v>
      </c>
      <c r="J765" s="74"/>
      <c r="K765" s="74">
        <f t="shared" si="185"/>
        <v>0</v>
      </c>
      <c r="L765" s="74">
        <f t="shared" si="185"/>
        <v>0</v>
      </c>
      <c r="M765" s="74"/>
      <c r="N765" s="74">
        <f t="shared" si="185"/>
        <v>0</v>
      </c>
    </row>
    <row r="766" spans="1:14" ht="25.5" x14ac:dyDescent="0.25">
      <c r="A766" s="105"/>
      <c r="B766" s="106"/>
      <c r="C766" s="107" t="s">
        <v>255</v>
      </c>
      <c r="D766" s="106"/>
      <c r="E766" s="108" t="s">
        <v>256</v>
      </c>
      <c r="F766" s="109">
        <f t="shared" si="185"/>
        <v>66</v>
      </c>
      <c r="G766" s="109"/>
      <c r="H766" s="109">
        <f t="shared" si="185"/>
        <v>66</v>
      </c>
      <c r="I766" s="109">
        <f t="shared" si="185"/>
        <v>0</v>
      </c>
      <c r="J766" s="109"/>
      <c r="K766" s="109">
        <f t="shared" si="185"/>
        <v>0</v>
      </c>
      <c r="L766" s="109">
        <f t="shared" si="185"/>
        <v>0</v>
      </c>
      <c r="M766" s="109"/>
      <c r="N766" s="109">
        <f t="shared" si="185"/>
        <v>0</v>
      </c>
    </row>
    <row r="767" spans="1:14" ht="26.25" x14ac:dyDescent="0.25">
      <c r="A767" s="33"/>
      <c r="B767" s="33"/>
      <c r="C767" s="33" t="s">
        <v>257</v>
      </c>
      <c r="D767" s="33"/>
      <c r="E767" s="34" t="s">
        <v>258</v>
      </c>
      <c r="F767" s="71">
        <f t="shared" si="185"/>
        <v>66</v>
      </c>
      <c r="G767" s="71"/>
      <c r="H767" s="71">
        <f t="shared" si="185"/>
        <v>66</v>
      </c>
      <c r="I767" s="71">
        <f t="shared" si="185"/>
        <v>0</v>
      </c>
      <c r="J767" s="71"/>
      <c r="K767" s="71">
        <f t="shared" si="185"/>
        <v>0</v>
      </c>
      <c r="L767" s="71">
        <f t="shared" si="185"/>
        <v>0</v>
      </c>
      <c r="M767" s="71"/>
      <c r="N767" s="71">
        <f t="shared" si="185"/>
        <v>0</v>
      </c>
    </row>
    <row r="768" spans="1:14" ht="39" x14ac:dyDescent="0.25">
      <c r="A768" s="92"/>
      <c r="B768" s="92"/>
      <c r="C768" s="6" t="s">
        <v>259</v>
      </c>
      <c r="D768" s="6"/>
      <c r="E768" s="3" t="s">
        <v>260</v>
      </c>
      <c r="F768" s="70">
        <f>F769</f>
        <v>66</v>
      </c>
      <c r="G768" s="70"/>
      <c r="H768" s="70">
        <f>H769</f>
        <v>66</v>
      </c>
      <c r="I768" s="70">
        <f t="shared" si="185"/>
        <v>0</v>
      </c>
      <c r="J768" s="70"/>
      <c r="K768" s="70">
        <f t="shared" si="185"/>
        <v>0</v>
      </c>
      <c r="L768" s="70">
        <f t="shared" si="185"/>
        <v>0</v>
      </c>
      <c r="M768" s="70"/>
      <c r="N768" s="70">
        <f t="shared" si="185"/>
        <v>0</v>
      </c>
    </row>
    <row r="769" spans="1:14" ht="26.25" x14ac:dyDescent="0.25">
      <c r="A769" s="92"/>
      <c r="B769" s="92"/>
      <c r="C769" s="6"/>
      <c r="D769" s="6" t="s">
        <v>470</v>
      </c>
      <c r="E769" s="3" t="s">
        <v>471</v>
      </c>
      <c r="F769" s="70">
        <v>66</v>
      </c>
      <c r="G769" s="70"/>
      <c r="H769" s="70">
        <v>66</v>
      </c>
      <c r="I769" s="70">
        <v>0</v>
      </c>
      <c r="J769" s="70"/>
      <c r="K769" s="70">
        <v>0</v>
      </c>
      <c r="L769" s="70">
        <v>0</v>
      </c>
      <c r="M769" s="70"/>
      <c r="N769" s="70">
        <v>0</v>
      </c>
    </row>
    <row r="770" spans="1:14" x14ac:dyDescent="0.25">
      <c r="A770" s="150"/>
      <c r="B770" s="17">
        <v>1200</v>
      </c>
      <c r="C770" s="103"/>
      <c r="D770" s="102"/>
      <c r="E770" s="96" t="s">
        <v>655</v>
      </c>
      <c r="F770" s="74">
        <f>F771</f>
        <v>1487.8</v>
      </c>
      <c r="G770" s="74"/>
      <c r="H770" s="74">
        <f>H771</f>
        <v>1487.8</v>
      </c>
      <c r="I770" s="74">
        <f>I771</f>
        <v>1487.8</v>
      </c>
      <c r="J770" s="74"/>
      <c r="K770" s="74">
        <f>K771</f>
        <v>1487.8</v>
      </c>
      <c r="L770" s="74">
        <f>L771</f>
        <v>1487.8</v>
      </c>
      <c r="M770" s="74"/>
      <c r="N770" s="74">
        <f>N771</f>
        <v>1487.8</v>
      </c>
    </row>
    <row r="771" spans="1:14" x14ac:dyDescent="0.25">
      <c r="A771" s="102"/>
      <c r="B771" s="17">
        <v>1202</v>
      </c>
      <c r="C771" s="103"/>
      <c r="D771" s="102"/>
      <c r="E771" s="96" t="s">
        <v>656</v>
      </c>
      <c r="F771" s="74">
        <f>F772</f>
        <v>1487.8</v>
      </c>
      <c r="G771" s="74"/>
      <c r="H771" s="74">
        <f>H772</f>
        <v>1487.8</v>
      </c>
      <c r="I771" s="74">
        <f t="shared" ref="I771:N773" si="186">I772</f>
        <v>1487.8</v>
      </c>
      <c r="J771" s="74"/>
      <c r="K771" s="74">
        <f t="shared" si="186"/>
        <v>1487.8</v>
      </c>
      <c r="L771" s="74">
        <f t="shared" si="186"/>
        <v>1487.8</v>
      </c>
      <c r="M771" s="74"/>
      <c r="N771" s="74">
        <f t="shared" si="186"/>
        <v>1487.8</v>
      </c>
    </row>
    <row r="772" spans="1:14" x14ac:dyDescent="0.25">
      <c r="A772" s="102"/>
      <c r="B772" s="17"/>
      <c r="C772" s="103" t="s">
        <v>5</v>
      </c>
      <c r="D772" s="102"/>
      <c r="E772" s="123" t="s">
        <v>6</v>
      </c>
      <c r="F772" s="74">
        <f>F773</f>
        <v>1487.8</v>
      </c>
      <c r="G772" s="74"/>
      <c r="H772" s="74">
        <f>H773</f>
        <v>1487.8</v>
      </c>
      <c r="I772" s="74">
        <f t="shared" si="186"/>
        <v>1487.8</v>
      </c>
      <c r="J772" s="74"/>
      <c r="K772" s="74">
        <f t="shared" si="186"/>
        <v>1487.8</v>
      </c>
      <c r="L772" s="74">
        <f t="shared" si="186"/>
        <v>1487.8</v>
      </c>
      <c r="M772" s="74"/>
      <c r="N772" s="74">
        <f t="shared" si="186"/>
        <v>1487.8</v>
      </c>
    </row>
    <row r="773" spans="1:14" ht="25.5" x14ac:dyDescent="0.25">
      <c r="A773" s="154"/>
      <c r="B773" s="106"/>
      <c r="C773" s="107" t="s">
        <v>210</v>
      </c>
      <c r="D773" s="106"/>
      <c r="E773" s="108" t="s">
        <v>211</v>
      </c>
      <c r="F773" s="109">
        <f>F774</f>
        <v>1487.8</v>
      </c>
      <c r="G773" s="109"/>
      <c r="H773" s="109">
        <f>H774</f>
        <v>1487.8</v>
      </c>
      <c r="I773" s="109">
        <f t="shared" si="186"/>
        <v>1487.8</v>
      </c>
      <c r="J773" s="109"/>
      <c r="K773" s="109">
        <f t="shared" si="186"/>
        <v>1487.8</v>
      </c>
      <c r="L773" s="109">
        <f t="shared" si="186"/>
        <v>1487.8</v>
      </c>
      <c r="M773" s="109"/>
      <c r="N773" s="109">
        <f t="shared" si="186"/>
        <v>1487.8</v>
      </c>
    </row>
    <row r="774" spans="1:14" x14ac:dyDescent="0.25">
      <c r="A774" s="31"/>
      <c r="B774" s="31"/>
      <c r="C774" s="31" t="s">
        <v>250</v>
      </c>
      <c r="D774" s="31"/>
      <c r="E774" s="32" t="s">
        <v>251</v>
      </c>
      <c r="F774" s="75">
        <f t="shared" ref="F774:N776" si="187">F775</f>
        <v>1487.8</v>
      </c>
      <c r="G774" s="75"/>
      <c r="H774" s="75">
        <f t="shared" si="187"/>
        <v>1487.8</v>
      </c>
      <c r="I774" s="75">
        <f t="shared" si="187"/>
        <v>1487.8</v>
      </c>
      <c r="J774" s="75"/>
      <c r="K774" s="75">
        <f t="shared" si="187"/>
        <v>1487.8</v>
      </c>
      <c r="L774" s="75">
        <f t="shared" si="187"/>
        <v>1487.8</v>
      </c>
      <c r="M774" s="75"/>
      <c r="N774" s="75">
        <f t="shared" si="187"/>
        <v>1487.8</v>
      </c>
    </row>
    <row r="775" spans="1:14" ht="39" x14ac:dyDescent="0.25">
      <c r="A775" s="33"/>
      <c r="B775" s="33"/>
      <c r="C775" s="33" t="s">
        <v>252</v>
      </c>
      <c r="D775" s="33"/>
      <c r="E775" s="34" t="s">
        <v>253</v>
      </c>
      <c r="F775" s="71">
        <f t="shared" si="187"/>
        <v>1487.8</v>
      </c>
      <c r="G775" s="71"/>
      <c r="H775" s="71">
        <f t="shared" si="187"/>
        <v>1487.8</v>
      </c>
      <c r="I775" s="71">
        <f t="shared" si="187"/>
        <v>1487.8</v>
      </c>
      <c r="J775" s="71"/>
      <c r="K775" s="71">
        <f t="shared" si="187"/>
        <v>1487.8</v>
      </c>
      <c r="L775" s="71">
        <f t="shared" si="187"/>
        <v>1487.8</v>
      </c>
      <c r="M775" s="71"/>
      <c r="N775" s="71">
        <f t="shared" si="187"/>
        <v>1487.8</v>
      </c>
    </row>
    <row r="776" spans="1:14" x14ac:dyDescent="0.25">
      <c r="A776" s="92"/>
      <c r="B776" s="92"/>
      <c r="C776" s="6" t="s">
        <v>254</v>
      </c>
      <c r="D776" s="6"/>
      <c r="E776" s="3" t="s">
        <v>477</v>
      </c>
      <c r="F776" s="70">
        <f>F777</f>
        <v>1487.8</v>
      </c>
      <c r="G776" s="70"/>
      <c r="H776" s="70">
        <f>H777</f>
        <v>1487.8</v>
      </c>
      <c r="I776" s="70">
        <f t="shared" si="187"/>
        <v>1487.8</v>
      </c>
      <c r="J776" s="70"/>
      <c r="K776" s="70">
        <f t="shared" si="187"/>
        <v>1487.8</v>
      </c>
      <c r="L776" s="70">
        <f t="shared" si="187"/>
        <v>1487.8</v>
      </c>
      <c r="M776" s="70"/>
      <c r="N776" s="70">
        <f t="shared" si="187"/>
        <v>1487.8</v>
      </c>
    </row>
    <row r="777" spans="1:14" ht="26.25" x14ac:dyDescent="0.25">
      <c r="A777" s="92"/>
      <c r="B777" s="92"/>
      <c r="C777" s="6"/>
      <c r="D777" s="6" t="s">
        <v>470</v>
      </c>
      <c r="E777" s="3" t="s">
        <v>471</v>
      </c>
      <c r="F777" s="70">
        <v>1487.8</v>
      </c>
      <c r="G777" s="70"/>
      <c r="H777" s="70">
        <v>1487.8</v>
      </c>
      <c r="I777" s="70">
        <v>1487.8</v>
      </c>
      <c r="J777" s="70"/>
      <c r="K777" s="70">
        <v>1487.8</v>
      </c>
      <c r="L777" s="70">
        <v>1487.8</v>
      </c>
      <c r="M777" s="70"/>
      <c r="N777" s="70">
        <v>1487.8</v>
      </c>
    </row>
    <row r="778" spans="1:14" x14ac:dyDescent="0.25">
      <c r="A778" s="100">
        <v>636</v>
      </c>
      <c r="B778" s="147"/>
      <c r="C778" s="148"/>
      <c r="D778" s="100"/>
      <c r="E778" s="101" t="s">
        <v>657</v>
      </c>
      <c r="F778" s="83">
        <f t="shared" ref="F778:N780" si="188">F779</f>
        <v>3059.7</v>
      </c>
      <c r="G778" s="83">
        <f t="shared" si="188"/>
        <v>0</v>
      </c>
      <c r="H778" s="83">
        <f t="shared" si="188"/>
        <v>3059.7</v>
      </c>
      <c r="I778" s="83">
        <f t="shared" si="188"/>
        <v>3121.3</v>
      </c>
      <c r="J778" s="83">
        <f t="shared" si="188"/>
        <v>0</v>
      </c>
      <c r="K778" s="83">
        <f t="shared" si="188"/>
        <v>3121.3</v>
      </c>
      <c r="L778" s="83">
        <f t="shared" si="188"/>
        <v>2787.3</v>
      </c>
      <c r="M778" s="83">
        <f t="shared" si="188"/>
        <v>0</v>
      </c>
      <c r="N778" s="83">
        <f t="shared" si="188"/>
        <v>2787.3</v>
      </c>
    </row>
    <row r="779" spans="1:14" x14ac:dyDescent="0.25">
      <c r="A779" s="68"/>
      <c r="B779" s="17" t="s">
        <v>564</v>
      </c>
      <c r="C779" s="103"/>
      <c r="D779" s="102"/>
      <c r="E779" s="96" t="s">
        <v>572</v>
      </c>
      <c r="F779" s="74">
        <f t="shared" si="188"/>
        <v>3059.7</v>
      </c>
      <c r="G779" s="74">
        <f t="shared" si="188"/>
        <v>0</v>
      </c>
      <c r="H779" s="74">
        <f t="shared" si="188"/>
        <v>3059.7</v>
      </c>
      <c r="I779" s="74">
        <f t="shared" si="188"/>
        <v>3121.3</v>
      </c>
      <c r="J779" s="74">
        <f t="shared" si="188"/>
        <v>0</v>
      </c>
      <c r="K779" s="74">
        <f t="shared" si="188"/>
        <v>3121.3</v>
      </c>
      <c r="L779" s="74">
        <f t="shared" si="188"/>
        <v>2787.3</v>
      </c>
      <c r="M779" s="74">
        <f t="shared" si="188"/>
        <v>0</v>
      </c>
      <c r="N779" s="74">
        <f t="shared" si="188"/>
        <v>2787.3</v>
      </c>
    </row>
    <row r="780" spans="1:14" ht="25.5" x14ac:dyDescent="0.25">
      <c r="A780" s="68"/>
      <c r="B780" s="17" t="s">
        <v>658</v>
      </c>
      <c r="C780" s="103"/>
      <c r="D780" s="17"/>
      <c r="E780" s="123" t="s">
        <v>659</v>
      </c>
      <c r="F780" s="74">
        <f t="shared" si="188"/>
        <v>3059.7</v>
      </c>
      <c r="G780" s="74">
        <f t="shared" si="188"/>
        <v>0</v>
      </c>
      <c r="H780" s="74">
        <f t="shared" si="188"/>
        <v>3059.7</v>
      </c>
      <c r="I780" s="74">
        <f t="shared" si="188"/>
        <v>3121.3</v>
      </c>
      <c r="J780" s="74">
        <f t="shared" si="188"/>
        <v>0</v>
      </c>
      <c r="K780" s="74">
        <f t="shared" si="188"/>
        <v>3121.3</v>
      </c>
      <c r="L780" s="74">
        <f t="shared" si="188"/>
        <v>2787.3</v>
      </c>
      <c r="M780" s="74">
        <f t="shared" si="188"/>
        <v>0</v>
      </c>
      <c r="N780" s="74">
        <f t="shared" si="188"/>
        <v>2787.3</v>
      </c>
    </row>
    <row r="781" spans="1:14" x14ac:dyDescent="0.25">
      <c r="A781" s="155"/>
      <c r="B781" s="156"/>
      <c r="C781" s="113" t="s">
        <v>574</v>
      </c>
      <c r="D781" s="114"/>
      <c r="E781" s="115" t="s">
        <v>575</v>
      </c>
      <c r="F781" s="135">
        <f t="shared" ref="F781:N781" si="189">F782+F788</f>
        <v>3059.7</v>
      </c>
      <c r="G781" s="135">
        <f t="shared" si="189"/>
        <v>0</v>
      </c>
      <c r="H781" s="135">
        <f t="shared" si="189"/>
        <v>3059.7</v>
      </c>
      <c r="I781" s="135">
        <f t="shared" si="189"/>
        <v>3121.3</v>
      </c>
      <c r="J781" s="135">
        <f t="shared" si="189"/>
        <v>0</v>
      </c>
      <c r="K781" s="135">
        <f t="shared" si="189"/>
        <v>3121.3</v>
      </c>
      <c r="L781" s="135">
        <f t="shared" si="189"/>
        <v>2787.3</v>
      </c>
      <c r="M781" s="135">
        <f t="shared" si="189"/>
        <v>0</v>
      </c>
      <c r="N781" s="135">
        <f t="shared" si="189"/>
        <v>2787.3</v>
      </c>
    </row>
    <row r="782" spans="1:14" s="39" customFormat="1" ht="26.25" x14ac:dyDescent="0.25">
      <c r="A782" s="144"/>
      <c r="B782" s="144"/>
      <c r="C782" s="138" t="s">
        <v>395</v>
      </c>
      <c r="D782" s="62"/>
      <c r="E782" s="63" t="s">
        <v>396</v>
      </c>
      <c r="F782" s="84">
        <f>F783+F785</f>
        <v>2909.7</v>
      </c>
      <c r="G782" s="84"/>
      <c r="H782" s="84">
        <f>H783+H785</f>
        <v>2909.7</v>
      </c>
      <c r="I782" s="84">
        <f>I783+I785</f>
        <v>2971.3</v>
      </c>
      <c r="J782" s="84"/>
      <c r="K782" s="84">
        <f>K783+K785</f>
        <v>2971.3</v>
      </c>
      <c r="L782" s="84">
        <f>L783+L785</f>
        <v>2737.3</v>
      </c>
      <c r="M782" s="84"/>
      <c r="N782" s="84">
        <f>N783+N785</f>
        <v>2737.3</v>
      </c>
    </row>
    <row r="783" spans="1:14" ht="26.25" x14ac:dyDescent="0.25">
      <c r="A783" s="92"/>
      <c r="B783" s="92"/>
      <c r="C783" s="6" t="s">
        <v>397</v>
      </c>
      <c r="D783" s="6"/>
      <c r="E783" s="3" t="s">
        <v>486</v>
      </c>
      <c r="F783" s="70">
        <v>1164</v>
      </c>
      <c r="G783" s="70"/>
      <c r="H783" s="70">
        <v>1164</v>
      </c>
      <c r="I783" s="70">
        <v>1164</v>
      </c>
      <c r="J783" s="70"/>
      <c r="K783" s="70">
        <v>1164</v>
      </c>
      <c r="L783" s="70">
        <f>L784</f>
        <v>939.8</v>
      </c>
      <c r="M783" s="70"/>
      <c r="N783" s="70">
        <f>N784</f>
        <v>939.8</v>
      </c>
    </row>
    <row r="784" spans="1:14" ht="39" x14ac:dyDescent="0.25">
      <c r="A784" s="92"/>
      <c r="B784" s="92"/>
      <c r="C784" s="6"/>
      <c r="D784" s="6" t="s">
        <v>398</v>
      </c>
      <c r="E784" s="3" t="s">
        <v>399</v>
      </c>
      <c r="F784" s="80">
        <v>1164</v>
      </c>
      <c r="G784" s="80"/>
      <c r="H784" s="80">
        <v>1164</v>
      </c>
      <c r="I784" s="80">
        <v>1164</v>
      </c>
      <c r="J784" s="80"/>
      <c r="K784" s="80">
        <v>1164</v>
      </c>
      <c r="L784" s="80">
        <f>1164-224.2</f>
        <v>939.8</v>
      </c>
      <c r="M784" s="80"/>
      <c r="N784" s="80">
        <f>1164-224.2</f>
        <v>939.8</v>
      </c>
    </row>
    <row r="785" spans="1:14" ht="26.25" x14ac:dyDescent="0.25">
      <c r="A785" s="92"/>
      <c r="B785" s="92"/>
      <c r="C785" s="6" t="s">
        <v>400</v>
      </c>
      <c r="D785" s="6"/>
      <c r="E785" s="54" t="s">
        <v>796</v>
      </c>
      <c r="F785" s="80">
        <f>F786+F787</f>
        <v>1745.7</v>
      </c>
      <c r="G785" s="80"/>
      <c r="H785" s="80">
        <f>H786+H787</f>
        <v>1745.7</v>
      </c>
      <c r="I785" s="80">
        <f>I786+I787</f>
        <v>1807.3</v>
      </c>
      <c r="J785" s="80"/>
      <c r="K785" s="80">
        <f>K786+K787</f>
        <v>1807.3</v>
      </c>
      <c r="L785" s="80">
        <f>L786+L787</f>
        <v>1797.5</v>
      </c>
      <c r="M785" s="80"/>
      <c r="N785" s="80">
        <f>N786+N787</f>
        <v>1797.5</v>
      </c>
    </row>
    <row r="786" spans="1:14" ht="39" x14ac:dyDescent="0.25">
      <c r="A786" s="92"/>
      <c r="B786" s="92"/>
      <c r="C786" s="6"/>
      <c r="D786" s="6" t="s">
        <v>398</v>
      </c>
      <c r="E786" s="3" t="s">
        <v>399</v>
      </c>
      <c r="F786" s="80">
        <v>1695</v>
      </c>
      <c r="G786" s="80"/>
      <c r="H786" s="80">
        <v>1695</v>
      </c>
      <c r="I786" s="80">
        <v>1756.6</v>
      </c>
      <c r="J786" s="80"/>
      <c r="K786" s="80">
        <v>1756.6</v>
      </c>
      <c r="L786" s="80">
        <v>1756.6</v>
      </c>
      <c r="M786" s="80"/>
      <c r="N786" s="80">
        <v>1756.6</v>
      </c>
    </row>
    <row r="787" spans="1:14" x14ac:dyDescent="0.25">
      <c r="A787" s="92"/>
      <c r="B787" s="92"/>
      <c r="C787" s="6"/>
      <c r="D787" s="6" t="s">
        <v>280</v>
      </c>
      <c r="E787" s="3" t="s">
        <v>281</v>
      </c>
      <c r="F787" s="70">
        <v>50.7</v>
      </c>
      <c r="G787" s="70"/>
      <c r="H787" s="70">
        <v>50.7</v>
      </c>
      <c r="I787" s="70">
        <v>50.7</v>
      </c>
      <c r="J787" s="70"/>
      <c r="K787" s="70">
        <v>50.7</v>
      </c>
      <c r="L787" s="70">
        <f>50.7-9.8</f>
        <v>40.900000000000006</v>
      </c>
      <c r="M787" s="70"/>
      <c r="N787" s="70">
        <f>50.7-9.8</f>
        <v>40.900000000000006</v>
      </c>
    </row>
    <row r="788" spans="1:14" ht="25.5" x14ac:dyDescent="0.25">
      <c r="A788" s="144"/>
      <c r="B788" s="144"/>
      <c r="C788" s="138" t="s">
        <v>401</v>
      </c>
      <c r="D788" s="139"/>
      <c r="E788" s="157" t="s">
        <v>576</v>
      </c>
      <c r="F788" s="84">
        <f t="shared" ref="F788:N789" si="190">F789</f>
        <v>150</v>
      </c>
      <c r="G788" s="84">
        <f t="shared" si="190"/>
        <v>0</v>
      </c>
      <c r="H788" s="84">
        <f t="shared" si="190"/>
        <v>150</v>
      </c>
      <c r="I788" s="84">
        <f t="shared" si="190"/>
        <v>150</v>
      </c>
      <c r="J788" s="84">
        <f t="shared" si="190"/>
        <v>0</v>
      </c>
      <c r="K788" s="84">
        <f t="shared" si="190"/>
        <v>150</v>
      </c>
      <c r="L788" s="84">
        <f t="shared" si="190"/>
        <v>50</v>
      </c>
      <c r="M788" s="84">
        <f t="shared" si="190"/>
        <v>0</v>
      </c>
      <c r="N788" s="84">
        <f t="shared" si="190"/>
        <v>50</v>
      </c>
    </row>
    <row r="789" spans="1:14" ht="26.25" x14ac:dyDescent="0.25">
      <c r="A789" s="92"/>
      <c r="B789" s="92"/>
      <c r="C789" s="6" t="s">
        <v>425</v>
      </c>
      <c r="D789" s="6"/>
      <c r="E789" s="3" t="s">
        <v>426</v>
      </c>
      <c r="F789" s="70">
        <f t="shared" si="190"/>
        <v>150</v>
      </c>
      <c r="G789" s="70">
        <f>G790</f>
        <v>0</v>
      </c>
      <c r="H789" s="70">
        <f t="shared" si="190"/>
        <v>150</v>
      </c>
      <c r="I789" s="70">
        <f t="shared" si="190"/>
        <v>150</v>
      </c>
      <c r="J789" s="70">
        <f>J790</f>
        <v>0</v>
      </c>
      <c r="K789" s="70">
        <f t="shared" si="190"/>
        <v>150</v>
      </c>
      <c r="L789" s="70">
        <f t="shared" si="190"/>
        <v>50</v>
      </c>
      <c r="M789" s="70">
        <f>M790</f>
        <v>0</v>
      </c>
      <c r="N789" s="70">
        <f t="shared" si="190"/>
        <v>50</v>
      </c>
    </row>
    <row r="790" spans="1:14" x14ac:dyDescent="0.25">
      <c r="A790" s="92"/>
      <c r="B790" s="92"/>
      <c r="C790" s="6"/>
      <c r="D790" s="6" t="s">
        <v>280</v>
      </c>
      <c r="E790" s="3" t="s">
        <v>281</v>
      </c>
      <c r="F790" s="70">
        <v>150</v>
      </c>
      <c r="G790" s="70"/>
      <c r="H790" s="70">
        <v>150</v>
      </c>
      <c r="I790" s="70">
        <v>150</v>
      </c>
      <c r="J790" s="70"/>
      <c r="K790" s="70">
        <v>150</v>
      </c>
      <c r="L790" s="70">
        <v>50</v>
      </c>
      <c r="M790" s="70"/>
      <c r="N790" s="70">
        <v>50</v>
      </c>
    </row>
    <row r="791" spans="1:14" ht="25.5" x14ac:dyDescent="0.25">
      <c r="A791" s="100">
        <v>651</v>
      </c>
      <c r="B791" s="147"/>
      <c r="C791" s="148"/>
      <c r="D791" s="100"/>
      <c r="E791" s="101" t="s">
        <v>660</v>
      </c>
      <c r="F791" s="83">
        <f t="shared" ref="F791:N791" si="191">F792</f>
        <v>33371.719299999997</v>
      </c>
      <c r="G791" s="83">
        <f t="shared" si="191"/>
        <v>243.4</v>
      </c>
      <c r="H791" s="83">
        <f t="shared" si="191"/>
        <v>33615.119299999998</v>
      </c>
      <c r="I791" s="83">
        <f t="shared" si="191"/>
        <v>33738.457699999999</v>
      </c>
      <c r="J791" s="83">
        <f t="shared" si="191"/>
        <v>0</v>
      </c>
      <c r="K791" s="83">
        <f t="shared" si="191"/>
        <v>33738.457699999999</v>
      </c>
      <c r="L791" s="83">
        <f t="shared" si="191"/>
        <v>33496.817300000002</v>
      </c>
      <c r="M791" s="83">
        <f t="shared" si="191"/>
        <v>0</v>
      </c>
      <c r="N791" s="83">
        <f t="shared" si="191"/>
        <v>33496.817300000002</v>
      </c>
    </row>
    <row r="792" spans="1:14" x14ac:dyDescent="0.25">
      <c r="A792" s="68"/>
      <c r="B792" s="17" t="s">
        <v>564</v>
      </c>
      <c r="C792" s="103"/>
      <c r="D792" s="102"/>
      <c r="E792" s="96" t="s">
        <v>572</v>
      </c>
      <c r="F792" s="74">
        <f t="shared" ref="F792:N792" si="192">F793+F801+F806</f>
        <v>33371.719299999997</v>
      </c>
      <c r="G792" s="74">
        <f t="shared" si="192"/>
        <v>243.4</v>
      </c>
      <c r="H792" s="74">
        <f t="shared" si="192"/>
        <v>33615.119299999998</v>
      </c>
      <c r="I792" s="74">
        <f t="shared" si="192"/>
        <v>33738.457699999999</v>
      </c>
      <c r="J792" s="74">
        <f t="shared" si="192"/>
        <v>0</v>
      </c>
      <c r="K792" s="74">
        <f t="shared" si="192"/>
        <v>33738.457699999999</v>
      </c>
      <c r="L792" s="74">
        <f t="shared" si="192"/>
        <v>33496.817300000002</v>
      </c>
      <c r="M792" s="74">
        <f t="shared" si="192"/>
        <v>0</v>
      </c>
      <c r="N792" s="74">
        <f t="shared" si="192"/>
        <v>33496.817300000002</v>
      </c>
    </row>
    <row r="793" spans="1:14" ht="25.5" x14ac:dyDescent="0.25">
      <c r="A793" s="68"/>
      <c r="B793" s="17" t="s">
        <v>661</v>
      </c>
      <c r="C793" s="103"/>
      <c r="D793" s="102"/>
      <c r="E793" s="96" t="s">
        <v>662</v>
      </c>
      <c r="F793" s="74">
        <f t="shared" ref="F793:N793" si="193">F794</f>
        <v>7771.1</v>
      </c>
      <c r="G793" s="74">
        <f t="shared" si="193"/>
        <v>0</v>
      </c>
      <c r="H793" s="74">
        <f t="shared" si="193"/>
        <v>7771.1</v>
      </c>
      <c r="I793" s="74">
        <f t="shared" si="193"/>
        <v>7896.6</v>
      </c>
      <c r="J793" s="74">
        <f t="shared" si="193"/>
        <v>0</v>
      </c>
      <c r="K793" s="74">
        <f t="shared" si="193"/>
        <v>7896.6</v>
      </c>
      <c r="L793" s="74">
        <f t="shared" si="193"/>
        <v>7848.3</v>
      </c>
      <c r="M793" s="74">
        <f t="shared" si="193"/>
        <v>0</v>
      </c>
      <c r="N793" s="74">
        <f t="shared" si="193"/>
        <v>7848.3</v>
      </c>
    </row>
    <row r="794" spans="1:14" x14ac:dyDescent="0.25">
      <c r="A794" s="68"/>
      <c r="B794" s="17"/>
      <c r="C794" s="103" t="s">
        <v>5</v>
      </c>
      <c r="D794" s="102"/>
      <c r="E794" s="96" t="s">
        <v>6</v>
      </c>
      <c r="F794" s="74">
        <f t="shared" ref="F794:N794" si="194">F796</f>
        <v>7771.1</v>
      </c>
      <c r="G794" s="74">
        <f t="shared" si="194"/>
        <v>0</v>
      </c>
      <c r="H794" s="74">
        <f t="shared" si="194"/>
        <v>7771.1</v>
      </c>
      <c r="I794" s="74">
        <f t="shared" si="194"/>
        <v>7896.6</v>
      </c>
      <c r="J794" s="74">
        <f t="shared" si="194"/>
        <v>0</v>
      </c>
      <c r="K794" s="74">
        <f t="shared" si="194"/>
        <v>7896.6</v>
      </c>
      <c r="L794" s="74">
        <f t="shared" si="194"/>
        <v>7848.3</v>
      </c>
      <c r="M794" s="74">
        <f t="shared" si="194"/>
        <v>0</v>
      </c>
      <c r="N794" s="74">
        <f t="shared" si="194"/>
        <v>7848.3</v>
      </c>
    </row>
    <row r="795" spans="1:14" ht="25.5" x14ac:dyDescent="0.25">
      <c r="A795" s="154"/>
      <c r="B795" s="106"/>
      <c r="C795" s="107" t="s">
        <v>7</v>
      </c>
      <c r="D795" s="106"/>
      <c r="E795" s="108" t="s">
        <v>525</v>
      </c>
      <c r="F795" s="109">
        <f t="shared" ref="F795:J797" si="195">F796</f>
        <v>7771.1</v>
      </c>
      <c r="G795" s="109">
        <f t="shared" si="195"/>
        <v>0</v>
      </c>
      <c r="H795" s="109">
        <f t="shared" si="195"/>
        <v>7771.1</v>
      </c>
      <c r="I795" s="109">
        <f t="shared" ref="I795:N797" si="196">I796</f>
        <v>7896.6</v>
      </c>
      <c r="J795" s="109">
        <f t="shared" si="195"/>
        <v>0</v>
      </c>
      <c r="K795" s="109">
        <f t="shared" si="196"/>
        <v>7896.6</v>
      </c>
      <c r="L795" s="109">
        <f t="shared" si="196"/>
        <v>7848.3</v>
      </c>
      <c r="M795" s="109">
        <f t="shared" si="196"/>
        <v>0</v>
      </c>
      <c r="N795" s="109">
        <f t="shared" si="196"/>
        <v>7848.3</v>
      </c>
    </row>
    <row r="796" spans="1:14" ht="26.25" x14ac:dyDescent="0.25">
      <c r="A796" s="31"/>
      <c r="B796" s="31"/>
      <c r="C796" s="31" t="s">
        <v>20</v>
      </c>
      <c r="D796" s="31"/>
      <c r="E796" s="35" t="s">
        <v>21</v>
      </c>
      <c r="F796" s="75">
        <f t="shared" si="195"/>
        <v>7771.1</v>
      </c>
      <c r="G796" s="75">
        <f t="shared" si="195"/>
        <v>0</v>
      </c>
      <c r="H796" s="75">
        <f t="shared" si="195"/>
        <v>7771.1</v>
      </c>
      <c r="I796" s="75">
        <f t="shared" si="196"/>
        <v>7896.6</v>
      </c>
      <c r="J796" s="75">
        <f t="shared" si="195"/>
        <v>0</v>
      </c>
      <c r="K796" s="75">
        <f t="shared" si="196"/>
        <v>7896.6</v>
      </c>
      <c r="L796" s="75">
        <f t="shared" si="196"/>
        <v>7848.3</v>
      </c>
      <c r="M796" s="75">
        <f t="shared" si="196"/>
        <v>0</v>
      </c>
      <c r="N796" s="75">
        <f t="shared" si="196"/>
        <v>7848.3</v>
      </c>
    </row>
    <row r="797" spans="1:14" ht="39" x14ac:dyDescent="0.25">
      <c r="A797" s="33"/>
      <c r="B797" s="33"/>
      <c r="C797" s="33" t="s">
        <v>22</v>
      </c>
      <c r="D797" s="33"/>
      <c r="E797" s="34" t="s">
        <v>23</v>
      </c>
      <c r="F797" s="71">
        <f t="shared" si="195"/>
        <v>7771.1</v>
      </c>
      <c r="G797" s="71">
        <f t="shared" si="195"/>
        <v>0</v>
      </c>
      <c r="H797" s="71">
        <f t="shared" si="195"/>
        <v>7771.1</v>
      </c>
      <c r="I797" s="71">
        <f t="shared" si="196"/>
        <v>7896.6</v>
      </c>
      <c r="J797" s="71">
        <f t="shared" si="195"/>
        <v>0</v>
      </c>
      <c r="K797" s="71">
        <f t="shared" si="196"/>
        <v>7896.6</v>
      </c>
      <c r="L797" s="71">
        <f t="shared" si="196"/>
        <v>7848.3</v>
      </c>
      <c r="M797" s="71">
        <f t="shared" si="196"/>
        <v>0</v>
      </c>
      <c r="N797" s="71">
        <f t="shared" si="196"/>
        <v>7848.3</v>
      </c>
    </row>
    <row r="798" spans="1:14" ht="25.5" x14ac:dyDescent="0.25">
      <c r="A798" s="92"/>
      <c r="B798" s="92"/>
      <c r="C798" s="6" t="s">
        <v>26</v>
      </c>
      <c r="D798" s="6"/>
      <c r="E798" s="1" t="s">
        <v>27</v>
      </c>
      <c r="F798" s="70">
        <f t="shared" ref="F798:N798" si="197">F799+F800</f>
        <v>7771.1</v>
      </c>
      <c r="G798" s="70">
        <f t="shared" si="197"/>
        <v>0</v>
      </c>
      <c r="H798" s="70">
        <f t="shared" si="197"/>
        <v>7771.1</v>
      </c>
      <c r="I798" s="70">
        <f t="shared" si="197"/>
        <v>7896.6</v>
      </c>
      <c r="J798" s="70">
        <f t="shared" si="197"/>
        <v>0</v>
      </c>
      <c r="K798" s="70">
        <f t="shared" si="197"/>
        <v>7896.6</v>
      </c>
      <c r="L798" s="70">
        <f t="shared" si="197"/>
        <v>7848.3</v>
      </c>
      <c r="M798" s="70">
        <f t="shared" si="197"/>
        <v>0</v>
      </c>
      <c r="N798" s="70">
        <f t="shared" si="197"/>
        <v>7848.3</v>
      </c>
    </row>
    <row r="799" spans="1:14" ht="39" x14ac:dyDescent="0.25">
      <c r="A799" s="92"/>
      <c r="B799" s="92"/>
      <c r="C799" s="6"/>
      <c r="D799" s="6" t="s">
        <v>398</v>
      </c>
      <c r="E799" s="3" t="s">
        <v>399</v>
      </c>
      <c r="F799" s="70">
        <v>7240.9000000000005</v>
      </c>
      <c r="G799" s="70"/>
      <c r="H799" s="70">
        <f>SUM(F799:G799)</f>
        <v>7240.9000000000005</v>
      </c>
      <c r="I799" s="70">
        <v>7372.8</v>
      </c>
      <c r="J799" s="70"/>
      <c r="K799" s="70">
        <f>SUM(I799:J799)</f>
        <v>7372.8</v>
      </c>
      <c r="L799" s="70">
        <v>7372.8</v>
      </c>
      <c r="M799" s="70"/>
      <c r="N799" s="70">
        <f>SUM(L799:M799)</f>
        <v>7372.8</v>
      </c>
    </row>
    <row r="800" spans="1:14" x14ac:dyDescent="0.25">
      <c r="A800" s="92"/>
      <c r="B800" s="92"/>
      <c r="C800" s="6"/>
      <c r="D800" s="6" t="s">
        <v>280</v>
      </c>
      <c r="E800" s="3" t="s">
        <v>281</v>
      </c>
      <c r="F800" s="70">
        <v>530.19999999999993</v>
      </c>
      <c r="G800" s="70"/>
      <c r="H800" s="70">
        <f>SUM(F800:G800)</f>
        <v>530.19999999999993</v>
      </c>
      <c r="I800" s="70">
        <v>523.79999999999995</v>
      </c>
      <c r="J800" s="70"/>
      <c r="K800" s="70">
        <f>SUM(I800:J800)</f>
        <v>523.79999999999995</v>
      </c>
      <c r="L800" s="70">
        <v>475.49999999999989</v>
      </c>
      <c r="M800" s="70"/>
      <c r="N800" s="70">
        <f>SUM(L800:M800)</f>
        <v>475.49999999999989</v>
      </c>
    </row>
    <row r="801" spans="1:14" x14ac:dyDescent="0.25">
      <c r="A801" s="92"/>
      <c r="B801" s="17" t="s">
        <v>663</v>
      </c>
      <c r="C801" s="103"/>
      <c r="D801" s="17"/>
      <c r="E801" s="123" t="s">
        <v>664</v>
      </c>
      <c r="F801" s="74">
        <f t="shared" ref="F801:N804" si="198">F802</f>
        <v>1183.4000000000001</v>
      </c>
      <c r="G801" s="74">
        <f t="shared" si="198"/>
        <v>86.6</v>
      </c>
      <c r="H801" s="74">
        <f t="shared" si="198"/>
        <v>1270</v>
      </c>
      <c r="I801" s="74">
        <f t="shared" si="198"/>
        <v>1183.4000000000001</v>
      </c>
      <c r="J801" s="74"/>
      <c r="K801" s="74">
        <f t="shared" si="198"/>
        <v>1183.4000000000001</v>
      </c>
      <c r="L801" s="74">
        <f t="shared" si="198"/>
        <v>1183.4000000000001</v>
      </c>
      <c r="M801" s="74"/>
      <c r="N801" s="74">
        <f t="shared" si="198"/>
        <v>1183.4000000000001</v>
      </c>
    </row>
    <row r="802" spans="1:14" s="39" customFormat="1" x14ac:dyDescent="0.25">
      <c r="A802" s="142"/>
      <c r="B802" s="142"/>
      <c r="C802" s="133" t="s">
        <v>393</v>
      </c>
      <c r="D802" s="133"/>
      <c r="E802" s="134" t="s">
        <v>394</v>
      </c>
      <c r="F802" s="135">
        <f t="shared" si="198"/>
        <v>1183.4000000000001</v>
      </c>
      <c r="G802" s="135">
        <f t="shared" si="198"/>
        <v>86.6</v>
      </c>
      <c r="H802" s="135">
        <f t="shared" si="198"/>
        <v>1270</v>
      </c>
      <c r="I802" s="135">
        <f t="shared" si="198"/>
        <v>1183.4000000000001</v>
      </c>
      <c r="J802" s="135"/>
      <c r="K802" s="135">
        <f t="shared" si="198"/>
        <v>1183.4000000000001</v>
      </c>
      <c r="L802" s="135">
        <f t="shared" si="198"/>
        <v>1183.4000000000001</v>
      </c>
      <c r="M802" s="135"/>
      <c r="N802" s="135">
        <f t="shared" si="198"/>
        <v>1183.4000000000001</v>
      </c>
    </row>
    <row r="803" spans="1:14" s="39" customFormat="1" ht="26.25" x14ac:dyDescent="0.25">
      <c r="A803" s="144"/>
      <c r="B803" s="144"/>
      <c r="C803" s="61" t="s">
        <v>401</v>
      </c>
      <c r="D803" s="61"/>
      <c r="E803" s="63" t="s">
        <v>402</v>
      </c>
      <c r="F803" s="84">
        <f t="shared" si="198"/>
        <v>1183.4000000000001</v>
      </c>
      <c r="G803" s="84">
        <f t="shared" si="198"/>
        <v>86.6</v>
      </c>
      <c r="H803" s="84">
        <f t="shared" si="198"/>
        <v>1270</v>
      </c>
      <c r="I803" s="84">
        <f t="shared" si="198"/>
        <v>1183.4000000000001</v>
      </c>
      <c r="J803" s="84"/>
      <c r="K803" s="84">
        <f t="shared" si="198"/>
        <v>1183.4000000000001</v>
      </c>
      <c r="L803" s="84">
        <f t="shared" si="198"/>
        <v>1183.4000000000001</v>
      </c>
      <c r="M803" s="84"/>
      <c r="N803" s="84">
        <f t="shared" si="198"/>
        <v>1183.4000000000001</v>
      </c>
    </row>
    <row r="804" spans="1:14" x14ac:dyDescent="0.25">
      <c r="A804" s="92"/>
      <c r="B804" s="92"/>
      <c r="C804" s="6" t="s">
        <v>421</v>
      </c>
      <c r="D804" s="6"/>
      <c r="E804" s="3" t="s">
        <v>422</v>
      </c>
      <c r="F804" s="70">
        <f t="shared" si="198"/>
        <v>1183.4000000000001</v>
      </c>
      <c r="G804" s="70">
        <f t="shared" si="198"/>
        <v>86.6</v>
      </c>
      <c r="H804" s="70">
        <f t="shared" si="198"/>
        <v>1270</v>
      </c>
      <c r="I804" s="70">
        <f>I805</f>
        <v>1183.4000000000001</v>
      </c>
      <c r="J804" s="70"/>
      <c r="K804" s="70">
        <f>K805</f>
        <v>1183.4000000000001</v>
      </c>
      <c r="L804" s="70">
        <f>L805</f>
        <v>1183.4000000000001</v>
      </c>
      <c r="M804" s="70"/>
      <c r="N804" s="70">
        <f>N805</f>
        <v>1183.4000000000001</v>
      </c>
    </row>
    <row r="805" spans="1:14" x14ac:dyDescent="0.25">
      <c r="A805" s="92"/>
      <c r="B805" s="92"/>
      <c r="C805" s="6"/>
      <c r="D805" s="6" t="s">
        <v>405</v>
      </c>
      <c r="E805" s="3" t="s">
        <v>406</v>
      </c>
      <c r="F805" s="70">
        <v>1183.4000000000001</v>
      </c>
      <c r="G805" s="70">
        <v>86.6</v>
      </c>
      <c r="H805" s="70">
        <v>1270</v>
      </c>
      <c r="I805" s="70">
        <v>1183.4000000000001</v>
      </c>
      <c r="J805" s="70"/>
      <c r="K805" s="70">
        <v>1183.4000000000001</v>
      </c>
      <c r="L805" s="70">
        <v>1183.4000000000001</v>
      </c>
      <c r="M805" s="70"/>
      <c r="N805" s="70">
        <v>1183.4000000000001</v>
      </c>
    </row>
    <row r="806" spans="1:14" x14ac:dyDescent="0.25">
      <c r="A806" s="102"/>
      <c r="B806" s="17" t="s">
        <v>569</v>
      </c>
      <c r="C806" s="103"/>
      <c r="D806" s="102"/>
      <c r="E806" s="96" t="s">
        <v>580</v>
      </c>
      <c r="F806" s="124">
        <f t="shared" ref="F806:N806" si="199">F807+F841</f>
        <v>24417.219300000001</v>
      </c>
      <c r="G806" s="124">
        <f t="shared" si="199"/>
        <v>156.80000000000001</v>
      </c>
      <c r="H806" s="124">
        <f t="shared" si="199"/>
        <v>24574.0193</v>
      </c>
      <c r="I806" s="124">
        <f t="shared" si="199"/>
        <v>24658.457700000003</v>
      </c>
      <c r="J806" s="124">
        <f t="shared" si="199"/>
        <v>0</v>
      </c>
      <c r="K806" s="124">
        <f t="shared" si="199"/>
        <v>24658.457700000003</v>
      </c>
      <c r="L806" s="124">
        <f t="shared" si="199"/>
        <v>24465.117300000002</v>
      </c>
      <c r="M806" s="124">
        <f t="shared" si="199"/>
        <v>0</v>
      </c>
      <c r="N806" s="124">
        <f t="shared" si="199"/>
        <v>24465.117300000002</v>
      </c>
    </row>
    <row r="807" spans="1:14" x14ac:dyDescent="0.25">
      <c r="A807" s="133"/>
      <c r="B807" s="133"/>
      <c r="C807" s="133" t="s">
        <v>393</v>
      </c>
      <c r="D807" s="133"/>
      <c r="E807" s="134" t="s">
        <v>394</v>
      </c>
      <c r="F807" s="135">
        <f t="shared" ref="F807:N807" si="200">F808</f>
        <v>24417.219300000001</v>
      </c>
      <c r="G807" s="135">
        <f t="shared" si="200"/>
        <v>156.80000000000001</v>
      </c>
      <c r="H807" s="135">
        <f t="shared" si="200"/>
        <v>24574.0193</v>
      </c>
      <c r="I807" s="135">
        <f t="shared" si="200"/>
        <v>24658.457700000003</v>
      </c>
      <c r="J807" s="135">
        <f t="shared" si="200"/>
        <v>0</v>
      </c>
      <c r="K807" s="135">
        <f t="shared" si="200"/>
        <v>24658.457700000003</v>
      </c>
      <c r="L807" s="135">
        <f t="shared" si="200"/>
        <v>24465.117300000002</v>
      </c>
      <c r="M807" s="135">
        <f t="shared" si="200"/>
        <v>0</v>
      </c>
      <c r="N807" s="135">
        <f t="shared" si="200"/>
        <v>24465.117300000002</v>
      </c>
    </row>
    <row r="808" spans="1:14" ht="26.25" x14ac:dyDescent="0.25">
      <c r="A808" s="61"/>
      <c r="B808" s="61"/>
      <c r="C808" s="61" t="s">
        <v>401</v>
      </c>
      <c r="D808" s="61"/>
      <c r="E808" s="63" t="s">
        <v>402</v>
      </c>
      <c r="F808" s="84">
        <f>F809+F812+F814+F816+F818</f>
        <v>24417.219300000001</v>
      </c>
      <c r="G808" s="84">
        <f t="shared" ref="G808:N808" si="201">G809+G812+G814+G816+G818</f>
        <v>156.80000000000001</v>
      </c>
      <c r="H808" s="84">
        <f t="shared" si="201"/>
        <v>24574.0193</v>
      </c>
      <c r="I808" s="84">
        <f t="shared" si="201"/>
        <v>24658.457700000003</v>
      </c>
      <c r="J808" s="84">
        <f t="shared" si="201"/>
        <v>0</v>
      </c>
      <c r="K808" s="84">
        <f t="shared" si="201"/>
        <v>24658.457700000003</v>
      </c>
      <c r="L808" s="84">
        <f t="shared" si="201"/>
        <v>24465.117300000002</v>
      </c>
      <c r="M808" s="84">
        <f t="shared" si="201"/>
        <v>0</v>
      </c>
      <c r="N808" s="84">
        <f t="shared" si="201"/>
        <v>24465.117300000002</v>
      </c>
    </row>
    <row r="809" spans="1:14" ht="26.25" x14ac:dyDescent="0.25">
      <c r="A809" s="92"/>
      <c r="B809" s="92"/>
      <c r="C809" s="6" t="s">
        <v>407</v>
      </c>
      <c r="D809" s="6"/>
      <c r="E809" s="54" t="s">
        <v>797</v>
      </c>
      <c r="F809" s="70">
        <f>F810+F811</f>
        <v>18081.100000000002</v>
      </c>
      <c r="G809" s="70">
        <f>G810</f>
        <v>156.80000000000001</v>
      </c>
      <c r="H809" s="70">
        <f>H810+H811</f>
        <v>18237.900000000001</v>
      </c>
      <c r="I809" s="70">
        <f>I810+I811</f>
        <v>18453.300000000003</v>
      </c>
      <c r="J809" s="70">
        <f>J810</f>
        <v>0</v>
      </c>
      <c r="K809" s="70">
        <f>K810+K811</f>
        <v>18453.300000000003</v>
      </c>
      <c r="L809" s="70">
        <f>L810+L811</f>
        <v>18453.300000000003</v>
      </c>
      <c r="M809" s="70">
        <f>M810</f>
        <v>0</v>
      </c>
      <c r="N809" s="70">
        <f>N810+N811</f>
        <v>18453.300000000003</v>
      </c>
    </row>
    <row r="810" spans="1:14" ht="39" x14ac:dyDescent="0.25">
      <c r="A810" s="92"/>
      <c r="B810" s="92"/>
      <c r="C810" s="6"/>
      <c r="D810" s="6" t="s">
        <v>398</v>
      </c>
      <c r="E810" s="3" t="s">
        <v>399</v>
      </c>
      <c r="F810" s="85">
        <v>17114.7</v>
      </c>
      <c r="G810" s="85">
        <v>156.80000000000001</v>
      </c>
      <c r="H810" s="85">
        <v>17271.5</v>
      </c>
      <c r="I810" s="85">
        <v>17486.900000000001</v>
      </c>
      <c r="J810" s="85"/>
      <c r="K810" s="85">
        <f>18235-748.1</f>
        <v>17486.900000000001</v>
      </c>
      <c r="L810" s="85">
        <v>17486.900000000001</v>
      </c>
      <c r="M810" s="85"/>
      <c r="N810" s="85">
        <f>18235-748.1</f>
        <v>17486.900000000001</v>
      </c>
    </row>
    <row r="811" spans="1:14" x14ac:dyDescent="0.25">
      <c r="A811" s="92"/>
      <c r="B811" s="92"/>
      <c r="C811" s="6"/>
      <c r="D811" s="6" t="s">
        <v>280</v>
      </c>
      <c r="E811" s="3" t="s">
        <v>281</v>
      </c>
      <c r="F811" s="70">
        <f>986.1-19.7</f>
        <v>966.4</v>
      </c>
      <c r="G811" s="70"/>
      <c r="H811" s="70">
        <f>986.1-19.7</f>
        <v>966.4</v>
      </c>
      <c r="I811" s="70">
        <f t="shared" ref="I811:N811" si="202">986.1-19.7</f>
        <v>966.4</v>
      </c>
      <c r="J811" s="70"/>
      <c r="K811" s="70">
        <f t="shared" si="202"/>
        <v>966.4</v>
      </c>
      <c r="L811" s="70">
        <f t="shared" si="202"/>
        <v>966.4</v>
      </c>
      <c r="M811" s="70"/>
      <c r="N811" s="70">
        <f t="shared" si="202"/>
        <v>966.4</v>
      </c>
    </row>
    <row r="812" spans="1:14" ht="39" x14ac:dyDescent="0.25">
      <c r="A812" s="92"/>
      <c r="B812" s="92"/>
      <c r="C812" s="6" t="s">
        <v>408</v>
      </c>
      <c r="D812" s="6"/>
      <c r="E812" s="3" t="s">
        <v>68</v>
      </c>
      <c r="F812" s="70">
        <f>F813</f>
        <v>0</v>
      </c>
      <c r="G812" s="70"/>
      <c r="H812" s="70">
        <f>H813</f>
        <v>0</v>
      </c>
      <c r="I812" s="70">
        <f>I813</f>
        <v>0</v>
      </c>
      <c r="J812" s="70"/>
      <c r="K812" s="70">
        <f>K813</f>
        <v>0</v>
      </c>
      <c r="L812" s="70">
        <f>L813</f>
        <v>0</v>
      </c>
      <c r="M812" s="70"/>
      <c r="N812" s="70">
        <f>N813</f>
        <v>0</v>
      </c>
    </row>
    <row r="813" spans="1:14" ht="39" x14ac:dyDescent="0.25">
      <c r="A813" s="92"/>
      <c r="B813" s="92"/>
      <c r="C813" s="6"/>
      <c r="D813" s="6" t="s">
        <v>398</v>
      </c>
      <c r="E813" s="3" t="s">
        <v>399</v>
      </c>
      <c r="F813" s="70">
        <v>0</v>
      </c>
      <c r="G813" s="70"/>
      <c r="H813" s="70">
        <v>0</v>
      </c>
      <c r="I813" s="70">
        <v>0</v>
      </c>
      <c r="J813" s="70"/>
      <c r="K813" s="70">
        <v>0</v>
      </c>
      <c r="L813" s="70">
        <v>0</v>
      </c>
      <c r="M813" s="70"/>
      <c r="N813" s="70">
        <v>0</v>
      </c>
    </row>
    <row r="814" spans="1:14" ht="25.5" x14ac:dyDescent="0.25">
      <c r="A814" s="92"/>
      <c r="B814" s="92"/>
      <c r="C814" s="6" t="s">
        <v>409</v>
      </c>
      <c r="D814" s="6"/>
      <c r="E814" s="1" t="s">
        <v>410</v>
      </c>
      <c r="F814" s="80">
        <f>F815</f>
        <v>0</v>
      </c>
      <c r="G814" s="80"/>
      <c r="H814" s="80">
        <f>H815</f>
        <v>0</v>
      </c>
      <c r="I814" s="80">
        <f>I815</f>
        <v>0</v>
      </c>
      <c r="J814" s="80"/>
      <c r="K814" s="80">
        <f>K815</f>
        <v>0</v>
      </c>
      <c r="L814" s="80">
        <f>L815</f>
        <v>0</v>
      </c>
      <c r="M814" s="80"/>
      <c r="N814" s="80">
        <f>N815</f>
        <v>0</v>
      </c>
    </row>
    <row r="815" spans="1:14" ht="39" x14ac:dyDescent="0.25">
      <c r="A815" s="92"/>
      <c r="B815" s="92"/>
      <c r="C815" s="6"/>
      <c r="D815" s="6" t="s">
        <v>398</v>
      </c>
      <c r="E815" s="3" t="s">
        <v>399</v>
      </c>
      <c r="F815" s="70">
        <v>0</v>
      </c>
      <c r="G815" s="70"/>
      <c r="H815" s="70">
        <v>0</v>
      </c>
      <c r="I815" s="70">
        <v>0</v>
      </c>
      <c r="J815" s="70"/>
      <c r="K815" s="70">
        <v>0</v>
      </c>
      <c r="L815" s="70">
        <v>0</v>
      </c>
      <c r="M815" s="70"/>
      <c r="N815" s="70">
        <v>0</v>
      </c>
    </row>
    <row r="816" spans="1:14" ht="39" x14ac:dyDescent="0.25">
      <c r="A816" s="92"/>
      <c r="B816" s="92"/>
      <c r="C816" s="6" t="s">
        <v>411</v>
      </c>
      <c r="D816" s="6"/>
      <c r="E816" s="3" t="s">
        <v>412</v>
      </c>
      <c r="F816" s="70">
        <f>F817</f>
        <v>6137.6347999999998</v>
      </c>
      <c r="G816" s="70"/>
      <c r="H816" s="70">
        <f>H817</f>
        <v>6137.6347999999998</v>
      </c>
      <c r="I816" s="70">
        <f>I817</f>
        <v>6005.0562</v>
      </c>
      <c r="J816" s="70"/>
      <c r="K816" s="70">
        <f>K817</f>
        <v>6005.0562</v>
      </c>
      <c r="L816" s="70">
        <f>L817</f>
        <v>5811.7157999999999</v>
      </c>
      <c r="M816" s="70"/>
      <c r="N816" s="70">
        <f>N817</f>
        <v>5811.7157999999999</v>
      </c>
    </row>
    <row r="817" spans="1:14" ht="39" x14ac:dyDescent="0.25">
      <c r="A817" s="92"/>
      <c r="B817" s="92"/>
      <c r="C817" s="6"/>
      <c r="D817" s="6" t="s">
        <v>398</v>
      </c>
      <c r="E817" s="3" t="s">
        <v>399</v>
      </c>
      <c r="F817" s="70">
        <v>6137.6347999999998</v>
      </c>
      <c r="G817" s="80"/>
      <c r="H817" s="80">
        <f>1779.151+4358.4838</f>
        <v>6137.6347999999998</v>
      </c>
      <c r="I817" s="80">
        <v>6005.0562</v>
      </c>
      <c r="J817" s="80"/>
      <c r="K817" s="80">
        <f>1697.6278+4307.4284</f>
        <v>6005.0562</v>
      </c>
      <c r="L817" s="80">
        <v>5811.7157999999999</v>
      </c>
      <c r="M817" s="80"/>
      <c r="N817" s="70">
        <f>1606.5192+4205.1966</f>
        <v>5811.7157999999999</v>
      </c>
    </row>
    <row r="818" spans="1:14" ht="51.75" x14ac:dyDescent="0.25">
      <c r="A818" s="92"/>
      <c r="B818" s="92"/>
      <c r="C818" s="6" t="s">
        <v>849</v>
      </c>
      <c r="D818" s="6"/>
      <c r="E818" s="3" t="s">
        <v>850</v>
      </c>
      <c r="F818" s="70">
        <f>F819</f>
        <v>198.4845</v>
      </c>
      <c r="G818" s="70"/>
      <c r="H818" s="70">
        <f>H819</f>
        <v>198.4845</v>
      </c>
      <c r="I818" s="70">
        <f>I819</f>
        <v>200.10149999999999</v>
      </c>
      <c r="J818" s="70"/>
      <c r="K818" s="70">
        <f>K819</f>
        <v>200.10149999999999</v>
      </c>
      <c r="L818" s="70">
        <f>L819</f>
        <v>200.10149999999999</v>
      </c>
      <c r="M818" s="70"/>
      <c r="N818" s="70">
        <f>N819</f>
        <v>200.10149999999999</v>
      </c>
    </row>
    <row r="819" spans="1:14" ht="39" x14ac:dyDescent="0.25">
      <c r="A819" s="92"/>
      <c r="B819" s="92"/>
      <c r="C819" s="6"/>
      <c r="D819" s="6" t="s">
        <v>398</v>
      </c>
      <c r="E819" s="3" t="s">
        <v>399</v>
      </c>
      <c r="F819" s="80">
        <v>198.4845</v>
      </c>
      <c r="G819" s="80"/>
      <c r="H819" s="80">
        <v>198.4845</v>
      </c>
      <c r="I819" s="80">
        <v>200.10149999999999</v>
      </c>
      <c r="J819" s="80"/>
      <c r="K819" s="80">
        <v>200.10149999999999</v>
      </c>
      <c r="L819" s="80">
        <v>200.10149999999999</v>
      </c>
      <c r="M819" s="80"/>
      <c r="N819" s="70">
        <v>200.10149999999999</v>
      </c>
    </row>
    <row r="820" spans="1:14" x14ac:dyDescent="0.25">
      <c r="A820" s="64"/>
      <c r="B820" s="64"/>
      <c r="C820" s="64"/>
      <c r="D820" s="64"/>
      <c r="E820" s="60" t="s">
        <v>429</v>
      </c>
      <c r="F820" s="86">
        <f t="shared" ref="F820:N820" si="203">SUM(F791+F778+F657+F479+F10)</f>
        <v>1027519.8864200001</v>
      </c>
      <c r="G820" s="86">
        <f t="shared" si="203"/>
        <v>8724.5583800000004</v>
      </c>
      <c r="H820" s="86">
        <f t="shared" si="203"/>
        <v>1036244.4448000001</v>
      </c>
      <c r="I820" s="86">
        <f t="shared" si="203"/>
        <v>939668.20525000012</v>
      </c>
      <c r="J820" s="86">
        <f t="shared" si="203"/>
        <v>-1850.7667400000009</v>
      </c>
      <c r="K820" s="86">
        <f t="shared" si="203"/>
        <v>937817.43851000024</v>
      </c>
      <c r="L820" s="86">
        <f t="shared" si="203"/>
        <v>856800.99485999998</v>
      </c>
      <c r="M820" s="86">
        <f t="shared" si="203"/>
        <v>3707.7204000000002</v>
      </c>
      <c r="N820" s="86">
        <f t="shared" si="203"/>
        <v>860508.71525999997</v>
      </c>
    </row>
    <row r="821" spans="1:14" x14ac:dyDescent="0.25">
      <c r="G821" s="25">
        <v>3259.5</v>
      </c>
    </row>
    <row r="822" spans="1:14" x14ac:dyDescent="0.25">
      <c r="G822" s="25">
        <v>156.80000000000001</v>
      </c>
    </row>
    <row r="823" spans="1:14" x14ac:dyDescent="0.25">
      <c r="G823" s="25">
        <v>103.1</v>
      </c>
    </row>
    <row r="824" spans="1:14" x14ac:dyDescent="0.25">
      <c r="G824" s="282">
        <f>G823+G822+G821-G820</f>
        <v>-5205.1583800000008</v>
      </c>
    </row>
  </sheetData>
  <autoFilter ref="A9:O820"/>
  <mergeCells count="6">
    <mergeCell ref="A7:L7"/>
    <mergeCell ref="H1:N1"/>
    <mergeCell ref="H2:N2"/>
    <mergeCell ref="H3:N3"/>
    <mergeCell ref="H4:N4"/>
    <mergeCell ref="H5:N5"/>
  </mergeCells>
  <pageMargins left="1.1023622047244095" right="0.31496062992125984" top="0.39370078740157483" bottom="0.35433070866141736" header="0.31496062992125984" footer="0.31496062992125984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view="pageBreakPreview" zoomScale="60" zoomScaleNormal="70" workbookViewId="0">
      <selection activeCell="H5" sqref="H5:K5"/>
    </sheetView>
  </sheetViews>
  <sheetFormatPr defaultRowHeight="15" x14ac:dyDescent="0.25"/>
  <cols>
    <col min="2" max="2" width="67.140625" customWidth="1"/>
    <col min="3" max="3" width="16" customWidth="1"/>
    <col min="4" max="4" width="16.85546875" customWidth="1"/>
    <col min="5" max="5" width="17" customWidth="1"/>
    <col min="6" max="6" width="16.28515625" customWidth="1"/>
    <col min="7" max="7" width="15" customWidth="1"/>
    <col min="8" max="8" width="14" customWidth="1"/>
    <col min="9" max="9" width="15.140625" customWidth="1"/>
    <col min="10" max="10" width="15.42578125" customWidth="1"/>
    <col min="11" max="11" width="14.85546875" customWidth="1"/>
    <col min="258" max="258" width="26.85546875" customWidth="1"/>
    <col min="259" max="259" width="12.42578125" customWidth="1"/>
    <col min="260" max="260" width="11.85546875" customWidth="1"/>
    <col min="261" max="261" width="11.7109375" customWidth="1"/>
    <col min="262" max="262" width="12.7109375" customWidth="1"/>
    <col min="263" max="263" width="11.140625" customWidth="1"/>
    <col min="264" max="264" width="11.5703125" customWidth="1"/>
    <col min="265" max="265" width="11" customWidth="1"/>
    <col min="266" max="266" width="11.140625" customWidth="1"/>
    <col min="267" max="267" width="12.42578125" customWidth="1"/>
    <col min="514" max="514" width="26.85546875" customWidth="1"/>
    <col min="515" max="515" width="12.42578125" customWidth="1"/>
    <col min="516" max="516" width="11.85546875" customWidth="1"/>
    <col min="517" max="517" width="11.7109375" customWidth="1"/>
    <col min="518" max="518" width="12.7109375" customWidth="1"/>
    <col min="519" max="519" width="11.140625" customWidth="1"/>
    <col min="520" max="520" width="11.5703125" customWidth="1"/>
    <col min="521" max="521" width="11" customWidth="1"/>
    <col min="522" max="522" width="11.140625" customWidth="1"/>
    <col min="523" max="523" width="12.42578125" customWidth="1"/>
    <col min="770" max="770" width="26.85546875" customWidth="1"/>
    <col min="771" max="771" width="12.42578125" customWidth="1"/>
    <col min="772" max="772" width="11.85546875" customWidth="1"/>
    <col min="773" max="773" width="11.7109375" customWidth="1"/>
    <col min="774" max="774" width="12.7109375" customWidth="1"/>
    <col min="775" max="775" width="11.140625" customWidth="1"/>
    <col min="776" max="776" width="11.5703125" customWidth="1"/>
    <col min="777" max="777" width="11" customWidth="1"/>
    <col min="778" max="778" width="11.140625" customWidth="1"/>
    <col min="779" max="779" width="12.42578125" customWidth="1"/>
    <col min="1026" max="1026" width="26.85546875" customWidth="1"/>
    <col min="1027" max="1027" width="12.42578125" customWidth="1"/>
    <col min="1028" max="1028" width="11.85546875" customWidth="1"/>
    <col min="1029" max="1029" width="11.7109375" customWidth="1"/>
    <col min="1030" max="1030" width="12.7109375" customWidth="1"/>
    <col min="1031" max="1031" width="11.140625" customWidth="1"/>
    <col min="1032" max="1032" width="11.5703125" customWidth="1"/>
    <col min="1033" max="1033" width="11" customWidth="1"/>
    <col min="1034" max="1034" width="11.140625" customWidth="1"/>
    <col min="1035" max="1035" width="12.42578125" customWidth="1"/>
    <col min="1282" max="1282" width="26.85546875" customWidth="1"/>
    <col min="1283" max="1283" width="12.42578125" customWidth="1"/>
    <col min="1284" max="1284" width="11.85546875" customWidth="1"/>
    <col min="1285" max="1285" width="11.7109375" customWidth="1"/>
    <col min="1286" max="1286" width="12.7109375" customWidth="1"/>
    <col min="1287" max="1287" width="11.140625" customWidth="1"/>
    <col min="1288" max="1288" width="11.5703125" customWidth="1"/>
    <col min="1289" max="1289" width="11" customWidth="1"/>
    <col min="1290" max="1290" width="11.140625" customWidth="1"/>
    <col min="1291" max="1291" width="12.42578125" customWidth="1"/>
    <col min="1538" max="1538" width="26.85546875" customWidth="1"/>
    <col min="1539" max="1539" width="12.42578125" customWidth="1"/>
    <col min="1540" max="1540" width="11.85546875" customWidth="1"/>
    <col min="1541" max="1541" width="11.7109375" customWidth="1"/>
    <col min="1542" max="1542" width="12.7109375" customWidth="1"/>
    <col min="1543" max="1543" width="11.140625" customWidth="1"/>
    <col min="1544" max="1544" width="11.5703125" customWidth="1"/>
    <col min="1545" max="1545" width="11" customWidth="1"/>
    <col min="1546" max="1546" width="11.140625" customWidth="1"/>
    <col min="1547" max="1547" width="12.42578125" customWidth="1"/>
    <col min="1794" max="1794" width="26.85546875" customWidth="1"/>
    <col min="1795" max="1795" width="12.42578125" customWidth="1"/>
    <col min="1796" max="1796" width="11.85546875" customWidth="1"/>
    <col min="1797" max="1797" width="11.7109375" customWidth="1"/>
    <col min="1798" max="1798" width="12.7109375" customWidth="1"/>
    <col min="1799" max="1799" width="11.140625" customWidth="1"/>
    <col min="1800" max="1800" width="11.5703125" customWidth="1"/>
    <col min="1801" max="1801" width="11" customWidth="1"/>
    <col min="1802" max="1802" width="11.140625" customWidth="1"/>
    <col min="1803" max="1803" width="12.42578125" customWidth="1"/>
    <col min="2050" max="2050" width="26.85546875" customWidth="1"/>
    <col min="2051" max="2051" width="12.42578125" customWidth="1"/>
    <col min="2052" max="2052" width="11.85546875" customWidth="1"/>
    <col min="2053" max="2053" width="11.7109375" customWidth="1"/>
    <col min="2054" max="2054" width="12.7109375" customWidth="1"/>
    <col min="2055" max="2055" width="11.140625" customWidth="1"/>
    <col min="2056" max="2056" width="11.5703125" customWidth="1"/>
    <col min="2057" max="2057" width="11" customWidth="1"/>
    <col min="2058" max="2058" width="11.140625" customWidth="1"/>
    <col min="2059" max="2059" width="12.42578125" customWidth="1"/>
    <col min="2306" max="2306" width="26.85546875" customWidth="1"/>
    <col min="2307" max="2307" width="12.42578125" customWidth="1"/>
    <col min="2308" max="2308" width="11.85546875" customWidth="1"/>
    <col min="2309" max="2309" width="11.7109375" customWidth="1"/>
    <col min="2310" max="2310" width="12.7109375" customWidth="1"/>
    <col min="2311" max="2311" width="11.140625" customWidth="1"/>
    <col min="2312" max="2312" width="11.5703125" customWidth="1"/>
    <col min="2313" max="2313" width="11" customWidth="1"/>
    <col min="2314" max="2314" width="11.140625" customWidth="1"/>
    <col min="2315" max="2315" width="12.42578125" customWidth="1"/>
    <col min="2562" max="2562" width="26.85546875" customWidth="1"/>
    <col min="2563" max="2563" width="12.42578125" customWidth="1"/>
    <col min="2564" max="2564" width="11.85546875" customWidth="1"/>
    <col min="2565" max="2565" width="11.7109375" customWidth="1"/>
    <col min="2566" max="2566" width="12.7109375" customWidth="1"/>
    <col min="2567" max="2567" width="11.140625" customWidth="1"/>
    <col min="2568" max="2568" width="11.5703125" customWidth="1"/>
    <col min="2569" max="2569" width="11" customWidth="1"/>
    <col min="2570" max="2570" width="11.140625" customWidth="1"/>
    <col min="2571" max="2571" width="12.42578125" customWidth="1"/>
    <col min="2818" max="2818" width="26.85546875" customWidth="1"/>
    <col min="2819" max="2819" width="12.42578125" customWidth="1"/>
    <col min="2820" max="2820" width="11.85546875" customWidth="1"/>
    <col min="2821" max="2821" width="11.7109375" customWidth="1"/>
    <col min="2822" max="2822" width="12.7109375" customWidth="1"/>
    <col min="2823" max="2823" width="11.140625" customWidth="1"/>
    <col min="2824" max="2824" width="11.5703125" customWidth="1"/>
    <col min="2825" max="2825" width="11" customWidth="1"/>
    <col min="2826" max="2826" width="11.140625" customWidth="1"/>
    <col min="2827" max="2827" width="12.42578125" customWidth="1"/>
    <col min="3074" max="3074" width="26.85546875" customWidth="1"/>
    <col min="3075" max="3075" width="12.42578125" customWidth="1"/>
    <col min="3076" max="3076" width="11.85546875" customWidth="1"/>
    <col min="3077" max="3077" width="11.7109375" customWidth="1"/>
    <col min="3078" max="3078" width="12.7109375" customWidth="1"/>
    <col min="3079" max="3079" width="11.140625" customWidth="1"/>
    <col min="3080" max="3080" width="11.5703125" customWidth="1"/>
    <col min="3081" max="3081" width="11" customWidth="1"/>
    <col min="3082" max="3082" width="11.140625" customWidth="1"/>
    <col min="3083" max="3083" width="12.42578125" customWidth="1"/>
    <col min="3330" max="3330" width="26.85546875" customWidth="1"/>
    <col min="3331" max="3331" width="12.42578125" customWidth="1"/>
    <col min="3332" max="3332" width="11.85546875" customWidth="1"/>
    <col min="3333" max="3333" width="11.7109375" customWidth="1"/>
    <col min="3334" max="3334" width="12.7109375" customWidth="1"/>
    <col min="3335" max="3335" width="11.140625" customWidth="1"/>
    <col min="3336" max="3336" width="11.5703125" customWidth="1"/>
    <col min="3337" max="3337" width="11" customWidth="1"/>
    <col min="3338" max="3338" width="11.140625" customWidth="1"/>
    <col min="3339" max="3339" width="12.42578125" customWidth="1"/>
    <col min="3586" max="3586" width="26.85546875" customWidth="1"/>
    <col min="3587" max="3587" width="12.42578125" customWidth="1"/>
    <col min="3588" max="3588" width="11.85546875" customWidth="1"/>
    <col min="3589" max="3589" width="11.7109375" customWidth="1"/>
    <col min="3590" max="3590" width="12.7109375" customWidth="1"/>
    <col min="3591" max="3591" width="11.140625" customWidth="1"/>
    <col min="3592" max="3592" width="11.5703125" customWidth="1"/>
    <col min="3593" max="3593" width="11" customWidth="1"/>
    <col min="3594" max="3594" width="11.140625" customWidth="1"/>
    <col min="3595" max="3595" width="12.42578125" customWidth="1"/>
    <col min="3842" max="3842" width="26.85546875" customWidth="1"/>
    <col min="3843" max="3843" width="12.42578125" customWidth="1"/>
    <col min="3844" max="3844" width="11.85546875" customWidth="1"/>
    <col min="3845" max="3845" width="11.7109375" customWidth="1"/>
    <col min="3846" max="3846" width="12.7109375" customWidth="1"/>
    <col min="3847" max="3847" width="11.140625" customWidth="1"/>
    <col min="3848" max="3848" width="11.5703125" customWidth="1"/>
    <col min="3849" max="3849" width="11" customWidth="1"/>
    <col min="3850" max="3850" width="11.140625" customWidth="1"/>
    <col min="3851" max="3851" width="12.42578125" customWidth="1"/>
    <col min="4098" max="4098" width="26.85546875" customWidth="1"/>
    <col min="4099" max="4099" width="12.42578125" customWidth="1"/>
    <col min="4100" max="4100" width="11.85546875" customWidth="1"/>
    <col min="4101" max="4101" width="11.7109375" customWidth="1"/>
    <col min="4102" max="4102" width="12.7109375" customWidth="1"/>
    <col min="4103" max="4103" width="11.140625" customWidth="1"/>
    <col min="4104" max="4104" width="11.5703125" customWidth="1"/>
    <col min="4105" max="4105" width="11" customWidth="1"/>
    <col min="4106" max="4106" width="11.140625" customWidth="1"/>
    <col min="4107" max="4107" width="12.42578125" customWidth="1"/>
    <col min="4354" max="4354" width="26.85546875" customWidth="1"/>
    <col min="4355" max="4355" width="12.42578125" customWidth="1"/>
    <col min="4356" max="4356" width="11.85546875" customWidth="1"/>
    <col min="4357" max="4357" width="11.7109375" customWidth="1"/>
    <col min="4358" max="4358" width="12.7109375" customWidth="1"/>
    <col min="4359" max="4359" width="11.140625" customWidth="1"/>
    <col min="4360" max="4360" width="11.5703125" customWidth="1"/>
    <col min="4361" max="4361" width="11" customWidth="1"/>
    <col min="4362" max="4362" width="11.140625" customWidth="1"/>
    <col min="4363" max="4363" width="12.42578125" customWidth="1"/>
    <col min="4610" max="4610" width="26.85546875" customWidth="1"/>
    <col min="4611" max="4611" width="12.42578125" customWidth="1"/>
    <col min="4612" max="4612" width="11.85546875" customWidth="1"/>
    <col min="4613" max="4613" width="11.7109375" customWidth="1"/>
    <col min="4614" max="4614" width="12.7109375" customWidth="1"/>
    <col min="4615" max="4615" width="11.140625" customWidth="1"/>
    <col min="4616" max="4616" width="11.5703125" customWidth="1"/>
    <col min="4617" max="4617" width="11" customWidth="1"/>
    <col min="4618" max="4618" width="11.140625" customWidth="1"/>
    <col min="4619" max="4619" width="12.42578125" customWidth="1"/>
    <col min="4866" max="4866" width="26.85546875" customWidth="1"/>
    <col min="4867" max="4867" width="12.42578125" customWidth="1"/>
    <col min="4868" max="4868" width="11.85546875" customWidth="1"/>
    <col min="4869" max="4869" width="11.7109375" customWidth="1"/>
    <col min="4870" max="4870" width="12.7109375" customWidth="1"/>
    <col min="4871" max="4871" width="11.140625" customWidth="1"/>
    <col min="4872" max="4872" width="11.5703125" customWidth="1"/>
    <col min="4873" max="4873" width="11" customWidth="1"/>
    <col min="4874" max="4874" width="11.140625" customWidth="1"/>
    <col min="4875" max="4875" width="12.42578125" customWidth="1"/>
    <col min="5122" max="5122" width="26.85546875" customWidth="1"/>
    <col min="5123" max="5123" width="12.42578125" customWidth="1"/>
    <col min="5124" max="5124" width="11.85546875" customWidth="1"/>
    <col min="5125" max="5125" width="11.7109375" customWidth="1"/>
    <col min="5126" max="5126" width="12.7109375" customWidth="1"/>
    <col min="5127" max="5127" width="11.140625" customWidth="1"/>
    <col min="5128" max="5128" width="11.5703125" customWidth="1"/>
    <col min="5129" max="5129" width="11" customWidth="1"/>
    <col min="5130" max="5130" width="11.140625" customWidth="1"/>
    <col min="5131" max="5131" width="12.42578125" customWidth="1"/>
    <col min="5378" max="5378" width="26.85546875" customWidth="1"/>
    <col min="5379" max="5379" width="12.42578125" customWidth="1"/>
    <col min="5380" max="5380" width="11.85546875" customWidth="1"/>
    <col min="5381" max="5381" width="11.7109375" customWidth="1"/>
    <col min="5382" max="5382" width="12.7109375" customWidth="1"/>
    <col min="5383" max="5383" width="11.140625" customWidth="1"/>
    <col min="5384" max="5384" width="11.5703125" customWidth="1"/>
    <col min="5385" max="5385" width="11" customWidth="1"/>
    <col min="5386" max="5386" width="11.140625" customWidth="1"/>
    <col min="5387" max="5387" width="12.42578125" customWidth="1"/>
    <col min="5634" max="5634" width="26.85546875" customWidth="1"/>
    <col min="5635" max="5635" width="12.42578125" customWidth="1"/>
    <col min="5636" max="5636" width="11.85546875" customWidth="1"/>
    <col min="5637" max="5637" width="11.7109375" customWidth="1"/>
    <col min="5638" max="5638" width="12.7109375" customWidth="1"/>
    <col min="5639" max="5639" width="11.140625" customWidth="1"/>
    <col min="5640" max="5640" width="11.5703125" customWidth="1"/>
    <col min="5641" max="5641" width="11" customWidth="1"/>
    <col min="5642" max="5642" width="11.140625" customWidth="1"/>
    <col min="5643" max="5643" width="12.42578125" customWidth="1"/>
    <col min="5890" max="5890" width="26.85546875" customWidth="1"/>
    <col min="5891" max="5891" width="12.42578125" customWidth="1"/>
    <col min="5892" max="5892" width="11.85546875" customWidth="1"/>
    <col min="5893" max="5893" width="11.7109375" customWidth="1"/>
    <col min="5894" max="5894" width="12.7109375" customWidth="1"/>
    <col min="5895" max="5895" width="11.140625" customWidth="1"/>
    <col min="5896" max="5896" width="11.5703125" customWidth="1"/>
    <col min="5897" max="5897" width="11" customWidth="1"/>
    <col min="5898" max="5898" width="11.140625" customWidth="1"/>
    <col min="5899" max="5899" width="12.42578125" customWidth="1"/>
    <col min="6146" max="6146" width="26.85546875" customWidth="1"/>
    <col min="6147" max="6147" width="12.42578125" customWidth="1"/>
    <col min="6148" max="6148" width="11.85546875" customWidth="1"/>
    <col min="6149" max="6149" width="11.7109375" customWidth="1"/>
    <col min="6150" max="6150" width="12.7109375" customWidth="1"/>
    <col min="6151" max="6151" width="11.140625" customWidth="1"/>
    <col min="6152" max="6152" width="11.5703125" customWidth="1"/>
    <col min="6153" max="6153" width="11" customWidth="1"/>
    <col min="6154" max="6154" width="11.140625" customWidth="1"/>
    <col min="6155" max="6155" width="12.42578125" customWidth="1"/>
    <col min="6402" max="6402" width="26.85546875" customWidth="1"/>
    <col min="6403" max="6403" width="12.42578125" customWidth="1"/>
    <col min="6404" max="6404" width="11.85546875" customWidth="1"/>
    <col min="6405" max="6405" width="11.7109375" customWidth="1"/>
    <col min="6406" max="6406" width="12.7109375" customWidth="1"/>
    <col min="6407" max="6407" width="11.140625" customWidth="1"/>
    <col min="6408" max="6408" width="11.5703125" customWidth="1"/>
    <col min="6409" max="6409" width="11" customWidth="1"/>
    <col min="6410" max="6410" width="11.140625" customWidth="1"/>
    <col min="6411" max="6411" width="12.42578125" customWidth="1"/>
    <col min="6658" max="6658" width="26.85546875" customWidth="1"/>
    <col min="6659" max="6659" width="12.42578125" customWidth="1"/>
    <col min="6660" max="6660" width="11.85546875" customWidth="1"/>
    <col min="6661" max="6661" width="11.7109375" customWidth="1"/>
    <col min="6662" max="6662" width="12.7109375" customWidth="1"/>
    <col min="6663" max="6663" width="11.140625" customWidth="1"/>
    <col min="6664" max="6664" width="11.5703125" customWidth="1"/>
    <col min="6665" max="6665" width="11" customWidth="1"/>
    <col min="6666" max="6666" width="11.140625" customWidth="1"/>
    <col min="6667" max="6667" width="12.42578125" customWidth="1"/>
    <col min="6914" max="6914" width="26.85546875" customWidth="1"/>
    <col min="6915" max="6915" width="12.42578125" customWidth="1"/>
    <col min="6916" max="6916" width="11.85546875" customWidth="1"/>
    <col min="6917" max="6917" width="11.7109375" customWidth="1"/>
    <col min="6918" max="6918" width="12.7109375" customWidth="1"/>
    <col min="6919" max="6919" width="11.140625" customWidth="1"/>
    <col min="6920" max="6920" width="11.5703125" customWidth="1"/>
    <col min="6921" max="6921" width="11" customWidth="1"/>
    <col min="6922" max="6922" width="11.140625" customWidth="1"/>
    <col min="6923" max="6923" width="12.42578125" customWidth="1"/>
    <col min="7170" max="7170" width="26.85546875" customWidth="1"/>
    <col min="7171" max="7171" width="12.42578125" customWidth="1"/>
    <col min="7172" max="7172" width="11.85546875" customWidth="1"/>
    <col min="7173" max="7173" width="11.7109375" customWidth="1"/>
    <col min="7174" max="7174" width="12.7109375" customWidth="1"/>
    <col min="7175" max="7175" width="11.140625" customWidth="1"/>
    <col min="7176" max="7176" width="11.5703125" customWidth="1"/>
    <col min="7177" max="7177" width="11" customWidth="1"/>
    <col min="7178" max="7178" width="11.140625" customWidth="1"/>
    <col min="7179" max="7179" width="12.42578125" customWidth="1"/>
    <col min="7426" max="7426" width="26.85546875" customWidth="1"/>
    <col min="7427" max="7427" width="12.42578125" customWidth="1"/>
    <col min="7428" max="7428" width="11.85546875" customWidth="1"/>
    <col min="7429" max="7429" width="11.7109375" customWidth="1"/>
    <col min="7430" max="7430" width="12.7109375" customWidth="1"/>
    <col min="7431" max="7431" width="11.140625" customWidth="1"/>
    <col min="7432" max="7432" width="11.5703125" customWidth="1"/>
    <col min="7433" max="7433" width="11" customWidth="1"/>
    <col min="7434" max="7434" width="11.140625" customWidth="1"/>
    <col min="7435" max="7435" width="12.42578125" customWidth="1"/>
    <col min="7682" max="7682" width="26.85546875" customWidth="1"/>
    <col min="7683" max="7683" width="12.42578125" customWidth="1"/>
    <col min="7684" max="7684" width="11.85546875" customWidth="1"/>
    <col min="7685" max="7685" width="11.7109375" customWidth="1"/>
    <col min="7686" max="7686" width="12.7109375" customWidth="1"/>
    <col min="7687" max="7687" width="11.140625" customWidth="1"/>
    <col min="7688" max="7688" width="11.5703125" customWidth="1"/>
    <col min="7689" max="7689" width="11" customWidth="1"/>
    <col min="7690" max="7690" width="11.140625" customWidth="1"/>
    <col min="7691" max="7691" width="12.42578125" customWidth="1"/>
    <col min="7938" max="7938" width="26.85546875" customWidth="1"/>
    <col min="7939" max="7939" width="12.42578125" customWidth="1"/>
    <col min="7940" max="7940" width="11.85546875" customWidth="1"/>
    <col min="7941" max="7941" width="11.7109375" customWidth="1"/>
    <col min="7942" max="7942" width="12.7109375" customWidth="1"/>
    <col min="7943" max="7943" width="11.140625" customWidth="1"/>
    <col min="7944" max="7944" width="11.5703125" customWidth="1"/>
    <col min="7945" max="7945" width="11" customWidth="1"/>
    <col min="7946" max="7946" width="11.140625" customWidth="1"/>
    <col min="7947" max="7947" width="12.42578125" customWidth="1"/>
    <col min="8194" max="8194" width="26.85546875" customWidth="1"/>
    <col min="8195" max="8195" width="12.42578125" customWidth="1"/>
    <col min="8196" max="8196" width="11.85546875" customWidth="1"/>
    <col min="8197" max="8197" width="11.7109375" customWidth="1"/>
    <col min="8198" max="8198" width="12.7109375" customWidth="1"/>
    <col min="8199" max="8199" width="11.140625" customWidth="1"/>
    <col min="8200" max="8200" width="11.5703125" customWidth="1"/>
    <col min="8201" max="8201" width="11" customWidth="1"/>
    <col min="8202" max="8202" width="11.140625" customWidth="1"/>
    <col min="8203" max="8203" width="12.42578125" customWidth="1"/>
    <col min="8450" max="8450" width="26.85546875" customWidth="1"/>
    <col min="8451" max="8451" width="12.42578125" customWidth="1"/>
    <col min="8452" max="8452" width="11.85546875" customWidth="1"/>
    <col min="8453" max="8453" width="11.7109375" customWidth="1"/>
    <col min="8454" max="8454" width="12.7109375" customWidth="1"/>
    <col min="8455" max="8455" width="11.140625" customWidth="1"/>
    <col min="8456" max="8456" width="11.5703125" customWidth="1"/>
    <col min="8457" max="8457" width="11" customWidth="1"/>
    <col min="8458" max="8458" width="11.140625" customWidth="1"/>
    <col min="8459" max="8459" width="12.42578125" customWidth="1"/>
    <col min="8706" max="8706" width="26.85546875" customWidth="1"/>
    <col min="8707" max="8707" width="12.42578125" customWidth="1"/>
    <col min="8708" max="8708" width="11.85546875" customWidth="1"/>
    <col min="8709" max="8709" width="11.7109375" customWidth="1"/>
    <col min="8710" max="8710" width="12.7109375" customWidth="1"/>
    <col min="8711" max="8711" width="11.140625" customWidth="1"/>
    <col min="8712" max="8712" width="11.5703125" customWidth="1"/>
    <col min="8713" max="8713" width="11" customWidth="1"/>
    <col min="8714" max="8714" width="11.140625" customWidth="1"/>
    <col min="8715" max="8715" width="12.42578125" customWidth="1"/>
    <col min="8962" max="8962" width="26.85546875" customWidth="1"/>
    <col min="8963" max="8963" width="12.42578125" customWidth="1"/>
    <col min="8964" max="8964" width="11.85546875" customWidth="1"/>
    <col min="8965" max="8965" width="11.7109375" customWidth="1"/>
    <col min="8966" max="8966" width="12.7109375" customWidth="1"/>
    <col min="8967" max="8967" width="11.140625" customWidth="1"/>
    <col min="8968" max="8968" width="11.5703125" customWidth="1"/>
    <col min="8969" max="8969" width="11" customWidth="1"/>
    <col min="8970" max="8970" width="11.140625" customWidth="1"/>
    <col min="8971" max="8971" width="12.42578125" customWidth="1"/>
    <col min="9218" max="9218" width="26.85546875" customWidth="1"/>
    <col min="9219" max="9219" width="12.42578125" customWidth="1"/>
    <col min="9220" max="9220" width="11.85546875" customWidth="1"/>
    <col min="9221" max="9221" width="11.7109375" customWidth="1"/>
    <col min="9222" max="9222" width="12.7109375" customWidth="1"/>
    <col min="9223" max="9223" width="11.140625" customWidth="1"/>
    <col min="9224" max="9224" width="11.5703125" customWidth="1"/>
    <col min="9225" max="9225" width="11" customWidth="1"/>
    <col min="9226" max="9226" width="11.140625" customWidth="1"/>
    <col min="9227" max="9227" width="12.42578125" customWidth="1"/>
    <col min="9474" max="9474" width="26.85546875" customWidth="1"/>
    <col min="9475" max="9475" width="12.42578125" customWidth="1"/>
    <col min="9476" max="9476" width="11.85546875" customWidth="1"/>
    <col min="9477" max="9477" width="11.7109375" customWidth="1"/>
    <col min="9478" max="9478" width="12.7109375" customWidth="1"/>
    <col min="9479" max="9479" width="11.140625" customWidth="1"/>
    <col min="9480" max="9480" width="11.5703125" customWidth="1"/>
    <col min="9481" max="9481" width="11" customWidth="1"/>
    <col min="9482" max="9482" width="11.140625" customWidth="1"/>
    <col min="9483" max="9483" width="12.42578125" customWidth="1"/>
    <col min="9730" max="9730" width="26.85546875" customWidth="1"/>
    <col min="9731" max="9731" width="12.42578125" customWidth="1"/>
    <col min="9732" max="9732" width="11.85546875" customWidth="1"/>
    <col min="9733" max="9733" width="11.7109375" customWidth="1"/>
    <col min="9734" max="9734" width="12.7109375" customWidth="1"/>
    <col min="9735" max="9735" width="11.140625" customWidth="1"/>
    <col min="9736" max="9736" width="11.5703125" customWidth="1"/>
    <col min="9737" max="9737" width="11" customWidth="1"/>
    <col min="9738" max="9738" width="11.140625" customWidth="1"/>
    <col min="9739" max="9739" width="12.42578125" customWidth="1"/>
    <col min="9986" max="9986" width="26.85546875" customWidth="1"/>
    <col min="9987" max="9987" width="12.42578125" customWidth="1"/>
    <col min="9988" max="9988" width="11.85546875" customWidth="1"/>
    <col min="9989" max="9989" width="11.7109375" customWidth="1"/>
    <col min="9990" max="9990" width="12.7109375" customWidth="1"/>
    <col min="9991" max="9991" width="11.140625" customWidth="1"/>
    <col min="9992" max="9992" width="11.5703125" customWidth="1"/>
    <col min="9993" max="9993" width="11" customWidth="1"/>
    <col min="9994" max="9994" width="11.140625" customWidth="1"/>
    <col min="9995" max="9995" width="12.42578125" customWidth="1"/>
    <col min="10242" max="10242" width="26.85546875" customWidth="1"/>
    <col min="10243" max="10243" width="12.42578125" customWidth="1"/>
    <col min="10244" max="10244" width="11.85546875" customWidth="1"/>
    <col min="10245" max="10245" width="11.7109375" customWidth="1"/>
    <col min="10246" max="10246" width="12.7109375" customWidth="1"/>
    <col min="10247" max="10247" width="11.140625" customWidth="1"/>
    <col min="10248" max="10248" width="11.5703125" customWidth="1"/>
    <col min="10249" max="10249" width="11" customWidth="1"/>
    <col min="10250" max="10250" width="11.140625" customWidth="1"/>
    <col min="10251" max="10251" width="12.42578125" customWidth="1"/>
    <col min="10498" max="10498" width="26.85546875" customWidth="1"/>
    <col min="10499" max="10499" width="12.42578125" customWidth="1"/>
    <col min="10500" max="10500" width="11.85546875" customWidth="1"/>
    <col min="10501" max="10501" width="11.7109375" customWidth="1"/>
    <col min="10502" max="10502" width="12.7109375" customWidth="1"/>
    <col min="10503" max="10503" width="11.140625" customWidth="1"/>
    <col min="10504" max="10504" width="11.5703125" customWidth="1"/>
    <col min="10505" max="10505" width="11" customWidth="1"/>
    <col min="10506" max="10506" width="11.140625" customWidth="1"/>
    <col min="10507" max="10507" width="12.42578125" customWidth="1"/>
    <col min="10754" max="10754" width="26.85546875" customWidth="1"/>
    <col min="10755" max="10755" width="12.42578125" customWidth="1"/>
    <col min="10756" max="10756" width="11.85546875" customWidth="1"/>
    <col min="10757" max="10757" width="11.7109375" customWidth="1"/>
    <col min="10758" max="10758" width="12.7109375" customWidth="1"/>
    <col min="10759" max="10759" width="11.140625" customWidth="1"/>
    <col min="10760" max="10760" width="11.5703125" customWidth="1"/>
    <col min="10761" max="10761" width="11" customWidth="1"/>
    <col min="10762" max="10762" width="11.140625" customWidth="1"/>
    <col min="10763" max="10763" width="12.42578125" customWidth="1"/>
    <col min="11010" max="11010" width="26.85546875" customWidth="1"/>
    <col min="11011" max="11011" width="12.42578125" customWidth="1"/>
    <col min="11012" max="11012" width="11.85546875" customWidth="1"/>
    <col min="11013" max="11013" width="11.7109375" customWidth="1"/>
    <col min="11014" max="11014" width="12.7109375" customWidth="1"/>
    <col min="11015" max="11015" width="11.140625" customWidth="1"/>
    <col min="11016" max="11016" width="11.5703125" customWidth="1"/>
    <col min="11017" max="11017" width="11" customWidth="1"/>
    <col min="11018" max="11018" width="11.140625" customWidth="1"/>
    <col min="11019" max="11019" width="12.42578125" customWidth="1"/>
    <col min="11266" max="11266" width="26.85546875" customWidth="1"/>
    <col min="11267" max="11267" width="12.42578125" customWidth="1"/>
    <col min="11268" max="11268" width="11.85546875" customWidth="1"/>
    <col min="11269" max="11269" width="11.7109375" customWidth="1"/>
    <col min="11270" max="11270" width="12.7109375" customWidth="1"/>
    <col min="11271" max="11271" width="11.140625" customWidth="1"/>
    <col min="11272" max="11272" width="11.5703125" customWidth="1"/>
    <col min="11273" max="11273" width="11" customWidth="1"/>
    <col min="11274" max="11274" width="11.140625" customWidth="1"/>
    <col min="11275" max="11275" width="12.42578125" customWidth="1"/>
    <col min="11522" max="11522" width="26.85546875" customWidth="1"/>
    <col min="11523" max="11523" width="12.42578125" customWidth="1"/>
    <col min="11524" max="11524" width="11.85546875" customWidth="1"/>
    <col min="11525" max="11525" width="11.7109375" customWidth="1"/>
    <col min="11526" max="11526" width="12.7109375" customWidth="1"/>
    <col min="11527" max="11527" width="11.140625" customWidth="1"/>
    <col min="11528" max="11528" width="11.5703125" customWidth="1"/>
    <col min="11529" max="11529" width="11" customWidth="1"/>
    <col min="11530" max="11530" width="11.140625" customWidth="1"/>
    <col min="11531" max="11531" width="12.42578125" customWidth="1"/>
    <col min="11778" max="11778" width="26.85546875" customWidth="1"/>
    <col min="11779" max="11779" width="12.42578125" customWidth="1"/>
    <col min="11780" max="11780" width="11.85546875" customWidth="1"/>
    <col min="11781" max="11781" width="11.7109375" customWidth="1"/>
    <col min="11782" max="11782" width="12.7109375" customWidth="1"/>
    <col min="11783" max="11783" width="11.140625" customWidth="1"/>
    <col min="11784" max="11784" width="11.5703125" customWidth="1"/>
    <col min="11785" max="11785" width="11" customWidth="1"/>
    <col min="11786" max="11786" width="11.140625" customWidth="1"/>
    <col min="11787" max="11787" width="12.42578125" customWidth="1"/>
    <col min="12034" max="12034" width="26.85546875" customWidth="1"/>
    <col min="12035" max="12035" width="12.42578125" customWidth="1"/>
    <col min="12036" max="12036" width="11.85546875" customWidth="1"/>
    <col min="12037" max="12037" width="11.7109375" customWidth="1"/>
    <col min="12038" max="12038" width="12.7109375" customWidth="1"/>
    <col min="12039" max="12039" width="11.140625" customWidth="1"/>
    <col min="12040" max="12040" width="11.5703125" customWidth="1"/>
    <col min="12041" max="12041" width="11" customWidth="1"/>
    <col min="12042" max="12042" width="11.140625" customWidth="1"/>
    <col min="12043" max="12043" width="12.42578125" customWidth="1"/>
    <col min="12290" max="12290" width="26.85546875" customWidth="1"/>
    <col min="12291" max="12291" width="12.42578125" customWidth="1"/>
    <col min="12292" max="12292" width="11.85546875" customWidth="1"/>
    <col min="12293" max="12293" width="11.7109375" customWidth="1"/>
    <col min="12294" max="12294" width="12.7109375" customWidth="1"/>
    <col min="12295" max="12295" width="11.140625" customWidth="1"/>
    <col min="12296" max="12296" width="11.5703125" customWidth="1"/>
    <col min="12297" max="12297" width="11" customWidth="1"/>
    <col min="12298" max="12298" width="11.140625" customWidth="1"/>
    <col min="12299" max="12299" width="12.42578125" customWidth="1"/>
    <col min="12546" max="12546" width="26.85546875" customWidth="1"/>
    <col min="12547" max="12547" width="12.42578125" customWidth="1"/>
    <col min="12548" max="12548" width="11.85546875" customWidth="1"/>
    <col min="12549" max="12549" width="11.7109375" customWidth="1"/>
    <col min="12550" max="12550" width="12.7109375" customWidth="1"/>
    <col min="12551" max="12551" width="11.140625" customWidth="1"/>
    <col min="12552" max="12552" width="11.5703125" customWidth="1"/>
    <col min="12553" max="12553" width="11" customWidth="1"/>
    <col min="12554" max="12554" width="11.140625" customWidth="1"/>
    <col min="12555" max="12555" width="12.42578125" customWidth="1"/>
    <col min="12802" max="12802" width="26.85546875" customWidth="1"/>
    <col min="12803" max="12803" width="12.42578125" customWidth="1"/>
    <col min="12804" max="12804" width="11.85546875" customWidth="1"/>
    <col min="12805" max="12805" width="11.7109375" customWidth="1"/>
    <col min="12806" max="12806" width="12.7109375" customWidth="1"/>
    <col min="12807" max="12807" width="11.140625" customWidth="1"/>
    <col min="12808" max="12808" width="11.5703125" customWidth="1"/>
    <col min="12809" max="12809" width="11" customWidth="1"/>
    <col min="12810" max="12810" width="11.140625" customWidth="1"/>
    <col min="12811" max="12811" width="12.42578125" customWidth="1"/>
    <col min="13058" max="13058" width="26.85546875" customWidth="1"/>
    <col min="13059" max="13059" width="12.42578125" customWidth="1"/>
    <col min="13060" max="13060" width="11.85546875" customWidth="1"/>
    <col min="13061" max="13061" width="11.7109375" customWidth="1"/>
    <col min="13062" max="13062" width="12.7109375" customWidth="1"/>
    <col min="13063" max="13063" width="11.140625" customWidth="1"/>
    <col min="13064" max="13064" width="11.5703125" customWidth="1"/>
    <col min="13065" max="13065" width="11" customWidth="1"/>
    <col min="13066" max="13066" width="11.140625" customWidth="1"/>
    <col min="13067" max="13067" width="12.42578125" customWidth="1"/>
    <col min="13314" max="13314" width="26.85546875" customWidth="1"/>
    <col min="13315" max="13315" width="12.42578125" customWidth="1"/>
    <col min="13316" max="13316" width="11.85546875" customWidth="1"/>
    <col min="13317" max="13317" width="11.7109375" customWidth="1"/>
    <col min="13318" max="13318" width="12.7109375" customWidth="1"/>
    <col min="13319" max="13319" width="11.140625" customWidth="1"/>
    <col min="13320" max="13320" width="11.5703125" customWidth="1"/>
    <col min="13321" max="13321" width="11" customWidth="1"/>
    <col min="13322" max="13322" width="11.140625" customWidth="1"/>
    <col min="13323" max="13323" width="12.42578125" customWidth="1"/>
    <col min="13570" max="13570" width="26.85546875" customWidth="1"/>
    <col min="13571" max="13571" width="12.42578125" customWidth="1"/>
    <col min="13572" max="13572" width="11.85546875" customWidth="1"/>
    <col min="13573" max="13573" width="11.7109375" customWidth="1"/>
    <col min="13574" max="13574" width="12.7109375" customWidth="1"/>
    <col min="13575" max="13575" width="11.140625" customWidth="1"/>
    <col min="13576" max="13576" width="11.5703125" customWidth="1"/>
    <col min="13577" max="13577" width="11" customWidth="1"/>
    <col min="13578" max="13578" width="11.140625" customWidth="1"/>
    <col min="13579" max="13579" width="12.42578125" customWidth="1"/>
    <col min="13826" max="13826" width="26.85546875" customWidth="1"/>
    <col min="13827" max="13827" width="12.42578125" customWidth="1"/>
    <col min="13828" max="13828" width="11.85546875" customWidth="1"/>
    <col min="13829" max="13829" width="11.7109375" customWidth="1"/>
    <col min="13830" max="13830" width="12.7109375" customWidth="1"/>
    <col min="13831" max="13831" width="11.140625" customWidth="1"/>
    <col min="13832" max="13832" width="11.5703125" customWidth="1"/>
    <col min="13833" max="13833" width="11" customWidth="1"/>
    <col min="13834" max="13834" width="11.140625" customWidth="1"/>
    <col min="13835" max="13835" width="12.42578125" customWidth="1"/>
    <col min="14082" max="14082" width="26.85546875" customWidth="1"/>
    <col min="14083" max="14083" width="12.42578125" customWidth="1"/>
    <col min="14084" max="14084" width="11.85546875" customWidth="1"/>
    <col min="14085" max="14085" width="11.7109375" customWidth="1"/>
    <col min="14086" max="14086" width="12.7109375" customWidth="1"/>
    <col min="14087" max="14087" width="11.140625" customWidth="1"/>
    <col min="14088" max="14088" width="11.5703125" customWidth="1"/>
    <col min="14089" max="14089" width="11" customWidth="1"/>
    <col min="14090" max="14090" width="11.140625" customWidth="1"/>
    <col min="14091" max="14091" width="12.42578125" customWidth="1"/>
    <col min="14338" max="14338" width="26.85546875" customWidth="1"/>
    <col min="14339" max="14339" width="12.42578125" customWidth="1"/>
    <col min="14340" max="14340" width="11.85546875" customWidth="1"/>
    <col min="14341" max="14341" width="11.7109375" customWidth="1"/>
    <col min="14342" max="14342" width="12.7109375" customWidth="1"/>
    <col min="14343" max="14343" width="11.140625" customWidth="1"/>
    <col min="14344" max="14344" width="11.5703125" customWidth="1"/>
    <col min="14345" max="14345" width="11" customWidth="1"/>
    <col min="14346" max="14346" width="11.140625" customWidth="1"/>
    <col min="14347" max="14347" width="12.42578125" customWidth="1"/>
    <col min="14594" max="14594" width="26.85546875" customWidth="1"/>
    <col min="14595" max="14595" width="12.42578125" customWidth="1"/>
    <col min="14596" max="14596" width="11.85546875" customWidth="1"/>
    <col min="14597" max="14597" width="11.7109375" customWidth="1"/>
    <col min="14598" max="14598" width="12.7109375" customWidth="1"/>
    <col min="14599" max="14599" width="11.140625" customWidth="1"/>
    <col min="14600" max="14600" width="11.5703125" customWidth="1"/>
    <col min="14601" max="14601" width="11" customWidth="1"/>
    <col min="14602" max="14602" width="11.140625" customWidth="1"/>
    <col min="14603" max="14603" width="12.42578125" customWidth="1"/>
    <col min="14850" max="14850" width="26.85546875" customWidth="1"/>
    <col min="14851" max="14851" width="12.42578125" customWidth="1"/>
    <col min="14852" max="14852" width="11.85546875" customWidth="1"/>
    <col min="14853" max="14853" width="11.7109375" customWidth="1"/>
    <col min="14854" max="14854" width="12.7109375" customWidth="1"/>
    <col min="14855" max="14855" width="11.140625" customWidth="1"/>
    <col min="14856" max="14856" width="11.5703125" customWidth="1"/>
    <col min="14857" max="14857" width="11" customWidth="1"/>
    <col min="14858" max="14858" width="11.140625" customWidth="1"/>
    <col min="14859" max="14859" width="12.42578125" customWidth="1"/>
    <col min="15106" max="15106" width="26.85546875" customWidth="1"/>
    <col min="15107" max="15107" width="12.42578125" customWidth="1"/>
    <col min="15108" max="15108" width="11.85546875" customWidth="1"/>
    <col min="15109" max="15109" width="11.7109375" customWidth="1"/>
    <col min="15110" max="15110" width="12.7109375" customWidth="1"/>
    <col min="15111" max="15111" width="11.140625" customWidth="1"/>
    <col min="15112" max="15112" width="11.5703125" customWidth="1"/>
    <col min="15113" max="15113" width="11" customWidth="1"/>
    <col min="15114" max="15114" width="11.140625" customWidth="1"/>
    <col min="15115" max="15115" width="12.42578125" customWidth="1"/>
    <col min="15362" max="15362" width="26.85546875" customWidth="1"/>
    <col min="15363" max="15363" width="12.42578125" customWidth="1"/>
    <col min="15364" max="15364" width="11.85546875" customWidth="1"/>
    <col min="15365" max="15365" width="11.7109375" customWidth="1"/>
    <col min="15366" max="15366" width="12.7109375" customWidth="1"/>
    <col min="15367" max="15367" width="11.140625" customWidth="1"/>
    <col min="15368" max="15368" width="11.5703125" customWidth="1"/>
    <col min="15369" max="15369" width="11" customWidth="1"/>
    <col min="15370" max="15370" width="11.140625" customWidth="1"/>
    <col min="15371" max="15371" width="12.42578125" customWidth="1"/>
    <col min="15618" max="15618" width="26.85546875" customWidth="1"/>
    <col min="15619" max="15619" width="12.42578125" customWidth="1"/>
    <col min="15620" max="15620" width="11.85546875" customWidth="1"/>
    <col min="15621" max="15621" width="11.7109375" customWidth="1"/>
    <col min="15622" max="15622" width="12.7109375" customWidth="1"/>
    <col min="15623" max="15623" width="11.140625" customWidth="1"/>
    <col min="15624" max="15624" width="11.5703125" customWidth="1"/>
    <col min="15625" max="15625" width="11" customWidth="1"/>
    <col min="15626" max="15626" width="11.140625" customWidth="1"/>
    <col min="15627" max="15627" width="12.42578125" customWidth="1"/>
    <col min="15874" max="15874" width="26.85546875" customWidth="1"/>
    <col min="15875" max="15875" width="12.42578125" customWidth="1"/>
    <col min="15876" max="15876" width="11.85546875" customWidth="1"/>
    <col min="15877" max="15877" width="11.7109375" customWidth="1"/>
    <col min="15878" max="15878" width="12.7109375" customWidth="1"/>
    <col min="15879" max="15879" width="11.140625" customWidth="1"/>
    <col min="15880" max="15880" width="11.5703125" customWidth="1"/>
    <col min="15881" max="15881" width="11" customWidth="1"/>
    <col min="15882" max="15882" width="11.140625" customWidth="1"/>
    <col min="15883" max="15883" width="12.42578125" customWidth="1"/>
    <col min="16130" max="16130" width="26.85546875" customWidth="1"/>
    <col min="16131" max="16131" width="12.42578125" customWidth="1"/>
    <col min="16132" max="16132" width="11.85546875" customWidth="1"/>
    <col min="16133" max="16133" width="11.7109375" customWidth="1"/>
    <col min="16134" max="16134" width="12.7109375" customWidth="1"/>
    <col min="16135" max="16135" width="11.140625" customWidth="1"/>
    <col min="16136" max="16136" width="11.5703125" customWidth="1"/>
    <col min="16137" max="16137" width="11" customWidth="1"/>
    <col min="16138" max="16138" width="11.140625" customWidth="1"/>
    <col min="16139" max="16139" width="12.42578125" customWidth="1"/>
  </cols>
  <sheetData>
    <row r="1" spans="1:11" ht="18.75" x14ac:dyDescent="0.3">
      <c r="A1" s="191"/>
      <c r="B1" s="191"/>
      <c r="C1" s="191"/>
      <c r="D1" s="192"/>
      <c r="E1" s="192"/>
      <c r="F1" s="192"/>
      <c r="G1" s="192"/>
      <c r="H1" s="309" t="s">
        <v>730</v>
      </c>
      <c r="I1" s="309"/>
      <c r="J1" s="309"/>
      <c r="K1" s="309"/>
    </row>
    <row r="2" spans="1:11" ht="18.75" x14ac:dyDescent="0.3">
      <c r="A2" s="191"/>
      <c r="B2" s="191"/>
      <c r="C2" s="191"/>
      <c r="D2" s="192"/>
      <c r="E2" s="192"/>
      <c r="F2" s="192"/>
      <c r="G2" s="192"/>
      <c r="H2" s="309" t="s">
        <v>474</v>
      </c>
      <c r="I2" s="309"/>
      <c r="J2" s="309"/>
      <c r="K2" s="309"/>
    </row>
    <row r="3" spans="1:11" ht="18.75" x14ac:dyDescent="0.3">
      <c r="A3" s="191"/>
      <c r="B3" s="191"/>
      <c r="C3" s="191"/>
      <c r="D3" s="191"/>
      <c r="E3" s="191"/>
      <c r="F3" s="191"/>
      <c r="G3" s="191"/>
      <c r="H3" s="315" t="s">
        <v>729</v>
      </c>
      <c r="I3" s="315"/>
      <c r="J3" s="315"/>
      <c r="K3" s="315"/>
    </row>
    <row r="4" spans="1:11" ht="18.75" x14ac:dyDescent="0.3">
      <c r="A4" s="191"/>
      <c r="B4" s="191"/>
      <c r="C4" s="191"/>
      <c r="D4" s="191"/>
      <c r="E4" s="191"/>
      <c r="F4" s="191"/>
      <c r="G4" s="191"/>
      <c r="H4" s="315" t="s">
        <v>773</v>
      </c>
      <c r="I4" s="315"/>
      <c r="J4" s="315"/>
      <c r="K4" s="315"/>
    </row>
    <row r="5" spans="1:11" ht="18.75" x14ac:dyDescent="0.3">
      <c r="A5" s="191"/>
      <c r="B5" s="191"/>
      <c r="C5" s="191"/>
      <c r="D5" s="191"/>
      <c r="E5" s="191"/>
      <c r="F5" s="191"/>
      <c r="G5" s="191"/>
      <c r="H5" s="315" t="s">
        <v>920</v>
      </c>
      <c r="I5" s="315"/>
      <c r="J5" s="315"/>
      <c r="K5" s="315"/>
    </row>
    <row r="6" spans="1:11" ht="18.75" x14ac:dyDescent="0.3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0"/>
    </row>
    <row r="7" spans="1:11" ht="18.75" x14ac:dyDescent="0.3">
      <c r="A7" s="313" t="s">
        <v>731</v>
      </c>
      <c r="B7" s="313"/>
      <c r="C7" s="313"/>
      <c r="D7" s="313"/>
      <c r="E7" s="313"/>
      <c r="F7" s="313"/>
      <c r="G7" s="313"/>
      <c r="H7" s="313"/>
      <c r="I7" s="313"/>
      <c r="J7" s="313"/>
      <c r="K7" s="313"/>
    </row>
    <row r="8" spans="1:11" ht="18.75" x14ac:dyDescent="0.3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</row>
    <row r="9" spans="1:11" x14ac:dyDescent="0.25">
      <c r="A9" s="314" t="s">
        <v>728</v>
      </c>
      <c r="B9" s="314" t="s">
        <v>727</v>
      </c>
      <c r="C9" s="316" t="s">
        <v>726</v>
      </c>
      <c r="D9" s="316"/>
      <c r="E9" s="316"/>
      <c r="F9" s="316"/>
      <c r="G9" s="316"/>
      <c r="H9" s="316"/>
      <c r="I9" s="316"/>
      <c r="J9" s="316"/>
      <c r="K9" s="316"/>
    </row>
    <row r="10" spans="1:11" x14ac:dyDescent="0.25">
      <c r="A10" s="314"/>
      <c r="B10" s="314"/>
      <c r="C10" s="316"/>
      <c r="D10" s="316"/>
      <c r="E10" s="316"/>
      <c r="F10" s="316"/>
      <c r="G10" s="316"/>
      <c r="H10" s="316"/>
      <c r="I10" s="316"/>
      <c r="J10" s="316"/>
      <c r="K10" s="316"/>
    </row>
    <row r="11" spans="1:11" ht="15.75" x14ac:dyDescent="0.25">
      <c r="A11" s="314"/>
      <c r="B11" s="314"/>
      <c r="C11" s="316" t="s">
        <v>3</v>
      </c>
      <c r="D11" s="316" t="s">
        <v>238</v>
      </c>
      <c r="E11" s="316"/>
      <c r="F11" s="316" t="s">
        <v>4</v>
      </c>
      <c r="G11" s="316" t="s">
        <v>238</v>
      </c>
      <c r="H11" s="316"/>
      <c r="I11" s="316" t="s">
        <v>496</v>
      </c>
      <c r="J11" s="316" t="s">
        <v>238</v>
      </c>
      <c r="K11" s="316"/>
    </row>
    <row r="12" spans="1:11" ht="47.25" x14ac:dyDescent="0.25">
      <c r="A12" s="314"/>
      <c r="B12" s="314"/>
      <c r="C12" s="316"/>
      <c r="D12" s="188" t="s">
        <v>725</v>
      </c>
      <c r="E12" s="188" t="s">
        <v>724</v>
      </c>
      <c r="F12" s="316"/>
      <c r="G12" s="188" t="s">
        <v>725</v>
      </c>
      <c r="H12" s="188" t="s">
        <v>724</v>
      </c>
      <c r="I12" s="316"/>
      <c r="J12" s="188" t="s">
        <v>725</v>
      </c>
      <c r="K12" s="188" t="s">
        <v>724</v>
      </c>
    </row>
    <row r="13" spans="1:11" ht="56.25" x14ac:dyDescent="0.25">
      <c r="A13" s="187">
        <v>1</v>
      </c>
      <c r="B13" s="186" t="s">
        <v>102</v>
      </c>
      <c r="C13" s="262">
        <f>D13+E13</f>
        <v>40669.593090000002</v>
      </c>
      <c r="D13" s="263">
        <v>30121.14</v>
      </c>
      <c r="E13" s="262">
        <f>10478.86+69.59309</f>
        <v>10548.453090000001</v>
      </c>
      <c r="F13" s="262">
        <v>0</v>
      </c>
      <c r="G13" s="263">
        <v>0</v>
      </c>
      <c r="H13" s="262">
        <v>0</v>
      </c>
      <c r="I13" s="263">
        <v>0</v>
      </c>
      <c r="J13" s="263">
        <v>0</v>
      </c>
      <c r="K13" s="263">
        <v>0</v>
      </c>
    </row>
    <row r="14" spans="1:11" ht="37.5" x14ac:dyDescent="0.25">
      <c r="A14" s="187">
        <v>2</v>
      </c>
      <c r="B14" s="186" t="s">
        <v>106</v>
      </c>
      <c r="C14" s="263">
        <v>0</v>
      </c>
      <c r="D14" s="263">
        <v>0</v>
      </c>
      <c r="E14" s="263">
        <v>0</v>
      </c>
      <c r="F14" s="263">
        <v>0</v>
      </c>
      <c r="G14" s="263">
        <v>0</v>
      </c>
      <c r="H14" s="263">
        <v>0</v>
      </c>
      <c r="I14" s="263">
        <f>SUM(J14:K14)</f>
        <v>44338.189059999997</v>
      </c>
      <c r="J14" s="263">
        <v>38559.189059999997</v>
      </c>
      <c r="K14" s="263">
        <v>5779</v>
      </c>
    </row>
    <row r="15" spans="1:11" ht="131.25" x14ac:dyDescent="0.25">
      <c r="A15" s="187">
        <v>3</v>
      </c>
      <c r="B15" s="186" t="s">
        <v>197</v>
      </c>
      <c r="C15" s="263">
        <f>D15</f>
        <v>3114.7049999999999</v>
      </c>
      <c r="D15" s="263">
        <v>3114.7049999999999</v>
      </c>
      <c r="E15" s="263">
        <v>0</v>
      </c>
      <c r="F15" s="263">
        <f>G15</f>
        <v>3114.7049999999999</v>
      </c>
      <c r="G15" s="263">
        <v>3114.7049999999999</v>
      </c>
      <c r="H15" s="263">
        <v>0</v>
      </c>
      <c r="I15" s="263">
        <v>0</v>
      </c>
      <c r="J15" s="263">
        <v>0</v>
      </c>
      <c r="K15" s="263">
        <v>0</v>
      </c>
    </row>
    <row r="16" spans="1:11" ht="37.5" x14ac:dyDescent="0.25">
      <c r="A16" s="187">
        <v>4</v>
      </c>
      <c r="B16" s="186" t="s">
        <v>540</v>
      </c>
      <c r="C16" s="263">
        <f>E16</f>
        <v>0</v>
      </c>
      <c r="D16" s="263">
        <v>0</v>
      </c>
      <c r="E16" s="263">
        <v>0</v>
      </c>
      <c r="F16" s="263">
        <f>G16+H16</f>
        <v>4643.2</v>
      </c>
      <c r="G16" s="263">
        <v>0</v>
      </c>
      <c r="H16" s="263">
        <v>4643.2</v>
      </c>
      <c r="I16" s="263">
        <v>0</v>
      </c>
      <c r="J16" s="263">
        <v>0</v>
      </c>
      <c r="K16" s="263">
        <v>0</v>
      </c>
    </row>
    <row r="17" spans="1:11" ht="37.5" x14ac:dyDescent="0.25">
      <c r="A17" s="187">
        <v>5</v>
      </c>
      <c r="B17" s="186" t="s">
        <v>492</v>
      </c>
      <c r="C17" s="262">
        <f>D17+E17</f>
        <v>47356.907379999997</v>
      </c>
      <c r="D17" s="263">
        <v>45000</v>
      </c>
      <c r="E17" s="263">
        <v>2356.9073800000001</v>
      </c>
      <c r="F17" s="263">
        <f>H17</f>
        <v>4087.5370699999999</v>
      </c>
      <c r="G17" s="263">
        <v>0</v>
      </c>
      <c r="H17" s="263">
        <v>4087.5370699999999</v>
      </c>
      <c r="I17" s="263">
        <v>0</v>
      </c>
      <c r="J17" s="263">
        <v>0</v>
      </c>
      <c r="K17" s="263">
        <v>0</v>
      </c>
    </row>
    <row r="18" spans="1:11" ht="75" x14ac:dyDescent="0.25">
      <c r="A18" s="187">
        <v>6</v>
      </c>
      <c r="B18" s="186" t="s">
        <v>877</v>
      </c>
      <c r="C18" s="262">
        <v>2631.2</v>
      </c>
      <c r="D18" s="263">
        <v>0</v>
      </c>
      <c r="E18" s="263">
        <f>C18</f>
        <v>2631.2</v>
      </c>
      <c r="F18" s="263">
        <v>0</v>
      </c>
      <c r="G18" s="263">
        <v>0</v>
      </c>
      <c r="H18" s="263">
        <v>0</v>
      </c>
      <c r="I18" s="263">
        <v>0</v>
      </c>
      <c r="J18" s="263">
        <v>0</v>
      </c>
      <c r="K18" s="263">
        <v>0</v>
      </c>
    </row>
    <row r="19" spans="1:11" ht="18.75" x14ac:dyDescent="0.3">
      <c r="A19" s="185"/>
      <c r="B19" s="185" t="s">
        <v>723</v>
      </c>
      <c r="C19" s="264">
        <f t="shared" ref="C19:K19" si="0">SUM(C13:C18)</f>
        <v>93772.405469999998</v>
      </c>
      <c r="D19" s="264">
        <f t="shared" si="0"/>
        <v>78235.845000000001</v>
      </c>
      <c r="E19" s="264">
        <f t="shared" si="0"/>
        <v>15536.56047</v>
      </c>
      <c r="F19" s="264">
        <f t="shared" si="0"/>
        <v>11845.442069999999</v>
      </c>
      <c r="G19" s="264">
        <f t="shared" si="0"/>
        <v>3114.7049999999999</v>
      </c>
      <c r="H19" s="264">
        <f t="shared" si="0"/>
        <v>8730.7370699999992</v>
      </c>
      <c r="I19" s="264">
        <f t="shared" si="0"/>
        <v>44338.189059999997</v>
      </c>
      <c r="J19" s="264">
        <f t="shared" si="0"/>
        <v>38559.189059999997</v>
      </c>
      <c r="K19" s="264">
        <f t="shared" si="0"/>
        <v>5779</v>
      </c>
    </row>
  </sheetData>
  <mergeCells count="15">
    <mergeCell ref="A7:K7"/>
    <mergeCell ref="A9:A12"/>
    <mergeCell ref="B9:B12"/>
    <mergeCell ref="H1:K1"/>
    <mergeCell ref="H2:K2"/>
    <mergeCell ref="H3:K3"/>
    <mergeCell ref="H4:K4"/>
    <mergeCell ref="C9:K10"/>
    <mergeCell ref="C11:C12"/>
    <mergeCell ref="D11:E11"/>
    <mergeCell ref="F11:F12"/>
    <mergeCell ref="G11:H11"/>
    <mergeCell ref="I11:I12"/>
    <mergeCell ref="J11:K11"/>
    <mergeCell ref="H5:K5"/>
  </mergeCells>
  <pageMargins left="0.70866141732283472" right="0.70866141732283472" top="1.1417322834645669" bottom="0.35433070866141736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view="pageBreakPreview" topLeftCell="A88" zoomScale="85" zoomScaleNormal="85" zoomScaleSheetLayoutView="85" workbookViewId="0">
      <selection activeCell="D101" sqref="D101"/>
    </sheetView>
  </sheetViews>
  <sheetFormatPr defaultRowHeight="15" x14ac:dyDescent="0.25"/>
  <cols>
    <col min="1" max="1" width="8.7109375" customWidth="1"/>
    <col min="2" max="2" width="54.28515625" customWidth="1"/>
    <col min="3" max="4" width="15.7109375" customWidth="1"/>
    <col min="5" max="5" width="15.85546875" customWidth="1"/>
    <col min="6" max="6" width="16.7109375" customWidth="1"/>
    <col min="7" max="8" width="17" customWidth="1"/>
    <col min="9" max="9" width="17.85546875" customWidth="1"/>
    <col min="10" max="10" width="14.5703125" customWidth="1"/>
    <col min="11" max="11" width="17.5703125" customWidth="1"/>
    <col min="12" max="12" width="17.140625" customWidth="1"/>
    <col min="13" max="13" width="15.7109375" customWidth="1"/>
    <col min="14" max="14" width="13.5703125" bestFit="1" customWidth="1"/>
    <col min="259" max="259" width="8.7109375" customWidth="1"/>
    <col min="260" max="260" width="53.42578125" customWidth="1"/>
    <col min="261" max="261" width="15.7109375" customWidth="1"/>
    <col min="262" max="262" width="15.85546875" customWidth="1"/>
    <col min="263" max="263" width="15.5703125" customWidth="1"/>
    <col min="264" max="264" width="17" customWidth="1"/>
    <col min="265" max="265" width="17.85546875" customWidth="1"/>
    <col min="266" max="266" width="14.5703125" customWidth="1"/>
    <col min="267" max="267" width="15.140625" customWidth="1"/>
    <col min="268" max="268" width="17.140625" customWidth="1"/>
    <col min="269" max="269" width="15.7109375" customWidth="1"/>
    <col min="270" max="270" width="13.5703125" bestFit="1" customWidth="1"/>
    <col min="515" max="515" width="8.7109375" customWidth="1"/>
    <col min="516" max="516" width="53.42578125" customWidth="1"/>
    <col min="517" max="517" width="15.7109375" customWidth="1"/>
    <col min="518" max="518" width="15.85546875" customWidth="1"/>
    <col min="519" max="519" width="15.5703125" customWidth="1"/>
    <col min="520" max="520" width="17" customWidth="1"/>
    <col min="521" max="521" width="17.85546875" customWidth="1"/>
    <col min="522" max="522" width="14.5703125" customWidth="1"/>
    <col min="523" max="523" width="15.140625" customWidth="1"/>
    <col min="524" max="524" width="17.140625" customWidth="1"/>
    <col min="525" max="525" width="15.7109375" customWidth="1"/>
    <col min="526" max="526" width="13.5703125" bestFit="1" customWidth="1"/>
    <col min="771" max="771" width="8.7109375" customWidth="1"/>
    <col min="772" max="772" width="53.42578125" customWidth="1"/>
    <col min="773" max="773" width="15.7109375" customWidth="1"/>
    <col min="774" max="774" width="15.85546875" customWidth="1"/>
    <col min="775" max="775" width="15.5703125" customWidth="1"/>
    <col min="776" max="776" width="17" customWidth="1"/>
    <col min="777" max="777" width="17.85546875" customWidth="1"/>
    <col min="778" max="778" width="14.5703125" customWidth="1"/>
    <col min="779" max="779" width="15.140625" customWidth="1"/>
    <col min="780" max="780" width="17.140625" customWidth="1"/>
    <col min="781" max="781" width="15.7109375" customWidth="1"/>
    <col min="782" max="782" width="13.5703125" bestFit="1" customWidth="1"/>
    <col min="1027" max="1027" width="8.7109375" customWidth="1"/>
    <col min="1028" max="1028" width="53.42578125" customWidth="1"/>
    <col min="1029" max="1029" width="15.7109375" customWidth="1"/>
    <col min="1030" max="1030" width="15.85546875" customWidth="1"/>
    <col min="1031" max="1031" width="15.5703125" customWidth="1"/>
    <col min="1032" max="1032" width="17" customWidth="1"/>
    <col min="1033" max="1033" width="17.85546875" customWidth="1"/>
    <col min="1034" max="1034" width="14.5703125" customWidth="1"/>
    <col min="1035" max="1035" width="15.140625" customWidth="1"/>
    <col min="1036" max="1036" width="17.140625" customWidth="1"/>
    <col min="1037" max="1037" width="15.7109375" customWidth="1"/>
    <col min="1038" max="1038" width="13.5703125" bestFit="1" customWidth="1"/>
    <col min="1283" max="1283" width="8.7109375" customWidth="1"/>
    <col min="1284" max="1284" width="53.42578125" customWidth="1"/>
    <col min="1285" max="1285" width="15.7109375" customWidth="1"/>
    <col min="1286" max="1286" width="15.85546875" customWidth="1"/>
    <col min="1287" max="1287" width="15.5703125" customWidth="1"/>
    <col min="1288" max="1288" width="17" customWidth="1"/>
    <col min="1289" max="1289" width="17.85546875" customWidth="1"/>
    <col min="1290" max="1290" width="14.5703125" customWidth="1"/>
    <col min="1291" max="1291" width="15.140625" customWidth="1"/>
    <col min="1292" max="1292" width="17.140625" customWidth="1"/>
    <col min="1293" max="1293" width="15.7109375" customWidth="1"/>
    <col min="1294" max="1294" width="13.5703125" bestFit="1" customWidth="1"/>
    <col min="1539" max="1539" width="8.7109375" customWidth="1"/>
    <col min="1540" max="1540" width="53.42578125" customWidth="1"/>
    <col min="1541" max="1541" width="15.7109375" customWidth="1"/>
    <col min="1542" max="1542" width="15.85546875" customWidth="1"/>
    <col min="1543" max="1543" width="15.5703125" customWidth="1"/>
    <col min="1544" max="1544" width="17" customWidth="1"/>
    <col min="1545" max="1545" width="17.85546875" customWidth="1"/>
    <col min="1546" max="1546" width="14.5703125" customWidth="1"/>
    <col min="1547" max="1547" width="15.140625" customWidth="1"/>
    <col min="1548" max="1548" width="17.140625" customWidth="1"/>
    <col min="1549" max="1549" width="15.7109375" customWidth="1"/>
    <col min="1550" max="1550" width="13.5703125" bestFit="1" customWidth="1"/>
    <col min="1795" max="1795" width="8.7109375" customWidth="1"/>
    <col min="1796" max="1796" width="53.42578125" customWidth="1"/>
    <col min="1797" max="1797" width="15.7109375" customWidth="1"/>
    <col min="1798" max="1798" width="15.85546875" customWidth="1"/>
    <col min="1799" max="1799" width="15.5703125" customWidth="1"/>
    <col min="1800" max="1800" width="17" customWidth="1"/>
    <col min="1801" max="1801" width="17.85546875" customWidth="1"/>
    <col min="1802" max="1802" width="14.5703125" customWidth="1"/>
    <col min="1803" max="1803" width="15.140625" customWidth="1"/>
    <col min="1804" max="1804" width="17.140625" customWidth="1"/>
    <col min="1805" max="1805" width="15.7109375" customWidth="1"/>
    <col min="1806" max="1806" width="13.5703125" bestFit="1" customWidth="1"/>
    <col min="2051" max="2051" width="8.7109375" customWidth="1"/>
    <col min="2052" max="2052" width="53.42578125" customWidth="1"/>
    <col min="2053" max="2053" width="15.7109375" customWidth="1"/>
    <col min="2054" max="2054" width="15.85546875" customWidth="1"/>
    <col min="2055" max="2055" width="15.5703125" customWidth="1"/>
    <col min="2056" max="2056" width="17" customWidth="1"/>
    <col min="2057" max="2057" width="17.85546875" customWidth="1"/>
    <col min="2058" max="2058" width="14.5703125" customWidth="1"/>
    <col min="2059" max="2059" width="15.140625" customWidth="1"/>
    <col min="2060" max="2060" width="17.140625" customWidth="1"/>
    <col min="2061" max="2061" width="15.7109375" customWidth="1"/>
    <col min="2062" max="2062" width="13.5703125" bestFit="1" customWidth="1"/>
    <col min="2307" max="2307" width="8.7109375" customWidth="1"/>
    <col min="2308" max="2308" width="53.42578125" customWidth="1"/>
    <col min="2309" max="2309" width="15.7109375" customWidth="1"/>
    <col min="2310" max="2310" width="15.85546875" customWidth="1"/>
    <col min="2311" max="2311" width="15.5703125" customWidth="1"/>
    <col min="2312" max="2312" width="17" customWidth="1"/>
    <col min="2313" max="2313" width="17.85546875" customWidth="1"/>
    <col min="2314" max="2314" width="14.5703125" customWidth="1"/>
    <col min="2315" max="2315" width="15.140625" customWidth="1"/>
    <col min="2316" max="2316" width="17.140625" customWidth="1"/>
    <col min="2317" max="2317" width="15.7109375" customWidth="1"/>
    <col min="2318" max="2318" width="13.5703125" bestFit="1" customWidth="1"/>
    <col min="2563" max="2563" width="8.7109375" customWidth="1"/>
    <col min="2564" max="2564" width="53.42578125" customWidth="1"/>
    <col min="2565" max="2565" width="15.7109375" customWidth="1"/>
    <col min="2566" max="2566" width="15.85546875" customWidth="1"/>
    <col min="2567" max="2567" width="15.5703125" customWidth="1"/>
    <col min="2568" max="2568" width="17" customWidth="1"/>
    <col min="2569" max="2569" width="17.85546875" customWidth="1"/>
    <col min="2570" max="2570" width="14.5703125" customWidth="1"/>
    <col min="2571" max="2571" width="15.140625" customWidth="1"/>
    <col min="2572" max="2572" width="17.140625" customWidth="1"/>
    <col min="2573" max="2573" width="15.7109375" customWidth="1"/>
    <col min="2574" max="2574" width="13.5703125" bestFit="1" customWidth="1"/>
    <col min="2819" max="2819" width="8.7109375" customWidth="1"/>
    <col min="2820" max="2820" width="53.42578125" customWidth="1"/>
    <col min="2821" max="2821" width="15.7109375" customWidth="1"/>
    <col min="2822" max="2822" width="15.85546875" customWidth="1"/>
    <col min="2823" max="2823" width="15.5703125" customWidth="1"/>
    <col min="2824" max="2824" width="17" customWidth="1"/>
    <col min="2825" max="2825" width="17.85546875" customWidth="1"/>
    <col min="2826" max="2826" width="14.5703125" customWidth="1"/>
    <col min="2827" max="2827" width="15.140625" customWidth="1"/>
    <col min="2828" max="2828" width="17.140625" customWidth="1"/>
    <col min="2829" max="2829" width="15.7109375" customWidth="1"/>
    <col min="2830" max="2830" width="13.5703125" bestFit="1" customWidth="1"/>
    <col min="3075" max="3075" width="8.7109375" customWidth="1"/>
    <col min="3076" max="3076" width="53.42578125" customWidth="1"/>
    <col min="3077" max="3077" width="15.7109375" customWidth="1"/>
    <col min="3078" max="3078" width="15.85546875" customWidth="1"/>
    <col min="3079" max="3079" width="15.5703125" customWidth="1"/>
    <col min="3080" max="3080" width="17" customWidth="1"/>
    <col min="3081" max="3081" width="17.85546875" customWidth="1"/>
    <col min="3082" max="3082" width="14.5703125" customWidth="1"/>
    <col min="3083" max="3083" width="15.140625" customWidth="1"/>
    <col min="3084" max="3084" width="17.140625" customWidth="1"/>
    <col min="3085" max="3085" width="15.7109375" customWidth="1"/>
    <col min="3086" max="3086" width="13.5703125" bestFit="1" customWidth="1"/>
    <col min="3331" max="3331" width="8.7109375" customWidth="1"/>
    <col min="3332" max="3332" width="53.42578125" customWidth="1"/>
    <col min="3333" max="3333" width="15.7109375" customWidth="1"/>
    <col min="3334" max="3334" width="15.85546875" customWidth="1"/>
    <col min="3335" max="3335" width="15.5703125" customWidth="1"/>
    <col min="3336" max="3336" width="17" customWidth="1"/>
    <col min="3337" max="3337" width="17.85546875" customWidth="1"/>
    <col min="3338" max="3338" width="14.5703125" customWidth="1"/>
    <col min="3339" max="3339" width="15.140625" customWidth="1"/>
    <col min="3340" max="3340" width="17.140625" customWidth="1"/>
    <col min="3341" max="3341" width="15.7109375" customWidth="1"/>
    <col min="3342" max="3342" width="13.5703125" bestFit="1" customWidth="1"/>
    <col min="3587" max="3587" width="8.7109375" customWidth="1"/>
    <col min="3588" max="3588" width="53.42578125" customWidth="1"/>
    <col min="3589" max="3589" width="15.7109375" customWidth="1"/>
    <col min="3590" max="3590" width="15.85546875" customWidth="1"/>
    <col min="3591" max="3591" width="15.5703125" customWidth="1"/>
    <col min="3592" max="3592" width="17" customWidth="1"/>
    <col min="3593" max="3593" width="17.85546875" customWidth="1"/>
    <col min="3594" max="3594" width="14.5703125" customWidth="1"/>
    <col min="3595" max="3595" width="15.140625" customWidth="1"/>
    <col min="3596" max="3596" width="17.140625" customWidth="1"/>
    <col min="3597" max="3597" width="15.7109375" customWidth="1"/>
    <col min="3598" max="3598" width="13.5703125" bestFit="1" customWidth="1"/>
    <col min="3843" max="3843" width="8.7109375" customWidth="1"/>
    <col min="3844" max="3844" width="53.42578125" customWidth="1"/>
    <col min="3845" max="3845" width="15.7109375" customWidth="1"/>
    <col min="3846" max="3846" width="15.85546875" customWidth="1"/>
    <col min="3847" max="3847" width="15.5703125" customWidth="1"/>
    <col min="3848" max="3848" width="17" customWidth="1"/>
    <col min="3849" max="3849" width="17.85546875" customWidth="1"/>
    <col min="3850" max="3850" width="14.5703125" customWidth="1"/>
    <col min="3851" max="3851" width="15.140625" customWidth="1"/>
    <col min="3852" max="3852" width="17.140625" customWidth="1"/>
    <col min="3853" max="3853" width="15.7109375" customWidth="1"/>
    <col min="3854" max="3854" width="13.5703125" bestFit="1" customWidth="1"/>
    <col min="4099" max="4099" width="8.7109375" customWidth="1"/>
    <col min="4100" max="4100" width="53.42578125" customWidth="1"/>
    <col min="4101" max="4101" width="15.7109375" customWidth="1"/>
    <col min="4102" max="4102" width="15.85546875" customWidth="1"/>
    <col min="4103" max="4103" width="15.5703125" customWidth="1"/>
    <col min="4104" max="4104" width="17" customWidth="1"/>
    <col min="4105" max="4105" width="17.85546875" customWidth="1"/>
    <col min="4106" max="4106" width="14.5703125" customWidth="1"/>
    <col min="4107" max="4107" width="15.140625" customWidth="1"/>
    <col min="4108" max="4108" width="17.140625" customWidth="1"/>
    <col min="4109" max="4109" width="15.7109375" customWidth="1"/>
    <col min="4110" max="4110" width="13.5703125" bestFit="1" customWidth="1"/>
    <col min="4355" max="4355" width="8.7109375" customWidth="1"/>
    <col min="4356" max="4356" width="53.42578125" customWidth="1"/>
    <col min="4357" max="4357" width="15.7109375" customWidth="1"/>
    <col min="4358" max="4358" width="15.85546875" customWidth="1"/>
    <col min="4359" max="4359" width="15.5703125" customWidth="1"/>
    <col min="4360" max="4360" width="17" customWidth="1"/>
    <col min="4361" max="4361" width="17.85546875" customWidth="1"/>
    <col min="4362" max="4362" width="14.5703125" customWidth="1"/>
    <col min="4363" max="4363" width="15.140625" customWidth="1"/>
    <col min="4364" max="4364" width="17.140625" customWidth="1"/>
    <col min="4365" max="4365" width="15.7109375" customWidth="1"/>
    <col min="4366" max="4366" width="13.5703125" bestFit="1" customWidth="1"/>
    <col min="4611" max="4611" width="8.7109375" customWidth="1"/>
    <col min="4612" max="4612" width="53.42578125" customWidth="1"/>
    <col min="4613" max="4613" width="15.7109375" customWidth="1"/>
    <col min="4614" max="4614" width="15.85546875" customWidth="1"/>
    <col min="4615" max="4615" width="15.5703125" customWidth="1"/>
    <col min="4616" max="4616" width="17" customWidth="1"/>
    <col min="4617" max="4617" width="17.85546875" customWidth="1"/>
    <col min="4618" max="4618" width="14.5703125" customWidth="1"/>
    <col min="4619" max="4619" width="15.140625" customWidth="1"/>
    <col min="4620" max="4620" width="17.140625" customWidth="1"/>
    <col min="4621" max="4621" width="15.7109375" customWidth="1"/>
    <col min="4622" max="4622" width="13.5703125" bestFit="1" customWidth="1"/>
    <col min="4867" max="4867" width="8.7109375" customWidth="1"/>
    <col min="4868" max="4868" width="53.42578125" customWidth="1"/>
    <col min="4869" max="4869" width="15.7109375" customWidth="1"/>
    <col min="4870" max="4870" width="15.85546875" customWidth="1"/>
    <col min="4871" max="4871" width="15.5703125" customWidth="1"/>
    <col min="4872" max="4872" width="17" customWidth="1"/>
    <col min="4873" max="4873" width="17.85546875" customWidth="1"/>
    <col min="4874" max="4874" width="14.5703125" customWidth="1"/>
    <col min="4875" max="4875" width="15.140625" customWidth="1"/>
    <col min="4876" max="4876" width="17.140625" customWidth="1"/>
    <col min="4877" max="4877" width="15.7109375" customWidth="1"/>
    <col min="4878" max="4878" width="13.5703125" bestFit="1" customWidth="1"/>
    <col min="5123" max="5123" width="8.7109375" customWidth="1"/>
    <col min="5124" max="5124" width="53.42578125" customWidth="1"/>
    <col min="5125" max="5125" width="15.7109375" customWidth="1"/>
    <col min="5126" max="5126" width="15.85546875" customWidth="1"/>
    <col min="5127" max="5127" width="15.5703125" customWidth="1"/>
    <col min="5128" max="5128" width="17" customWidth="1"/>
    <col min="5129" max="5129" width="17.85546875" customWidth="1"/>
    <col min="5130" max="5130" width="14.5703125" customWidth="1"/>
    <col min="5131" max="5131" width="15.140625" customWidth="1"/>
    <col min="5132" max="5132" width="17.140625" customWidth="1"/>
    <col min="5133" max="5133" width="15.7109375" customWidth="1"/>
    <col min="5134" max="5134" width="13.5703125" bestFit="1" customWidth="1"/>
    <col min="5379" max="5379" width="8.7109375" customWidth="1"/>
    <col min="5380" max="5380" width="53.42578125" customWidth="1"/>
    <col min="5381" max="5381" width="15.7109375" customWidth="1"/>
    <col min="5382" max="5382" width="15.85546875" customWidth="1"/>
    <col min="5383" max="5383" width="15.5703125" customWidth="1"/>
    <col min="5384" max="5384" width="17" customWidth="1"/>
    <col min="5385" max="5385" width="17.85546875" customWidth="1"/>
    <col min="5386" max="5386" width="14.5703125" customWidth="1"/>
    <col min="5387" max="5387" width="15.140625" customWidth="1"/>
    <col min="5388" max="5388" width="17.140625" customWidth="1"/>
    <col min="5389" max="5389" width="15.7109375" customWidth="1"/>
    <col min="5390" max="5390" width="13.5703125" bestFit="1" customWidth="1"/>
    <col min="5635" max="5635" width="8.7109375" customWidth="1"/>
    <col min="5636" max="5636" width="53.42578125" customWidth="1"/>
    <col min="5637" max="5637" width="15.7109375" customWidth="1"/>
    <col min="5638" max="5638" width="15.85546875" customWidth="1"/>
    <col min="5639" max="5639" width="15.5703125" customWidth="1"/>
    <col min="5640" max="5640" width="17" customWidth="1"/>
    <col min="5641" max="5641" width="17.85546875" customWidth="1"/>
    <col min="5642" max="5642" width="14.5703125" customWidth="1"/>
    <col min="5643" max="5643" width="15.140625" customWidth="1"/>
    <col min="5644" max="5644" width="17.140625" customWidth="1"/>
    <col min="5645" max="5645" width="15.7109375" customWidth="1"/>
    <col min="5646" max="5646" width="13.5703125" bestFit="1" customWidth="1"/>
    <col min="5891" max="5891" width="8.7109375" customWidth="1"/>
    <col min="5892" max="5892" width="53.42578125" customWidth="1"/>
    <col min="5893" max="5893" width="15.7109375" customWidth="1"/>
    <col min="5894" max="5894" width="15.85546875" customWidth="1"/>
    <col min="5895" max="5895" width="15.5703125" customWidth="1"/>
    <col min="5896" max="5896" width="17" customWidth="1"/>
    <col min="5897" max="5897" width="17.85546875" customWidth="1"/>
    <col min="5898" max="5898" width="14.5703125" customWidth="1"/>
    <col min="5899" max="5899" width="15.140625" customWidth="1"/>
    <col min="5900" max="5900" width="17.140625" customWidth="1"/>
    <col min="5901" max="5901" width="15.7109375" customWidth="1"/>
    <col min="5902" max="5902" width="13.5703125" bestFit="1" customWidth="1"/>
    <col min="6147" max="6147" width="8.7109375" customWidth="1"/>
    <col min="6148" max="6148" width="53.42578125" customWidth="1"/>
    <col min="6149" max="6149" width="15.7109375" customWidth="1"/>
    <col min="6150" max="6150" width="15.85546875" customWidth="1"/>
    <col min="6151" max="6151" width="15.5703125" customWidth="1"/>
    <col min="6152" max="6152" width="17" customWidth="1"/>
    <col min="6153" max="6153" width="17.85546875" customWidth="1"/>
    <col min="6154" max="6154" width="14.5703125" customWidth="1"/>
    <col min="6155" max="6155" width="15.140625" customWidth="1"/>
    <col min="6156" max="6156" width="17.140625" customWidth="1"/>
    <col min="6157" max="6157" width="15.7109375" customWidth="1"/>
    <col min="6158" max="6158" width="13.5703125" bestFit="1" customWidth="1"/>
    <col min="6403" max="6403" width="8.7109375" customWidth="1"/>
    <col min="6404" max="6404" width="53.42578125" customWidth="1"/>
    <col min="6405" max="6405" width="15.7109375" customWidth="1"/>
    <col min="6406" max="6406" width="15.85546875" customWidth="1"/>
    <col min="6407" max="6407" width="15.5703125" customWidth="1"/>
    <col min="6408" max="6408" width="17" customWidth="1"/>
    <col min="6409" max="6409" width="17.85546875" customWidth="1"/>
    <col min="6410" max="6410" width="14.5703125" customWidth="1"/>
    <col min="6411" max="6411" width="15.140625" customWidth="1"/>
    <col min="6412" max="6412" width="17.140625" customWidth="1"/>
    <col min="6413" max="6413" width="15.7109375" customWidth="1"/>
    <col min="6414" max="6414" width="13.5703125" bestFit="1" customWidth="1"/>
    <col min="6659" max="6659" width="8.7109375" customWidth="1"/>
    <col min="6660" max="6660" width="53.42578125" customWidth="1"/>
    <col min="6661" max="6661" width="15.7109375" customWidth="1"/>
    <col min="6662" max="6662" width="15.85546875" customWidth="1"/>
    <col min="6663" max="6663" width="15.5703125" customWidth="1"/>
    <col min="6664" max="6664" width="17" customWidth="1"/>
    <col min="6665" max="6665" width="17.85546875" customWidth="1"/>
    <col min="6666" max="6666" width="14.5703125" customWidth="1"/>
    <col min="6667" max="6667" width="15.140625" customWidth="1"/>
    <col min="6668" max="6668" width="17.140625" customWidth="1"/>
    <col min="6669" max="6669" width="15.7109375" customWidth="1"/>
    <col min="6670" max="6670" width="13.5703125" bestFit="1" customWidth="1"/>
    <col min="6915" max="6915" width="8.7109375" customWidth="1"/>
    <col min="6916" max="6916" width="53.42578125" customWidth="1"/>
    <col min="6917" max="6917" width="15.7109375" customWidth="1"/>
    <col min="6918" max="6918" width="15.85546875" customWidth="1"/>
    <col min="6919" max="6919" width="15.5703125" customWidth="1"/>
    <col min="6920" max="6920" width="17" customWidth="1"/>
    <col min="6921" max="6921" width="17.85546875" customWidth="1"/>
    <col min="6922" max="6922" width="14.5703125" customWidth="1"/>
    <col min="6923" max="6923" width="15.140625" customWidth="1"/>
    <col min="6924" max="6924" width="17.140625" customWidth="1"/>
    <col min="6925" max="6925" width="15.7109375" customWidth="1"/>
    <col min="6926" max="6926" width="13.5703125" bestFit="1" customWidth="1"/>
    <col min="7171" max="7171" width="8.7109375" customWidth="1"/>
    <col min="7172" max="7172" width="53.42578125" customWidth="1"/>
    <col min="7173" max="7173" width="15.7109375" customWidth="1"/>
    <col min="7174" max="7174" width="15.85546875" customWidth="1"/>
    <col min="7175" max="7175" width="15.5703125" customWidth="1"/>
    <col min="7176" max="7176" width="17" customWidth="1"/>
    <col min="7177" max="7177" width="17.85546875" customWidth="1"/>
    <col min="7178" max="7178" width="14.5703125" customWidth="1"/>
    <col min="7179" max="7179" width="15.140625" customWidth="1"/>
    <col min="7180" max="7180" width="17.140625" customWidth="1"/>
    <col min="7181" max="7181" width="15.7109375" customWidth="1"/>
    <col min="7182" max="7182" width="13.5703125" bestFit="1" customWidth="1"/>
    <col min="7427" max="7427" width="8.7109375" customWidth="1"/>
    <col min="7428" max="7428" width="53.42578125" customWidth="1"/>
    <col min="7429" max="7429" width="15.7109375" customWidth="1"/>
    <col min="7430" max="7430" width="15.85546875" customWidth="1"/>
    <col min="7431" max="7431" width="15.5703125" customWidth="1"/>
    <col min="7432" max="7432" width="17" customWidth="1"/>
    <col min="7433" max="7433" width="17.85546875" customWidth="1"/>
    <col min="7434" max="7434" width="14.5703125" customWidth="1"/>
    <col min="7435" max="7435" width="15.140625" customWidth="1"/>
    <col min="7436" max="7436" width="17.140625" customWidth="1"/>
    <col min="7437" max="7437" width="15.7109375" customWidth="1"/>
    <col min="7438" max="7438" width="13.5703125" bestFit="1" customWidth="1"/>
    <col min="7683" max="7683" width="8.7109375" customWidth="1"/>
    <col min="7684" max="7684" width="53.42578125" customWidth="1"/>
    <col min="7685" max="7685" width="15.7109375" customWidth="1"/>
    <col min="7686" max="7686" width="15.85546875" customWidth="1"/>
    <col min="7687" max="7687" width="15.5703125" customWidth="1"/>
    <col min="7688" max="7688" width="17" customWidth="1"/>
    <col min="7689" max="7689" width="17.85546875" customWidth="1"/>
    <col min="7690" max="7690" width="14.5703125" customWidth="1"/>
    <col min="7691" max="7691" width="15.140625" customWidth="1"/>
    <col min="7692" max="7692" width="17.140625" customWidth="1"/>
    <col min="7693" max="7693" width="15.7109375" customWidth="1"/>
    <col min="7694" max="7694" width="13.5703125" bestFit="1" customWidth="1"/>
    <col min="7939" max="7939" width="8.7109375" customWidth="1"/>
    <col min="7940" max="7940" width="53.42578125" customWidth="1"/>
    <col min="7941" max="7941" width="15.7109375" customWidth="1"/>
    <col min="7942" max="7942" width="15.85546875" customWidth="1"/>
    <col min="7943" max="7943" width="15.5703125" customWidth="1"/>
    <col min="7944" max="7944" width="17" customWidth="1"/>
    <col min="7945" max="7945" width="17.85546875" customWidth="1"/>
    <col min="7946" max="7946" width="14.5703125" customWidth="1"/>
    <col min="7947" max="7947" width="15.140625" customWidth="1"/>
    <col min="7948" max="7948" width="17.140625" customWidth="1"/>
    <col min="7949" max="7949" width="15.7109375" customWidth="1"/>
    <col min="7950" max="7950" width="13.5703125" bestFit="1" customWidth="1"/>
    <col min="8195" max="8195" width="8.7109375" customWidth="1"/>
    <col min="8196" max="8196" width="53.42578125" customWidth="1"/>
    <col min="8197" max="8197" width="15.7109375" customWidth="1"/>
    <col min="8198" max="8198" width="15.85546875" customWidth="1"/>
    <col min="8199" max="8199" width="15.5703125" customWidth="1"/>
    <col min="8200" max="8200" width="17" customWidth="1"/>
    <col min="8201" max="8201" width="17.85546875" customWidth="1"/>
    <col min="8202" max="8202" width="14.5703125" customWidth="1"/>
    <col min="8203" max="8203" width="15.140625" customWidth="1"/>
    <col min="8204" max="8204" width="17.140625" customWidth="1"/>
    <col min="8205" max="8205" width="15.7109375" customWidth="1"/>
    <col min="8206" max="8206" width="13.5703125" bestFit="1" customWidth="1"/>
    <col min="8451" max="8451" width="8.7109375" customWidth="1"/>
    <col min="8452" max="8452" width="53.42578125" customWidth="1"/>
    <col min="8453" max="8453" width="15.7109375" customWidth="1"/>
    <col min="8454" max="8454" width="15.85546875" customWidth="1"/>
    <col min="8455" max="8455" width="15.5703125" customWidth="1"/>
    <col min="8456" max="8456" width="17" customWidth="1"/>
    <col min="8457" max="8457" width="17.85546875" customWidth="1"/>
    <col min="8458" max="8458" width="14.5703125" customWidth="1"/>
    <col min="8459" max="8459" width="15.140625" customWidth="1"/>
    <col min="8460" max="8460" width="17.140625" customWidth="1"/>
    <col min="8461" max="8461" width="15.7109375" customWidth="1"/>
    <col min="8462" max="8462" width="13.5703125" bestFit="1" customWidth="1"/>
    <col min="8707" max="8707" width="8.7109375" customWidth="1"/>
    <col min="8708" max="8708" width="53.42578125" customWidth="1"/>
    <col min="8709" max="8709" width="15.7109375" customWidth="1"/>
    <col min="8710" max="8710" width="15.85546875" customWidth="1"/>
    <col min="8711" max="8711" width="15.5703125" customWidth="1"/>
    <col min="8712" max="8712" width="17" customWidth="1"/>
    <col min="8713" max="8713" width="17.85546875" customWidth="1"/>
    <col min="8714" max="8714" width="14.5703125" customWidth="1"/>
    <col min="8715" max="8715" width="15.140625" customWidth="1"/>
    <col min="8716" max="8716" width="17.140625" customWidth="1"/>
    <col min="8717" max="8717" width="15.7109375" customWidth="1"/>
    <col min="8718" max="8718" width="13.5703125" bestFit="1" customWidth="1"/>
    <col min="8963" max="8963" width="8.7109375" customWidth="1"/>
    <col min="8964" max="8964" width="53.42578125" customWidth="1"/>
    <col min="8965" max="8965" width="15.7109375" customWidth="1"/>
    <col min="8966" max="8966" width="15.85546875" customWidth="1"/>
    <col min="8967" max="8967" width="15.5703125" customWidth="1"/>
    <col min="8968" max="8968" width="17" customWidth="1"/>
    <col min="8969" max="8969" width="17.85546875" customWidth="1"/>
    <col min="8970" max="8970" width="14.5703125" customWidth="1"/>
    <col min="8971" max="8971" width="15.140625" customWidth="1"/>
    <col min="8972" max="8972" width="17.140625" customWidth="1"/>
    <col min="8973" max="8973" width="15.7109375" customWidth="1"/>
    <col min="8974" max="8974" width="13.5703125" bestFit="1" customWidth="1"/>
    <col min="9219" max="9219" width="8.7109375" customWidth="1"/>
    <col min="9220" max="9220" width="53.42578125" customWidth="1"/>
    <col min="9221" max="9221" width="15.7109375" customWidth="1"/>
    <col min="9222" max="9222" width="15.85546875" customWidth="1"/>
    <col min="9223" max="9223" width="15.5703125" customWidth="1"/>
    <col min="9224" max="9224" width="17" customWidth="1"/>
    <col min="9225" max="9225" width="17.85546875" customWidth="1"/>
    <col min="9226" max="9226" width="14.5703125" customWidth="1"/>
    <col min="9227" max="9227" width="15.140625" customWidth="1"/>
    <col min="9228" max="9228" width="17.140625" customWidth="1"/>
    <col min="9229" max="9229" width="15.7109375" customWidth="1"/>
    <col min="9230" max="9230" width="13.5703125" bestFit="1" customWidth="1"/>
    <col min="9475" max="9475" width="8.7109375" customWidth="1"/>
    <col min="9476" max="9476" width="53.42578125" customWidth="1"/>
    <col min="9477" max="9477" width="15.7109375" customWidth="1"/>
    <col min="9478" max="9478" width="15.85546875" customWidth="1"/>
    <col min="9479" max="9479" width="15.5703125" customWidth="1"/>
    <col min="9480" max="9480" width="17" customWidth="1"/>
    <col min="9481" max="9481" width="17.85546875" customWidth="1"/>
    <col min="9482" max="9482" width="14.5703125" customWidth="1"/>
    <col min="9483" max="9483" width="15.140625" customWidth="1"/>
    <col min="9484" max="9484" width="17.140625" customWidth="1"/>
    <col min="9485" max="9485" width="15.7109375" customWidth="1"/>
    <col min="9486" max="9486" width="13.5703125" bestFit="1" customWidth="1"/>
    <col min="9731" max="9731" width="8.7109375" customWidth="1"/>
    <col min="9732" max="9732" width="53.42578125" customWidth="1"/>
    <col min="9733" max="9733" width="15.7109375" customWidth="1"/>
    <col min="9734" max="9734" width="15.85546875" customWidth="1"/>
    <col min="9735" max="9735" width="15.5703125" customWidth="1"/>
    <col min="9736" max="9736" width="17" customWidth="1"/>
    <col min="9737" max="9737" width="17.85546875" customWidth="1"/>
    <col min="9738" max="9738" width="14.5703125" customWidth="1"/>
    <col min="9739" max="9739" width="15.140625" customWidth="1"/>
    <col min="9740" max="9740" width="17.140625" customWidth="1"/>
    <col min="9741" max="9741" width="15.7109375" customWidth="1"/>
    <col min="9742" max="9742" width="13.5703125" bestFit="1" customWidth="1"/>
    <col min="9987" max="9987" width="8.7109375" customWidth="1"/>
    <col min="9988" max="9988" width="53.42578125" customWidth="1"/>
    <col min="9989" max="9989" width="15.7109375" customWidth="1"/>
    <col min="9990" max="9990" width="15.85546875" customWidth="1"/>
    <col min="9991" max="9991" width="15.5703125" customWidth="1"/>
    <col min="9992" max="9992" width="17" customWidth="1"/>
    <col min="9993" max="9993" width="17.85546875" customWidth="1"/>
    <col min="9994" max="9994" width="14.5703125" customWidth="1"/>
    <col min="9995" max="9995" width="15.140625" customWidth="1"/>
    <col min="9996" max="9996" width="17.140625" customWidth="1"/>
    <col min="9997" max="9997" width="15.7109375" customWidth="1"/>
    <col min="9998" max="9998" width="13.5703125" bestFit="1" customWidth="1"/>
    <col min="10243" max="10243" width="8.7109375" customWidth="1"/>
    <col min="10244" max="10244" width="53.42578125" customWidth="1"/>
    <col min="10245" max="10245" width="15.7109375" customWidth="1"/>
    <col min="10246" max="10246" width="15.85546875" customWidth="1"/>
    <col min="10247" max="10247" width="15.5703125" customWidth="1"/>
    <col min="10248" max="10248" width="17" customWidth="1"/>
    <col min="10249" max="10249" width="17.85546875" customWidth="1"/>
    <col min="10250" max="10250" width="14.5703125" customWidth="1"/>
    <col min="10251" max="10251" width="15.140625" customWidth="1"/>
    <col min="10252" max="10252" width="17.140625" customWidth="1"/>
    <col min="10253" max="10253" width="15.7109375" customWidth="1"/>
    <col min="10254" max="10254" width="13.5703125" bestFit="1" customWidth="1"/>
    <col min="10499" max="10499" width="8.7109375" customWidth="1"/>
    <col min="10500" max="10500" width="53.42578125" customWidth="1"/>
    <col min="10501" max="10501" width="15.7109375" customWidth="1"/>
    <col min="10502" max="10502" width="15.85546875" customWidth="1"/>
    <col min="10503" max="10503" width="15.5703125" customWidth="1"/>
    <col min="10504" max="10504" width="17" customWidth="1"/>
    <col min="10505" max="10505" width="17.85546875" customWidth="1"/>
    <col min="10506" max="10506" width="14.5703125" customWidth="1"/>
    <col min="10507" max="10507" width="15.140625" customWidth="1"/>
    <col min="10508" max="10508" width="17.140625" customWidth="1"/>
    <col min="10509" max="10509" width="15.7109375" customWidth="1"/>
    <col min="10510" max="10510" width="13.5703125" bestFit="1" customWidth="1"/>
    <col min="10755" max="10755" width="8.7109375" customWidth="1"/>
    <col min="10756" max="10756" width="53.42578125" customWidth="1"/>
    <col min="10757" max="10757" width="15.7109375" customWidth="1"/>
    <col min="10758" max="10758" width="15.85546875" customWidth="1"/>
    <col min="10759" max="10759" width="15.5703125" customWidth="1"/>
    <col min="10760" max="10760" width="17" customWidth="1"/>
    <col min="10761" max="10761" width="17.85546875" customWidth="1"/>
    <col min="10762" max="10762" width="14.5703125" customWidth="1"/>
    <col min="10763" max="10763" width="15.140625" customWidth="1"/>
    <col min="10764" max="10764" width="17.140625" customWidth="1"/>
    <col min="10765" max="10765" width="15.7109375" customWidth="1"/>
    <col min="10766" max="10766" width="13.5703125" bestFit="1" customWidth="1"/>
    <col min="11011" max="11011" width="8.7109375" customWidth="1"/>
    <col min="11012" max="11012" width="53.42578125" customWidth="1"/>
    <col min="11013" max="11013" width="15.7109375" customWidth="1"/>
    <col min="11014" max="11014" width="15.85546875" customWidth="1"/>
    <col min="11015" max="11015" width="15.5703125" customWidth="1"/>
    <col min="11016" max="11016" width="17" customWidth="1"/>
    <col min="11017" max="11017" width="17.85546875" customWidth="1"/>
    <col min="11018" max="11018" width="14.5703125" customWidth="1"/>
    <col min="11019" max="11019" width="15.140625" customWidth="1"/>
    <col min="11020" max="11020" width="17.140625" customWidth="1"/>
    <col min="11021" max="11021" width="15.7109375" customWidth="1"/>
    <col min="11022" max="11022" width="13.5703125" bestFit="1" customWidth="1"/>
    <col min="11267" max="11267" width="8.7109375" customWidth="1"/>
    <col min="11268" max="11268" width="53.42578125" customWidth="1"/>
    <col min="11269" max="11269" width="15.7109375" customWidth="1"/>
    <col min="11270" max="11270" width="15.85546875" customWidth="1"/>
    <col min="11271" max="11271" width="15.5703125" customWidth="1"/>
    <col min="11272" max="11272" width="17" customWidth="1"/>
    <col min="11273" max="11273" width="17.85546875" customWidth="1"/>
    <col min="11274" max="11274" width="14.5703125" customWidth="1"/>
    <col min="11275" max="11275" width="15.140625" customWidth="1"/>
    <col min="11276" max="11276" width="17.140625" customWidth="1"/>
    <col min="11277" max="11277" width="15.7109375" customWidth="1"/>
    <col min="11278" max="11278" width="13.5703125" bestFit="1" customWidth="1"/>
    <col min="11523" max="11523" width="8.7109375" customWidth="1"/>
    <col min="11524" max="11524" width="53.42578125" customWidth="1"/>
    <col min="11525" max="11525" width="15.7109375" customWidth="1"/>
    <col min="11526" max="11526" width="15.85546875" customWidth="1"/>
    <col min="11527" max="11527" width="15.5703125" customWidth="1"/>
    <col min="11528" max="11528" width="17" customWidth="1"/>
    <col min="11529" max="11529" width="17.85546875" customWidth="1"/>
    <col min="11530" max="11530" width="14.5703125" customWidth="1"/>
    <col min="11531" max="11531" width="15.140625" customWidth="1"/>
    <col min="11532" max="11532" width="17.140625" customWidth="1"/>
    <col min="11533" max="11533" width="15.7109375" customWidth="1"/>
    <col min="11534" max="11534" width="13.5703125" bestFit="1" customWidth="1"/>
    <col min="11779" max="11779" width="8.7109375" customWidth="1"/>
    <col min="11780" max="11780" width="53.42578125" customWidth="1"/>
    <col min="11781" max="11781" width="15.7109375" customWidth="1"/>
    <col min="11782" max="11782" width="15.85546875" customWidth="1"/>
    <col min="11783" max="11783" width="15.5703125" customWidth="1"/>
    <col min="11784" max="11784" width="17" customWidth="1"/>
    <col min="11785" max="11785" width="17.85546875" customWidth="1"/>
    <col min="11786" max="11786" width="14.5703125" customWidth="1"/>
    <col min="11787" max="11787" width="15.140625" customWidth="1"/>
    <col min="11788" max="11788" width="17.140625" customWidth="1"/>
    <col min="11789" max="11789" width="15.7109375" customWidth="1"/>
    <col min="11790" max="11790" width="13.5703125" bestFit="1" customWidth="1"/>
    <col min="12035" max="12035" width="8.7109375" customWidth="1"/>
    <col min="12036" max="12036" width="53.42578125" customWidth="1"/>
    <col min="12037" max="12037" width="15.7109375" customWidth="1"/>
    <col min="12038" max="12038" width="15.85546875" customWidth="1"/>
    <col min="12039" max="12039" width="15.5703125" customWidth="1"/>
    <col min="12040" max="12040" width="17" customWidth="1"/>
    <col min="12041" max="12041" width="17.85546875" customWidth="1"/>
    <col min="12042" max="12042" width="14.5703125" customWidth="1"/>
    <col min="12043" max="12043" width="15.140625" customWidth="1"/>
    <col min="12044" max="12044" width="17.140625" customWidth="1"/>
    <col min="12045" max="12045" width="15.7109375" customWidth="1"/>
    <col min="12046" max="12046" width="13.5703125" bestFit="1" customWidth="1"/>
    <col min="12291" max="12291" width="8.7109375" customWidth="1"/>
    <col min="12292" max="12292" width="53.42578125" customWidth="1"/>
    <col min="12293" max="12293" width="15.7109375" customWidth="1"/>
    <col min="12294" max="12294" width="15.85546875" customWidth="1"/>
    <col min="12295" max="12295" width="15.5703125" customWidth="1"/>
    <col min="12296" max="12296" width="17" customWidth="1"/>
    <col min="12297" max="12297" width="17.85546875" customWidth="1"/>
    <col min="12298" max="12298" width="14.5703125" customWidth="1"/>
    <col min="12299" max="12299" width="15.140625" customWidth="1"/>
    <col min="12300" max="12300" width="17.140625" customWidth="1"/>
    <col min="12301" max="12301" width="15.7109375" customWidth="1"/>
    <col min="12302" max="12302" width="13.5703125" bestFit="1" customWidth="1"/>
    <col min="12547" max="12547" width="8.7109375" customWidth="1"/>
    <col min="12548" max="12548" width="53.42578125" customWidth="1"/>
    <col min="12549" max="12549" width="15.7109375" customWidth="1"/>
    <col min="12550" max="12550" width="15.85546875" customWidth="1"/>
    <col min="12551" max="12551" width="15.5703125" customWidth="1"/>
    <col min="12552" max="12552" width="17" customWidth="1"/>
    <col min="12553" max="12553" width="17.85546875" customWidth="1"/>
    <col min="12554" max="12554" width="14.5703125" customWidth="1"/>
    <col min="12555" max="12555" width="15.140625" customWidth="1"/>
    <col min="12556" max="12556" width="17.140625" customWidth="1"/>
    <col min="12557" max="12557" width="15.7109375" customWidth="1"/>
    <col min="12558" max="12558" width="13.5703125" bestFit="1" customWidth="1"/>
    <col min="12803" max="12803" width="8.7109375" customWidth="1"/>
    <col min="12804" max="12804" width="53.42578125" customWidth="1"/>
    <col min="12805" max="12805" width="15.7109375" customWidth="1"/>
    <col min="12806" max="12806" width="15.85546875" customWidth="1"/>
    <col min="12807" max="12807" width="15.5703125" customWidth="1"/>
    <col min="12808" max="12808" width="17" customWidth="1"/>
    <col min="12809" max="12809" width="17.85546875" customWidth="1"/>
    <col min="12810" max="12810" width="14.5703125" customWidth="1"/>
    <col min="12811" max="12811" width="15.140625" customWidth="1"/>
    <col min="12812" max="12812" width="17.140625" customWidth="1"/>
    <col min="12813" max="12813" width="15.7109375" customWidth="1"/>
    <col min="12814" max="12814" width="13.5703125" bestFit="1" customWidth="1"/>
    <col min="13059" max="13059" width="8.7109375" customWidth="1"/>
    <col min="13060" max="13060" width="53.42578125" customWidth="1"/>
    <col min="13061" max="13061" width="15.7109375" customWidth="1"/>
    <col min="13062" max="13062" width="15.85546875" customWidth="1"/>
    <col min="13063" max="13063" width="15.5703125" customWidth="1"/>
    <col min="13064" max="13064" width="17" customWidth="1"/>
    <col min="13065" max="13065" width="17.85546875" customWidth="1"/>
    <col min="13066" max="13066" width="14.5703125" customWidth="1"/>
    <col min="13067" max="13067" width="15.140625" customWidth="1"/>
    <col min="13068" max="13068" width="17.140625" customWidth="1"/>
    <col min="13069" max="13069" width="15.7109375" customWidth="1"/>
    <col min="13070" max="13070" width="13.5703125" bestFit="1" customWidth="1"/>
    <col min="13315" max="13315" width="8.7109375" customWidth="1"/>
    <col min="13316" max="13316" width="53.42578125" customWidth="1"/>
    <col min="13317" max="13317" width="15.7109375" customWidth="1"/>
    <col min="13318" max="13318" width="15.85546875" customWidth="1"/>
    <col min="13319" max="13319" width="15.5703125" customWidth="1"/>
    <col min="13320" max="13320" width="17" customWidth="1"/>
    <col min="13321" max="13321" width="17.85546875" customWidth="1"/>
    <col min="13322" max="13322" width="14.5703125" customWidth="1"/>
    <col min="13323" max="13323" width="15.140625" customWidth="1"/>
    <col min="13324" max="13324" width="17.140625" customWidth="1"/>
    <col min="13325" max="13325" width="15.7109375" customWidth="1"/>
    <col min="13326" max="13326" width="13.5703125" bestFit="1" customWidth="1"/>
    <col min="13571" max="13571" width="8.7109375" customWidth="1"/>
    <col min="13572" max="13572" width="53.42578125" customWidth="1"/>
    <col min="13573" max="13573" width="15.7109375" customWidth="1"/>
    <col min="13574" max="13574" width="15.85546875" customWidth="1"/>
    <col min="13575" max="13575" width="15.5703125" customWidth="1"/>
    <col min="13576" max="13576" width="17" customWidth="1"/>
    <col min="13577" max="13577" width="17.85546875" customWidth="1"/>
    <col min="13578" max="13578" width="14.5703125" customWidth="1"/>
    <col min="13579" max="13579" width="15.140625" customWidth="1"/>
    <col min="13580" max="13580" width="17.140625" customWidth="1"/>
    <col min="13581" max="13581" width="15.7109375" customWidth="1"/>
    <col min="13582" max="13582" width="13.5703125" bestFit="1" customWidth="1"/>
    <col min="13827" max="13827" width="8.7109375" customWidth="1"/>
    <col min="13828" max="13828" width="53.42578125" customWidth="1"/>
    <col min="13829" max="13829" width="15.7109375" customWidth="1"/>
    <col min="13830" max="13830" width="15.85546875" customWidth="1"/>
    <col min="13831" max="13831" width="15.5703125" customWidth="1"/>
    <col min="13832" max="13832" width="17" customWidth="1"/>
    <col min="13833" max="13833" width="17.85546875" customWidth="1"/>
    <col min="13834" max="13834" width="14.5703125" customWidth="1"/>
    <col min="13835" max="13835" width="15.140625" customWidth="1"/>
    <col min="13836" max="13836" width="17.140625" customWidth="1"/>
    <col min="13837" max="13837" width="15.7109375" customWidth="1"/>
    <col min="13838" max="13838" width="13.5703125" bestFit="1" customWidth="1"/>
    <col min="14083" max="14083" width="8.7109375" customWidth="1"/>
    <col min="14084" max="14084" width="53.42578125" customWidth="1"/>
    <col min="14085" max="14085" width="15.7109375" customWidth="1"/>
    <col min="14086" max="14086" width="15.85546875" customWidth="1"/>
    <col min="14087" max="14087" width="15.5703125" customWidth="1"/>
    <col min="14088" max="14088" width="17" customWidth="1"/>
    <col min="14089" max="14089" width="17.85546875" customWidth="1"/>
    <col min="14090" max="14090" width="14.5703125" customWidth="1"/>
    <col min="14091" max="14091" width="15.140625" customWidth="1"/>
    <col min="14092" max="14092" width="17.140625" customWidth="1"/>
    <col min="14093" max="14093" width="15.7109375" customWidth="1"/>
    <col min="14094" max="14094" width="13.5703125" bestFit="1" customWidth="1"/>
    <col min="14339" max="14339" width="8.7109375" customWidth="1"/>
    <col min="14340" max="14340" width="53.42578125" customWidth="1"/>
    <col min="14341" max="14341" width="15.7109375" customWidth="1"/>
    <col min="14342" max="14342" width="15.85546875" customWidth="1"/>
    <col min="14343" max="14343" width="15.5703125" customWidth="1"/>
    <col min="14344" max="14344" width="17" customWidth="1"/>
    <col min="14345" max="14345" width="17.85546875" customWidth="1"/>
    <col min="14346" max="14346" width="14.5703125" customWidth="1"/>
    <col min="14347" max="14347" width="15.140625" customWidth="1"/>
    <col min="14348" max="14348" width="17.140625" customWidth="1"/>
    <col min="14349" max="14349" width="15.7109375" customWidth="1"/>
    <col min="14350" max="14350" width="13.5703125" bestFit="1" customWidth="1"/>
    <col min="14595" max="14595" width="8.7109375" customWidth="1"/>
    <col min="14596" max="14596" width="53.42578125" customWidth="1"/>
    <col min="14597" max="14597" width="15.7109375" customWidth="1"/>
    <col min="14598" max="14598" width="15.85546875" customWidth="1"/>
    <col min="14599" max="14599" width="15.5703125" customWidth="1"/>
    <col min="14600" max="14600" width="17" customWidth="1"/>
    <col min="14601" max="14601" width="17.85546875" customWidth="1"/>
    <col min="14602" max="14602" width="14.5703125" customWidth="1"/>
    <col min="14603" max="14603" width="15.140625" customWidth="1"/>
    <col min="14604" max="14604" width="17.140625" customWidth="1"/>
    <col min="14605" max="14605" width="15.7109375" customWidth="1"/>
    <col min="14606" max="14606" width="13.5703125" bestFit="1" customWidth="1"/>
    <col min="14851" max="14851" width="8.7109375" customWidth="1"/>
    <col min="14852" max="14852" width="53.42578125" customWidth="1"/>
    <col min="14853" max="14853" width="15.7109375" customWidth="1"/>
    <col min="14854" max="14854" width="15.85546875" customWidth="1"/>
    <col min="14855" max="14855" width="15.5703125" customWidth="1"/>
    <col min="14856" max="14856" width="17" customWidth="1"/>
    <col min="14857" max="14857" width="17.85546875" customWidth="1"/>
    <col min="14858" max="14858" width="14.5703125" customWidth="1"/>
    <col min="14859" max="14859" width="15.140625" customWidth="1"/>
    <col min="14860" max="14860" width="17.140625" customWidth="1"/>
    <col min="14861" max="14861" width="15.7109375" customWidth="1"/>
    <col min="14862" max="14862" width="13.5703125" bestFit="1" customWidth="1"/>
    <col min="15107" max="15107" width="8.7109375" customWidth="1"/>
    <col min="15108" max="15108" width="53.42578125" customWidth="1"/>
    <col min="15109" max="15109" width="15.7109375" customWidth="1"/>
    <col min="15110" max="15110" width="15.85546875" customWidth="1"/>
    <col min="15111" max="15111" width="15.5703125" customWidth="1"/>
    <col min="15112" max="15112" width="17" customWidth="1"/>
    <col min="15113" max="15113" width="17.85546875" customWidth="1"/>
    <col min="15114" max="15114" width="14.5703125" customWidth="1"/>
    <col min="15115" max="15115" width="15.140625" customWidth="1"/>
    <col min="15116" max="15116" width="17.140625" customWidth="1"/>
    <col min="15117" max="15117" width="15.7109375" customWidth="1"/>
    <col min="15118" max="15118" width="13.5703125" bestFit="1" customWidth="1"/>
    <col min="15363" max="15363" width="8.7109375" customWidth="1"/>
    <col min="15364" max="15364" width="53.42578125" customWidth="1"/>
    <col min="15365" max="15365" width="15.7109375" customWidth="1"/>
    <col min="15366" max="15366" width="15.85546875" customWidth="1"/>
    <col min="15367" max="15367" width="15.5703125" customWidth="1"/>
    <col min="15368" max="15368" width="17" customWidth="1"/>
    <col min="15369" max="15369" width="17.85546875" customWidth="1"/>
    <col min="15370" max="15370" width="14.5703125" customWidth="1"/>
    <col min="15371" max="15371" width="15.140625" customWidth="1"/>
    <col min="15372" max="15372" width="17.140625" customWidth="1"/>
    <col min="15373" max="15373" width="15.7109375" customWidth="1"/>
    <col min="15374" max="15374" width="13.5703125" bestFit="1" customWidth="1"/>
    <col min="15619" max="15619" width="8.7109375" customWidth="1"/>
    <col min="15620" max="15620" width="53.42578125" customWidth="1"/>
    <col min="15621" max="15621" width="15.7109375" customWidth="1"/>
    <col min="15622" max="15622" width="15.85546875" customWidth="1"/>
    <col min="15623" max="15623" width="15.5703125" customWidth="1"/>
    <col min="15624" max="15624" width="17" customWidth="1"/>
    <col min="15625" max="15625" width="17.85546875" customWidth="1"/>
    <col min="15626" max="15626" width="14.5703125" customWidth="1"/>
    <col min="15627" max="15627" width="15.140625" customWidth="1"/>
    <col min="15628" max="15628" width="17.140625" customWidth="1"/>
    <col min="15629" max="15629" width="15.7109375" customWidth="1"/>
    <col min="15630" max="15630" width="13.5703125" bestFit="1" customWidth="1"/>
    <col min="15875" max="15875" width="8.7109375" customWidth="1"/>
    <col min="15876" max="15876" width="53.42578125" customWidth="1"/>
    <col min="15877" max="15877" width="15.7109375" customWidth="1"/>
    <col min="15878" max="15878" width="15.85546875" customWidth="1"/>
    <col min="15879" max="15879" width="15.5703125" customWidth="1"/>
    <col min="15880" max="15880" width="17" customWidth="1"/>
    <col min="15881" max="15881" width="17.85546875" customWidth="1"/>
    <col min="15882" max="15882" width="14.5703125" customWidth="1"/>
    <col min="15883" max="15883" width="15.140625" customWidth="1"/>
    <col min="15884" max="15884" width="17.140625" customWidth="1"/>
    <col min="15885" max="15885" width="15.7109375" customWidth="1"/>
    <col min="15886" max="15886" width="13.5703125" bestFit="1" customWidth="1"/>
    <col min="16131" max="16131" width="8.7109375" customWidth="1"/>
    <col min="16132" max="16132" width="53.42578125" customWidth="1"/>
    <col min="16133" max="16133" width="15.7109375" customWidth="1"/>
    <col min="16134" max="16134" width="15.85546875" customWidth="1"/>
    <col min="16135" max="16135" width="15.5703125" customWidth="1"/>
    <col min="16136" max="16136" width="17" customWidth="1"/>
    <col min="16137" max="16137" width="17.85546875" customWidth="1"/>
    <col min="16138" max="16138" width="14.5703125" customWidth="1"/>
    <col min="16139" max="16139" width="15.140625" customWidth="1"/>
    <col min="16140" max="16140" width="17.140625" customWidth="1"/>
    <col min="16141" max="16141" width="15.7109375" customWidth="1"/>
    <col min="16142" max="16142" width="13.5703125" bestFit="1" customWidth="1"/>
  </cols>
  <sheetData>
    <row r="1" spans="1:13" ht="15.75" x14ac:dyDescent="0.25">
      <c r="G1" s="192"/>
      <c r="H1" s="192"/>
      <c r="I1" s="192"/>
      <c r="J1" s="192"/>
      <c r="K1" s="309" t="s">
        <v>732</v>
      </c>
      <c r="L1" s="309"/>
      <c r="M1" s="309"/>
    </row>
    <row r="2" spans="1:13" ht="15.75" x14ac:dyDescent="0.25">
      <c r="G2" s="192"/>
      <c r="H2" s="192"/>
      <c r="I2" s="192"/>
      <c r="J2" s="192"/>
      <c r="K2" s="309" t="s">
        <v>733</v>
      </c>
      <c r="L2" s="309"/>
      <c r="M2" s="309"/>
    </row>
    <row r="3" spans="1:13" ht="15.75" x14ac:dyDescent="0.25">
      <c r="K3" s="309" t="s">
        <v>734</v>
      </c>
      <c r="L3" s="309"/>
      <c r="M3" s="309"/>
    </row>
    <row r="4" spans="1:13" ht="15.75" x14ac:dyDescent="0.25">
      <c r="K4" s="309" t="s">
        <v>773</v>
      </c>
      <c r="L4" s="309"/>
      <c r="M4" s="309"/>
    </row>
    <row r="5" spans="1:13" ht="15.75" x14ac:dyDescent="0.25">
      <c r="K5" s="309" t="s">
        <v>920</v>
      </c>
      <c r="L5" s="309"/>
      <c r="M5" s="309"/>
    </row>
    <row r="7" spans="1:13" ht="16.5" x14ac:dyDescent="0.25">
      <c r="A7" s="317" t="s">
        <v>750</v>
      </c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</row>
    <row r="8" spans="1:13" ht="16.5" x14ac:dyDescent="0.25">
      <c r="A8" s="249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</row>
    <row r="9" spans="1:13" ht="16.5" x14ac:dyDescent="0.25">
      <c r="A9" s="276"/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</row>
    <row r="10" spans="1:13" ht="16.5" x14ac:dyDescent="0.25">
      <c r="A10" s="276"/>
      <c r="B10" s="279" t="s">
        <v>872</v>
      </c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</row>
    <row r="11" spans="1:13" ht="16.5" x14ac:dyDescent="0.25">
      <c r="A11" s="276"/>
      <c r="B11" s="276"/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M11" s="276"/>
    </row>
    <row r="12" spans="1:13" ht="16.5" x14ac:dyDescent="0.25">
      <c r="A12" s="317" t="s">
        <v>771</v>
      </c>
      <c r="B12" s="317"/>
      <c r="C12" s="317"/>
      <c r="D12" s="317"/>
      <c r="E12" s="317"/>
      <c r="F12" s="317"/>
      <c r="G12" s="317"/>
      <c r="H12" s="317"/>
      <c r="I12" s="317"/>
      <c r="J12" s="317"/>
      <c r="K12" s="317"/>
      <c r="L12" s="317"/>
      <c r="M12" s="317"/>
    </row>
    <row r="13" spans="1:13" ht="16.5" x14ac:dyDescent="0.25">
      <c r="A13" s="249"/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</row>
    <row r="14" spans="1:13" s="25" customFormat="1" ht="15" customHeight="1" x14ac:dyDescent="0.25">
      <c r="A14" s="316" t="s">
        <v>728</v>
      </c>
      <c r="B14" s="316" t="s">
        <v>763</v>
      </c>
      <c r="C14" s="316" t="s">
        <v>736</v>
      </c>
      <c r="D14" s="316"/>
      <c r="E14" s="316"/>
      <c r="F14" s="316"/>
      <c r="G14" s="316"/>
      <c r="H14" s="316"/>
      <c r="I14" s="316"/>
      <c r="J14" s="316"/>
      <c r="K14" s="316"/>
      <c r="L14" s="316"/>
      <c r="M14" s="316"/>
    </row>
    <row r="15" spans="1:13" s="25" customFormat="1" ht="15" customHeight="1" x14ac:dyDescent="0.25">
      <c r="A15" s="316"/>
      <c r="B15" s="316"/>
      <c r="C15" s="316"/>
      <c r="D15" s="316"/>
      <c r="E15" s="316"/>
      <c r="F15" s="316"/>
      <c r="G15" s="316"/>
      <c r="H15" s="316"/>
      <c r="I15" s="316"/>
      <c r="J15" s="316"/>
      <c r="K15" s="316"/>
      <c r="L15" s="316"/>
      <c r="M15" s="316"/>
    </row>
    <row r="16" spans="1:13" s="25" customFormat="1" ht="15.75" x14ac:dyDescent="0.25">
      <c r="A16" s="316"/>
      <c r="B16" s="316"/>
      <c r="C16" s="322" t="s">
        <v>3</v>
      </c>
      <c r="D16" s="319" t="s">
        <v>238</v>
      </c>
      <c r="E16" s="320"/>
      <c r="F16" s="321"/>
      <c r="G16" s="322" t="s">
        <v>4</v>
      </c>
      <c r="H16" s="319" t="s">
        <v>238</v>
      </c>
      <c r="I16" s="320"/>
      <c r="J16" s="321"/>
      <c r="K16" s="322" t="s">
        <v>496</v>
      </c>
      <c r="L16" s="319" t="s">
        <v>238</v>
      </c>
      <c r="M16" s="321"/>
    </row>
    <row r="17" spans="1:13" s="25" customFormat="1" ht="47.25" x14ac:dyDescent="0.25">
      <c r="A17" s="316"/>
      <c r="B17" s="316"/>
      <c r="C17" s="323"/>
      <c r="D17" s="248" t="s">
        <v>758</v>
      </c>
      <c r="E17" s="250" t="s">
        <v>725</v>
      </c>
      <c r="F17" s="250" t="s">
        <v>724</v>
      </c>
      <c r="G17" s="323"/>
      <c r="H17" s="248" t="s">
        <v>758</v>
      </c>
      <c r="I17" s="250" t="s">
        <v>725</v>
      </c>
      <c r="J17" s="250" t="s">
        <v>724</v>
      </c>
      <c r="K17" s="323"/>
      <c r="L17" s="250" t="s">
        <v>725</v>
      </c>
      <c r="M17" s="250" t="s">
        <v>724</v>
      </c>
    </row>
    <row r="18" spans="1:13" s="25" customFormat="1" ht="31.5" x14ac:dyDescent="0.25">
      <c r="A18" s="265" t="s">
        <v>737</v>
      </c>
      <c r="B18" s="266" t="s">
        <v>764</v>
      </c>
      <c r="C18" s="267">
        <f>SUM(C20:C24)</f>
        <v>104630.82738999999</v>
      </c>
      <c r="D18" s="267">
        <f>SUM(D20:D24)</f>
        <v>39572.673840000003</v>
      </c>
      <c r="E18" s="267">
        <f>SUM(E20:E24)</f>
        <v>30871.573509999998</v>
      </c>
      <c r="F18" s="267">
        <f>SUM(F20:F24)</f>
        <v>33676.780039999998</v>
      </c>
      <c r="G18" s="267">
        <f>SUM(G20:G23)</f>
        <v>104452.15174999999</v>
      </c>
      <c r="H18" s="267">
        <f t="shared" ref="H18:M18" si="0">SUM(H20:H23)</f>
        <v>47403.956680000003</v>
      </c>
      <c r="I18" s="267">
        <f t="shared" si="0"/>
        <v>28622.04507</v>
      </c>
      <c r="J18" s="267">
        <f t="shared" si="0"/>
        <v>28426.15</v>
      </c>
      <c r="K18" s="267">
        <f t="shared" si="0"/>
        <v>58326.9</v>
      </c>
      <c r="L18" s="267">
        <f t="shared" si="0"/>
        <v>26127.1</v>
      </c>
      <c r="M18" s="267">
        <f t="shared" si="0"/>
        <v>32199.8</v>
      </c>
    </row>
    <row r="19" spans="1:13" s="25" customFormat="1" ht="16.5" x14ac:dyDescent="0.25">
      <c r="A19" s="225"/>
      <c r="B19" s="226" t="s">
        <v>765</v>
      </c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9"/>
    </row>
    <row r="20" spans="1:13" s="25" customFormat="1" ht="94.5" x14ac:dyDescent="0.25">
      <c r="A20" s="225" t="s">
        <v>739</v>
      </c>
      <c r="B20" s="230" t="s">
        <v>766</v>
      </c>
      <c r="C20" s="231">
        <f>SUM(E20:F20)</f>
        <v>24920.3</v>
      </c>
      <c r="D20" s="232">
        <v>0</v>
      </c>
      <c r="E20" s="229">
        <v>0</v>
      </c>
      <c r="F20" s="232">
        <v>24920.3</v>
      </c>
      <c r="G20" s="231">
        <f>SUM(I20:J20)</f>
        <v>25500.5</v>
      </c>
      <c r="H20" s="232">
        <v>0</v>
      </c>
      <c r="I20" s="229">
        <v>0</v>
      </c>
      <c r="J20" s="232">
        <v>25500.5</v>
      </c>
      <c r="K20" s="227">
        <f>SUM(L20:M20)</f>
        <v>26180.7</v>
      </c>
      <c r="L20" s="233">
        <f>I20-E20</f>
        <v>0</v>
      </c>
      <c r="M20" s="233">
        <v>26180.7</v>
      </c>
    </row>
    <row r="21" spans="1:13" s="25" customFormat="1" ht="84.75" customHeight="1" x14ac:dyDescent="0.25">
      <c r="A21" s="225" t="s">
        <v>747</v>
      </c>
      <c r="B21" s="230" t="s">
        <v>768</v>
      </c>
      <c r="C21" s="231">
        <f>SUM(E21:F21)</f>
        <v>26107.599999999999</v>
      </c>
      <c r="D21" s="232">
        <v>0</v>
      </c>
      <c r="E21" s="232">
        <v>26107.599999999999</v>
      </c>
      <c r="F21" s="232">
        <v>0</v>
      </c>
      <c r="G21" s="231">
        <f>SUM(I21:J21)</f>
        <v>26127.1</v>
      </c>
      <c r="H21" s="232">
        <v>0</v>
      </c>
      <c r="I21" s="229">
        <v>26127.1</v>
      </c>
      <c r="J21" s="229">
        <v>0</v>
      </c>
      <c r="K21" s="227">
        <f>SUM(L21:M21)</f>
        <v>26127.1</v>
      </c>
      <c r="L21" s="229">
        <v>26127.1</v>
      </c>
      <c r="M21" s="233">
        <f>J21-F21</f>
        <v>0</v>
      </c>
    </row>
    <row r="22" spans="1:13" s="25" customFormat="1" ht="63" x14ac:dyDescent="0.25">
      <c r="A22" s="225" t="s">
        <v>767</v>
      </c>
      <c r="B22" s="230" t="s">
        <v>522</v>
      </c>
      <c r="C22" s="231">
        <f>SUM(D22:F22)</f>
        <v>41655.446150000003</v>
      </c>
      <c r="D22" s="232">
        <v>39572.673840000003</v>
      </c>
      <c r="E22" s="232">
        <v>2082.7723099999998</v>
      </c>
      <c r="F22" s="232">
        <v>0</v>
      </c>
      <c r="G22" s="231">
        <f>SUM(H22:J22)</f>
        <v>49898.901750000005</v>
      </c>
      <c r="H22" s="232">
        <v>47403.956680000003</v>
      </c>
      <c r="I22" s="232">
        <v>2494.9450700000002</v>
      </c>
      <c r="J22" s="232">
        <v>0</v>
      </c>
      <c r="K22" s="227">
        <f>SUM(L22:M22)</f>
        <v>0</v>
      </c>
      <c r="L22" s="233">
        <v>0</v>
      </c>
      <c r="M22" s="233">
        <v>0</v>
      </c>
    </row>
    <row r="23" spans="1:13" s="25" customFormat="1" ht="31.5" x14ac:dyDescent="0.25">
      <c r="A23" s="225" t="s">
        <v>769</v>
      </c>
      <c r="B23" s="230" t="s">
        <v>770</v>
      </c>
      <c r="C23" s="231">
        <f>11310.0351-2689.5+135.94494+509.8</f>
        <v>9266.2800399999978</v>
      </c>
      <c r="D23" s="231"/>
      <c r="E23" s="232"/>
      <c r="F23" s="232">
        <v>8756.4800399999986</v>
      </c>
      <c r="G23" s="231">
        <f>SUM(I23:J23)</f>
        <v>2925.6500000000015</v>
      </c>
      <c r="H23" s="231"/>
      <c r="I23" s="232"/>
      <c r="J23" s="232">
        <f>J34-J20</f>
        <v>2925.6500000000015</v>
      </c>
      <c r="K23" s="227">
        <f>SUM(L23:M23)</f>
        <v>6019.0999999999985</v>
      </c>
      <c r="L23" s="233"/>
      <c r="M23" s="232">
        <f>M34-M20</f>
        <v>6019.0999999999985</v>
      </c>
    </row>
    <row r="24" spans="1:13" s="25" customFormat="1" ht="31.5" x14ac:dyDescent="0.25">
      <c r="A24" s="225" t="s">
        <v>834</v>
      </c>
      <c r="B24" s="230" t="s">
        <v>867</v>
      </c>
      <c r="C24" s="231">
        <f>D24+E24+F24</f>
        <v>2681.2012</v>
      </c>
      <c r="D24" s="231"/>
      <c r="E24" s="232">
        <v>2681.2012</v>
      </c>
      <c r="F24" s="232"/>
      <c r="G24" s="231"/>
      <c r="H24" s="231"/>
      <c r="I24" s="232"/>
      <c r="J24" s="232"/>
      <c r="K24" s="227"/>
      <c r="L24" s="233"/>
      <c r="M24" s="232"/>
    </row>
    <row r="25" spans="1:13" s="25" customFormat="1" ht="15.75" x14ac:dyDescent="0.25">
      <c r="A25" s="238"/>
      <c r="B25" s="239" t="s">
        <v>884</v>
      </c>
      <c r="C25" s="272">
        <f>4843.35506+C18</f>
        <v>109474.18244999999</v>
      </c>
      <c r="D25" s="272"/>
      <c r="E25" s="273"/>
      <c r="F25" s="273"/>
      <c r="G25" s="272"/>
      <c r="H25" s="272"/>
      <c r="I25" s="273"/>
      <c r="J25" s="273"/>
      <c r="K25" s="236"/>
      <c r="L25" s="237"/>
      <c r="M25" s="273"/>
    </row>
    <row r="26" spans="1:13" s="25" customFormat="1" ht="15.75" x14ac:dyDescent="0.25">
      <c r="A26" s="238"/>
      <c r="B26" s="239"/>
      <c r="C26" s="272"/>
      <c r="D26" s="272"/>
      <c r="E26" s="273"/>
      <c r="F26" s="273"/>
      <c r="G26" s="272"/>
      <c r="H26" s="272"/>
      <c r="I26" s="273"/>
      <c r="J26" s="273"/>
      <c r="K26" s="236"/>
      <c r="L26" s="237"/>
      <c r="M26" s="273"/>
    </row>
    <row r="27" spans="1:13" s="25" customFormat="1" ht="15.75" x14ac:dyDescent="0.25">
      <c r="A27" s="238"/>
      <c r="B27" s="239"/>
      <c r="C27" s="234"/>
      <c r="D27" s="234"/>
      <c r="E27" s="235"/>
      <c r="F27" s="235"/>
      <c r="G27" s="234"/>
      <c r="H27" s="234"/>
      <c r="I27" s="235"/>
      <c r="J27" s="235"/>
      <c r="K27" s="236"/>
      <c r="L27" s="237"/>
      <c r="M27" s="237"/>
    </row>
    <row r="28" spans="1:13" s="25" customFormat="1" ht="15.75" x14ac:dyDescent="0.25">
      <c r="A28" s="318" t="s">
        <v>772</v>
      </c>
      <c r="B28" s="318"/>
      <c r="C28" s="318"/>
      <c r="D28" s="318"/>
      <c r="E28" s="318"/>
      <c r="F28" s="318"/>
      <c r="G28" s="318"/>
      <c r="H28" s="318"/>
      <c r="I28" s="318"/>
      <c r="J28" s="318"/>
      <c r="K28" s="318"/>
      <c r="L28" s="318"/>
      <c r="M28" s="318"/>
    </row>
    <row r="29" spans="1:13" ht="16.5" x14ac:dyDescent="0.25">
      <c r="A29" s="193"/>
      <c r="B29" s="193"/>
      <c r="C29" s="249"/>
      <c r="D29" s="249"/>
      <c r="E29" s="249"/>
      <c r="F29" s="249"/>
      <c r="G29" s="249"/>
      <c r="H29" s="249"/>
      <c r="I29" s="249"/>
      <c r="J29" s="249"/>
    </row>
    <row r="30" spans="1:13" x14ac:dyDescent="0.25">
      <c r="A30" s="316" t="s">
        <v>728</v>
      </c>
      <c r="B30" s="316" t="s">
        <v>735</v>
      </c>
      <c r="C30" s="316" t="s">
        <v>736</v>
      </c>
      <c r="D30" s="316"/>
      <c r="E30" s="316"/>
      <c r="F30" s="316"/>
      <c r="G30" s="316"/>
      <c r="H30" s="316"/>
      <c r="I30" s="316"/>
      <c r="J30" s="316"/>
      <c r="K30" s="316"/>
      <c r="L30" s="316"/>
      <c r="M30" s="316"/>
    </row>
    <row r="31" spans="1:13" x14ac:dyDescent="0.25">
      <c r="A31" s="316"/>
      <c r="B31" s="316"/>
      <c r="C31" s="316"/>
      <c r="D31" s="316"/>
      <c r="E31" s="316"/>
      <c r="F31" s="316"/>
      <c r="G31" s="316"/>
      <c r="H31" s="316"/>
      <c r="I31" s="316"/>
      <c r="J31" s="316"/>
      <c r="K31" s="316"/>
      <c r="L31" s="316"/>
      <c r="M31" s="316"/>
    </row>
    <row r="32" spans="1:13" ht="15.75" x14ac:dyDescent="0.25">
      <c r="A32" s="316"/>
      <c r="B32" s="316"/>
      <c r="C32" s="322" t="s">
        <v>3</v>
      </c>
      <c r="D32" s="324" t="s">
        <v>238</v>
      </c>
      <c r="E32" s="325"/>
      <c r="F32" s="326"/>
      <c r="G32" s="322" t="s">
        <v>4</v>
      </c>
      <c r="H32" s="324" t="s">
        <v>238</v>
      </c>
      <c r="I32" s="325"/>
      <c r="J32" s="326"/>
      <c r="K32" s="322" t="s">
        <v>496</v>
      </c>
      <c r="L32" s="325" t="s">
        <v>238</v>
      </c>
      <c r="M32" s="326"/>
    </row>
    <row r="33" spans="1:13" ht="47.25" x14ac:dyDescent="0.25">
      <c r="A33" s="316"/>
      <c r="B33" s="316"/>
      <c r="C33" s="323"/>
      <c r="D33" s="248" t="s">
        <v>758</v>
      </c>
      <c r="E33" s="250" t="s">
        <v>725</v>
      </c>
      <c r="F33" s="250" t="s">
        <v>724</v>
      </c>
      <c r="G33" s="323"/>
      <c r="H33" s="248" t="s">
        <v>758</v>
      </c>
      <c r="I33" s="250" t="s">
        <v>725</v>
      </c>
      <c r="J33" s="250" t="s">
        <v>724</v>
      </c>
      <c r="K33" s="323"/>
      <c r="L33" s="250" t="s">
        <v>725</v>
      </c>
      <c r="M33" s="250" t="s">
        <v>724</v>
      </c>
    </row>
    <row r="34" spans="1:13" ht="63" x14ac:dyDescent="0.25">
      <c r="A34" s="194" t="s">
        <v>737</v>
      </c>
      <c r="B34" s="195" t="s">
        <v>738</v>
      </c>
      <c r="C34" s="213">
        <f t="shared" ref="C34:M34" si="1">C35+C83</f>
        <v>109474.18245000001</v>
      </c>
      <c r="D34" s="213">
        <f t="shared" si="1"/>
        <v>39572.673840000003</v>
      </c>
      <c r="E34" s="213">
        <f t="shared" si="1"/>
        <v>28190.372309999999</v>
      </c>
      <c r="F34" s="213">
        <f t="shared" si="1"/>
        <v>39029.935100000002</v>
      </c>
      <c r="G34" s="213">
        <f t="shared" si="1"/>
        <v>104452.15175</v>
      </c>
      <c r="H34" s="213">
        <f t="shared" si="1"/>
        <v>47403.956680000003</v>
      </c>
      <c r="I34" s="213">
        <f t="shared" si="1"/>
        <v>28622.04507</v>
      </c>
      <c r="J34" s="213">
        <f t="shared" si="1"/>
        <v>28426.15</v>
      </c>
      <c r="K34" s="213">
        <f t="shared" si="1"/>
        <v>58326.899999999994</v>
      </c>
      <c r="L34" s="213">
        <f t="shared" si="1"/>
        <v>26127.1</v>
      </c>
      <c r="M34" s="213">
        <f t="shared" si="1"/>
        <v>32199.8</v>
      </c>
    </row>
    <row r="35" spans="1:13" s="198" customFormat="1" ht="47.25" x14ac:dyDescent="0.25">
      <c r="A35" s="196" t="s">
        <v>739</v>
      </c>
      <c r="B35" s="197" t="s">
        <v>740</v>
      </c>
      <c r="C35" s="214">
        <f t="shared" ref="C35:M35" si="2">C36+C38+C41+C43+C77+C79</f>
        <v>103989.87000000001</v>
      </c>
      <c r="D35" s="214">
        <f t="shared" si="2"/>
        <v>39572.673840000003</v>
      </c>
      <c r="E35" s="214">
        <f t="shared" si="2"/>
        <v>28190.372309999999</v>
      </c>
      <c r="F35" s="214">
        <f t="shared" si="2"/>
        <v>36226.823850000001</v>
      </c>
      <c r="G35" s="214">
        <f t="shared" si="2"/>
        <v>104452.15175</v>
      </c>
      <c r="H35" s="214">
        <f t="shared" si="2"/>
        <v>47403.956680000003</v>
      </c>
      <c r="I35" s="214">
        <f t="shared" si="2"/>
        <v>28622.04507</v>
      </c>
      <c r="J35" s="214">
        <f t="shared" si="2"/>
        <v>28426.15</v>
      </c>
      <c r="K35" s="214">
        <f t="shared" si="2"/>
        <v>58326.899999999994</v>
      </c>
      <c r="L35" s="214">
        <f t="shared" si="2"/>
        <v>26127.1</v>
      </c>
      <c r="M35" s="214">
        <f t="shared" si="2"/>
        <v>32199.8</v>
      </c>
    </row>
    <row r="36" spans="1:13" s="201" customFormat="1" ht="31.5" x14ac:dyDescent="0.25">
      <c r="A36" s="199" t="s">
        <v>741</v>
      </c>
      <c r="B36" s="200" t="s">
        <v>742</v>
      </c>
      <c r="C36" s="215">
        <f>C37</f>
        <v>516</v>
      </c>
      <c r="D36" s="215">
        <v>0</v>
      </c>
      <c r="E36" s="215">
        <v>0</v>
      </c>
      <c r="F36" s="215">
        <f>F37</f>
        <v>516</v>
      </c>
      <c r="G36" s="215">
        <f>G37</f>
        <v>516</v>
      </c>
      <c r="H36" s="215">
        <v>0</v>
      </c>
      <c r="I36" s="215">
        <v>0</v>
      </c>
      <c r="J36" s="215">
        <f>J37</f>
        <v>516</v>
      </c>
      <c r="K36" s="215">
        <f>K37</f>
        <v>0</v>
      </c>
      <c r="L36" s="215">
        <v>0</v>
      </c>
      <c r="M36" s="215">
        <f>M37</f>
        <v>0</v>
      </c>
    </row>
    <row r="37" spans="1:13" s="204" customFormat="1" ht="47.25" x14ac:dyDescent="0.25">
      <c r="A37" s="202"/>
      <c r="B37" s="203" t="s">
        <v>751</v>
      </c>
      <c r="C37" s="216">
        <f>F37</f>
        <v>516</v>
      </c>
      <c r="D37" s="216">
        <v>0</v>
      </c>
      <c r="E37" s="216">
        <v>0</v>
      </c>
      <c r="F37" s="216">
        <v>516</v>
      </c>
      <c r="G37" s="216">
        <f>J37</f>
        <v>516</v>
      </c>
      <c r="H37" s="216">
        <v>0</v>
      </c>
      <c r="I37" s="216">
        <v>0</v>
      </c>
      <c r="J37" s="216">
        <v>516</v>
      </c>
      <c r="K37" s="216">
        <f>M37</f>
        <v>0</v>
      </c>
      <c r="L37" s="216">
        <v>0</v>
      </c>
      <c r="M37" s="216">
        <v>0</v>
      </c>
    </row>
    <row r="38" spans="1:13" s="201" customFormat="1" ht="31.5" x14ac:dyDescent="0.25">
      <c r="A38" s="199" t="s">
        <v>743</v>
      </c>
      <c r="B38" s="200" t="s">
        <v>852</v>
      </c>
      <c r="C38" s="215">
        <f>C39+C40</f>
        <v>3220.5</v>
      </c>
      <c r="D38" s="215">
        <v>0</v>
      </c>
      <c r="E38" s="215">
        <v>0</v>
      </c>
      <c r="F38" s="215">
        <f>F39+F40</f>
        <v>3220.5</v>
      </c>
      <c r="G38" s="215">
        <f>G39</f>
        <v>0</v>
      </c>
      <c r="H38" s="215">
        <v>0</v>
      </c>
      <c r="I38" s="215">
        <v>0</v>
      </c>
      <c r="J38" s="215">
        <f>J39</f>
        <v>0</v>
      </c>
      <c r="K38" s="215">
        <f>K39</f>
        <v>0</v>
      </c>
      <c r="L38" s="215">
        <v>0</v>
      </c>
      <c r="M38" s="215">
        <f>M39</f>
        <v>0</v>
      </c>
    </row>
    <row r="39" spans="1:13" s="204" customFormat="1" ht="63" x14ac:dyDescent="0.25">
      <c r="A39" s="202"/>
      <c r="B39" s="203" t="s">
        <v>868</v>
      </c>
      <c r="C39" s="216">
        <f>F39</f>
        <v>3150</v>
      </c>
      <c r="D39" s="216">
        <v>0</v>
      </c>
      <c r="E39" s="216">
        <v>0</v>
      </c>
      <c r="F39" s="216">
        <v>3150</v>
      </c>
      <c r="G39" s="216">
        <v>0</v>
      </c>
      <c r="H39" s="216">
        <v>0</v>
      </c>
      <c r="I39" s="216">
        <v>0</v>
      </c>
      <c r="J39" s="216">
        <v>0</v>
      </c>
      <c r="K39" s="216">
        <f>M39</f>
        <v>0</v>
      </c>
      <c r="L39" s="216">
        <v>0</v>
      </c>
      <c r="M39" s="216">
        <v>0</v>
      </c>
    </row>
    <row r="40" spans="1:13" s="204" customFormat="1" ht="78.75" x14ac:dyDescent="0.25">
      <c r="A40" s="202"/>
      <c r="B40" s="203" t="s">
        <v>875</v>
      </c>
      <c r="C40" s="216">
        <v>70.5</v>
      </c>
      <c r="D40" s="216">
        <v>0</v>
      </c>
      <c r="E40" s="216">
        <v>0</v>
      </c>
      <c r="F40" s="216">
        <v>70.5</v>
      </c>
      <c r="G40" s="216">
        <v>0</v>
      </c>
      <c r="H40" s="216">
        <v>0</v>
      </c>
      <c r="I40" s="216">
        <v>0</v>
      </c>
      <c r="J40" s="216">
        <v>0</v>
      </c>
      <c r="K40" s="216">
        <v>0</v>
      </c>
      <c r="L40" s="216">
        <v>0</v>
      </c>
      <c r="M40" s="216">
        <v>0</v>
      </c>
    </row>
    <row r="41" spans="1:13" s="201" customFormat="1" ht="47.25" x14ac:dyDescent="0.25">
      <c r="A41" s="199" t="s">
        <v>744</v>
      </c>
      <c r="B41" s="200" t="s">
        <v>861</v>
      </c>
      <c r="C41" s="215">
        <f>C42</f>
        <v>974.9</v>
      </c>
      <c r="D41" s="215">
        <v>0</v>
      </c>
      <c r="E41" s="215">
        <v>0</v>
      </c>
      <c r="F41" s="215">
        <f>F42</f>
        <v>974.9</v>
      </c>
      <c r="G41" s="215">
        <f>G42</f>
        <v>0</v>
      </c>
      <c r="H41" s="215">
        <v>0</v>
      </c>
      <c r="I41" s="215">
        <v>0</v>
      </c>
      <c r="J41" s="215">
        <f>J42</f>
        <v>0</v>
      </c>
      <c r="K41" s="215">
        <f>K42</f>
        <v>0</v>
      </c>
      <c r="L41" s="215">
        <v>0</v>
      </c>
      <c r="M41" s="215">
        <f>M42</f>
        <v>0</v>
      </c>
    </row>
    <row r="42" spans="1:13" s="204" customFormat="1" ht="47.25" x14ac:dyDescent="0.25">
      <c r="A42" s="202"/>
      <c r="B42" s="203" t="s">
        <v>869</v>
      </c>
      <c r="C42" s="216">
        <f>F42</f>
        <v>974.9</v>
      </c>
      <c r="D42" s="216">
        <v>0</v>
      </c>
      <c r="E42" s="216">
        <v>0</v>
      </c>
      <c r="F42" s="216">
        <v>974.9</v>
      </c>
      <c r="G42" s="216">
        <v>0</v>
      </c>
      <c r="H42" s="216">
        <v>0</v>
      </c>
      <c r="I42" s="216">
        <v>0</v>
      </c>
      <c r="J42" s="216">
        <v>0</v>
      </c>
      <c r="K42" s="216">
        <f>M42</f>
        <v>0</v>
      </c>
      <c r="L42" s="216">
        <v>0</v>
      </c>
      <c r="M42" s="216">
        <v>0</v>
      </c>
    </row>
    <row r="43" spans="1:13" s="201" customFormat="1" ht="31.5" x14ac:dyDescent="0.25">
      <c r="A43" s="199" t="s">
        <v>745</v>
      </c>
      <c r="B43" s="205" t="s">
        <v>752</v>
      </c>
      <c r="C43" s="215">
        <f>C44+C72+C60</f>
        <v>34696</v>
      </c>
      <c r="D43" s="215">
        <v>0</v>
      </c>
      <c r="E43" s="215">
        <f>E44+E72+E60</f>
        <v>26107.599999999999</v>
      </c>
      <c r="F43" s="215">
        <f>F44+F72+F60</f>
        <v>8588.3999999999978</v>
      </c>
      <c r="G43" s="215">
        <f>G44+G72+G60</f>
        <v>30690.3</v>
      </c>
      <c r="H43" s="215">
        <v>0</v>
      </c>
      <c r="I43" s="215">
        <f>I44+I72+I60</f>
        <v>26127.1</v>
      </c>
      <c r="J43" s="215">
        <f>J44+J72+J60</f>
        <v>4563.2</v>
      </c>
      <c r="K43" s="215">
        <f>K44+K72+K60</f>
        <v>29030.1</v>
      </c>
      <c r="L43" s="215">
        <f>L44+L72+L60</f>
        <v>26127.1</v>
      </c>
      <c r="M43" s="215">
        <f>M44+M72+M60</f>
        <v>2903</v>
      </c>
    </row>
    <row r="44" spans="1:13" s="204" customFormat="1" ht="31.5" x14ac:dyDescent="0.25">
      <c r="A44" s="202"/>
      <c r="B44" s="274" t="s">
        <v>753</v>
      </c>
      <c r="C44" s="216">
        <f>E44+F44</f>
        <v>29008.6</v>
      </c>
      <c r="D44" s="216">
        <v>0</v>
      </c>
      <c r="E44" s="216">
        <v>26107.599999999999</v>
      </c>
      <c r="F44" s="216">
        <f>F45+F46+F47+F48+F49+F50+F51+F52+F53+F54+F55+F56+F57+F58+F59+0.1555</f>
        <v>2901</v>
      </c>
      <c r="G44" s="216">
        <f>SUM(I44+J44)</f>
        <v>29030.1</v>
      </c>
      <c r="H44" s="216">
        <v>0</v>
      </c>
      <c r="I44" s="216">
        <v>26127.1</v>
      </c>
      <c r="J44" s="216">
        <v>2903</v>
      </c>
      <c r="K44" s="216">
        <f>SUM(L44+M44)</f>
        <v>29030.1</v>
      </c>
      <c r="L44" s="216">
        <v>26127.1</v>
      </c>
      <c r="M44" s="216">
        <v>2903</v>
      </c>
    </row>
    <row r="45" spans="1:13" s="261" customFormat="1" ht="31.5" x14ac:dyDescent="0.25">
      <c r="A45" s="260">
        <v>1</v>
      </c>
      <c r="B45" s="277" t="s">
        <v>833</v>
      </c>
      <c r="C45" s="255">
        <f t="shared" ref="C45:C59" si="3">D45+E45+F45</f>
        <v>589.50175999999999</v>
      </c>
      <c r="D45" s="255">
        <v>0</v>
      </c>
      <c r="E45" s="255">
        <v>530.55157999999994</v>
      </c>
      <c r="F45" s="255">
        <v>58.950180000000003</v>
      </c>
      <c r="G45" s="255">
        <f t="shared" ref="G45:G59" si="4">H45+I45+J45</f>
        <v>0</v>
      </c>
      <c r="H45" s="255">
        <v>0</v>
      </c>
      <c r="I45" s="255">
        <v>0</v>
      </c>
      <c r="J45" s="255">
        <v>0</v>
      </c>
      <c r="K45" s="255">
        <f t="shared" ref="K45:K53" si="5">L45+M45</f>
        <v>0</v>
      </c>
      <c r="L45" s="255">
        <v>0</v>
      </c>
      <c r="M45" s="255">
        <v>0</v>
      </c>
    </row>
    <row r="46" spans="1:13" s="261" customFormat="1" ht="31.5" x14ac:dyDescent="0.25">
      <c r="A46" s="260">
        <v>2</v>
      </c>
      <c r="B46" s="277" t="s">
        <v>832</v>
      </c>
      <c r="C46" s="255">
        <f t="shared" si="3"/>
        <v>391.66</v>
      </c>
      <c r="D46" s="255">
        <v>0</v>
      </c>
      <c r="E46" s="255">
        <v>352.49400000000003</v>
      </c>
      <c r="F46" s="255">
        <v>39.165999999999997</v>
      </c>
      <c r="G46" s="255">
        <f t="shared" si="4"/>
        <v>0</v>
      </c>
      <c r="H46" s="255">
        <v>0</v>
      </c>
      <c r="I46" s="255">
        <v>0</v>
      </c>
      <c r="J46" s="255">
        <v>0</v>
      </c>
      <c r="K46" s="255">
        <f t="shared" si="5"/>
        <v>0</v>
      </c>
      <c r="L46" s="255">
        <v>0</v>
      </c>
      <c r="M46" s="255">
        <v>0</v>
      </c>
    </row>
    <row r="47" spans="1:13" s="261" customFormat="1" ht="31.5" x14ac:dyDescent="0.25">
      <c r="A47" s="260">
        <v>3</v>
      </c>
      <c r="B47" s="277" t="s">
        <v>831</v>
      </c>
      <c r="C47" s="255">
        <f t="shared" si="3"/>
        <v>599.95680000000004</v>
      </c>
      <c r="D47" s="255">
        <v>0</v>
      </c>
      <c r="E47" s="255">
        <v>539.96112000000005</v>
      </c>
      <c r="F47" s="255">
        <v>59.99568</v>
      </c>
      <c r="G47" s="255">
        <f t="shared" si="4"/>
        <v>0</v>
      </c>
      <c r="H47" s="255">
        <v>0</v>
      </c>
      <c r="I47" s="255">
        <v>0</v>
      </c>
      <c r="J47" s="255">
        <v>0</v>
      </c>
      <c r="K47" s="255">
        <f t="shared" si="5"/>
        <v>0</v>
      </c>
      <c r="L47" s="255">
        <v>0</v>
      </c>
      <c r="M47" s="255">
        <v>0</v>
      </c>
    </row>
    <row r="48" spans="1:13" s="261" customFormat="1" ht="31.5" x14ac:dyDescent="0.25">
      <c r="A48" s="260">
        <v>4</v>
      </c>
      <c r="B48" s="277" t="s">
        <v>830</v>
      </c>
      <c r="C48" s="255">
        <f t="shared" si="3"/>
        <v>955.16412000000003</v>
      </c>
      <c r="D48" s="255">
        <v>0</v>
      </c>
      <c r="E48" s="255">
        <v>859.64769999999999</v>
      </c>
      <c r="F48" s="255">
        <v>95.516419999999997</v>
      </c>
      <c r="G48" s="255">
        <f t="shared" si="4"/>
        <v>0</v>
      </c>
      <c r="H48" s="255">
        <v>0</v>
      </c>
      <c r="I48" s="255">
        <v>0</v>
      </c>
      <c r="J48" s="255">
        <v>0</v>
      </c>
      <c r="K48" s="255">
        <f t="shared" si="5"/>
        <v>0</v>
      </c>
      <c r="L48" s="255">
        <v>0</v>
      </c>
      <c r="M48" s="255">
        <v>0</v>
      </c>
    </row>
    <row r="49" spans="1:13" s="261" customFormat="1" ht="31.5" x14ac:dyDescent="0.25">
      <c r="A49" s="260">
        <v>5</v>
      </c>
      <c r="B49" s="277" t="s">
        <v>829</v>
      </c>
      <c r="C49" s="255">
        <f t="shared" si="3"/>
        <v>639.20119999999997</v>
      </c>
      <c r="D49" s="255">
        <v>0</v>
      </c>
      <c r="E49" s="255">
        <v>575.28107999999997</v>
      </c>
      <c r="F49" s="255">
        <v>63.920119999999997</v>
      </c>
      <c r="G49" s="255">
        <f t="shared" si="4"/>
        <v>0</v>
      </c>
      <c r="H49" s="255">
        <v>0</v>
      </c>
      <c r="I49" s="255">
        <v>0</v>
      </c>
      <c r="J49" s="255">
        <v>0</v>
      </c>
      <c r="K49" s="255">
        <f t="shared" si="5"/>
        <v>0</v>
      </c>
      <c r="L49" s="255">
        <v>0</v>
      </c>
      <c r="M49" s="255">
        <v>0</v>
      </c>
    </row>
    <row r="50" spans="1:13" s="261" customFormat="1" ht="31.5" x14ac:dyDescent="0.25">
      <c r="A50" s="260">
        <v>6</v>
      </c>
      <c r="B50" s="277" t="s">
        <v>828</v>
      </c>
      <c r="C50" s="255">
        <f t="shared" si="3"/>
        <v>836.15066000000002</v>
      </c>
      <c r="D50" s="255">
        <v>0</v>
      </c>
      <c r="E50" s="255">
        <v>752.53558999999996</v>
      </c>
      <c r="F50" s="255">
        <v>83.615070000000003</v>
      </c>
      <c r="G50" s="255">
        <f t="shared" si="4"/>
        <v>0</v>
      </c>
      <c r="H50" s="255">
        <v>0</v>
      </c>
      <c r="I50" s="255">
        <v>0</v>
      </c>
      <c r="J50" s="255">
        <v>0</v>
      </c>
      <c r="K50" s="255">
        <f t="shared" si="5"/>
        <v>0</v>
      </c>
      <c r="L50" s="255">
        <v>0</v>
      </c>
      <c r="M50" s="255">
        <v>0</v>
      </c>
    </row>
    <row r="51" spans="1:13" s="261" customFormat="1" ht="47.25" x14ac:dyDescent="0.25">
      <c r="A51" s="260">
        <v>7</v>
      </c>
      <c r="B51" s="277" t="s">
        <v>827</v>
      </c>
      <c r="C51" s="255">
        <f t="shared" si="3"/>
        <v>1298.6403599999999</v>
      </c>
      <c r="D51" s="255">
        <v>0</v>
      </c>
      <c r="E51" s="255">
        <v>1168.7763199999999</v>
      </c>
      <c r="F51" s="255">
        <v>129.86403999999999</v>
      </c>
      <c r="G51" s="255">
        <f t="shared" si="4"/>
        <v>0</v>
      </c>
      <c r="H51" s="255">
        <v>0</v>
      </c>
      <c r="I51" s="255">
        <v>0</v>
      </c>
      <c r="J51" s="255">
        <v>0</v>
      </c>
      <c r="K51" s="255">
        <f t="shared" si="5"/>
        <v>0</v>
      </c>
      <c r="L51" s="255">
        <v>0</v>
      </c>
      <c r="M51" s="255">
        <v>0</v>
      </c>
    </row>
    <row r="52" spans="1:13" s="261" customFormat="1" ht="31.5" x14ac:dyDescent="0.25">
      <c r="A52" s="260">
        <v>8</v>
      </c>
      <c r="B52" s="277" t="s">
        <v>826</v>
      </c>
      <c r="C52" s="255">
        <f t="shared" si="3"/>
        <v>1237.67299</v>
      </c>
      <c r="D52" s="255">
        <v>0</v>
      </c>
      <c r="E52" s="255">
        <v>1113.90569</v>
      </c>
      <c r="F52" s="255">
        <v>123.76730000000001</v>
      </c>
      <c r="G52" s="255">
        <f t="shared" si="4"/>
        <v>0</v>
      </c>
      <c r="H52" s="255">
        <v>0</v>
      </c>
      <c r="I52" s="255">
        <v>0</v>
      </c>
      <c r="J52" s="255">
        <v>0</v>
      </c>
      <c r="K52" s="255">
        <f t="shared" si="5"/>
        <v>0</v>
      </c>
      <c r="L52" s="255">
        <v>0</v>
      </c>
      <c r="M52" s="255">
        <v>0</v>
      </c>
    </row>
    <row r="53" spans="1:13" s="261" customFormat="1" ht="63" x14ac:dyDescent="0.25">
      <c r="A53" s="260">
        <v>9</v>
      </c>
      <c r="B53" s="277" t="s">
        <v>825</v>
      </c>
      <c r="C53" s="255">
        <f t="shared" si="3"/>
        <v>870.02467999999999</v>
      </c>
      <c r="D53" s="255">
        <v>0</v>
      </c>
      <c r="E53" s="255">
        <v>783.02220999999997</v>
      </c>
      <c r="F53" s="255">
        <v>87.002470000000002</v>
      </c>
      <c r="G53" s="255">
        <f t="shared" si="4"/>
        <v>0</v>
      </c>
      <c r="H53" s="255">
        <v>0</v>
      </c>
      <c r="I53" s="255">
        <v>0</v>
      </c>
      <c r="J53" s="255">
        <v>0</v>
      </c>
      <c r="K53" s="255">
        <f t="shared" si="5"/>
        <v>0</v>
      </c>
      <c r="L53" s="255">
        <v>0</v>
      </c>
      <c r="M53" s="255">
        <v>0</v>
      </c>
    </row>
    <row r="54" spans="1:13" s="261" customFormat="1" ht="31.5" x14ac:dyDescent="0.25">
      <c r="A54" s="260">
        <v>10</v>
      </c>
      <c r="B54" s="277" t="s">
        <v>856</v>
      </c>
      <c r="C54" s="255">
        <f>D54+E54+F54</f>
        <v>1014.6436600000001</v>
      </c>
      <c r="D54" s="255">
        <v>0</v>
      </c>
      <c r="E54" s="255">
        <v>913.17929000000004</v>
      </c>
      <c r="F54" s="255">
        <v>101.46437</v>
      </c>
      <c r="G54" s="255">
        <f>H54+I54+J54</f>
        <v>0</v>
      </c>
      <c r="H54" s="255">
        <v>0</v>
      </c>
      <c r="I54" s="255">
        <v>0</v>
      </c>
      <c r="J54" s="255">
        <v>0</v>
      </c>
      <c r="K54" s="255">
        <v>0</v>
      </c>
      <c r="L54" s="255">
        <v>0</v>
      </c>
      <c r="M54" s="255">
        <v>0</v>
      </c>
    </row>
    <row r="55" spans="1:13" s="261" customFormat="1" ht="31.5" x14ac:dyDescent="0.25">
      <c r="A55" s="260">
        <v>10</v>
      </c>
      <c r="B55" s="277" t="s">
        <v>857</v>
      </c>
      <c r="C55" s="255">
        <f>D55+E55+F55</f>
        <v>1505.7085300000001</v>
      </c>
      <c r="D55" s="255">
        <v>0</v>
      </c>
      <c r="E55" s="255">
        <v>1355.1376700000001</v>
      </c>
      <c r="F55" s="255">
        <v>150.57086000000001</v>
      </c>
      <c r="G55" s="255">
        <f>H55+I55+J55</f>
        <v>0</v>
      </c>
      <c r="H55" s="255">
        <v>0</v>
      </c>
      <c r="I55" s="255">
        <v>0</v>
      </c>
      <c r="J55" s="255">
        <v>0</v>
      </c>
      <c r="K55" s="255">
        <v>0</v>
      </c>
      <c r="L55" s="255">
        <v>0</v>
      </c>
      <c r="M55" s="255">
        <v>0</v>
      </c>
    </row>
    <row r="56" spans="1:13" s="261" customFormat="1" ht="47.25" x14ac:dyDescent="0.25">
      <c r="A56" s="260">
        <v>10</v>
      </c>
      <c r="B56" s="277" t="s">
        <v>858</v>
      </c>
      <c r="C56" s="255">
        <f>D56+E56+F56</f>
        <v>1201.7180800000001</v>
      </c>
      <c r="D56" s="255">
        <v>0</v>
      </c>
      <c r="E56" s="255">
        <v>1081.54627</v>
      </c>
      <c r="F56" s="255">
        <v>120.17180999999999</v>
      </c>
      <c r="G56" s="255">
        <f>H56+I56+J56</f>
        <v>0</v>
      </c>
      <c r="H56" s="255">
        <v>0</v>
      </c>
      <c r="I56" s="255">
        <v>0</v>
      </c>
      <c r="J56" s="255">
        <v>0</v>
      </c>
      <c r="K56" s="255">
        <v>0</v>
      </c>
      <c r="L56" s="255">
        <v>0</v>
      </c>
      <c r="M56" s="255">
        <v>0</v>
      </c>
    </row>
    <row r="57" spans="1:13" s="261" customFormat="1" ht="31.5" x14ac:dyDescent="0.25">
      <c r="A57" s="260">
        <v>10</v>
      </c>
      <c r="B57" s="277" t="s">
        <v>859</v>
      </c>
      <c r="C57" s="255">
        <f>D57+E57+F57</f>
        <v>6017.9572099999996</v>
      </c>
      <c r="D57" s="255">
        <v>0</v>
      </c>
      <c r="E57" s="255">
        <v>5416.1614799999998</v>
      </c>
      <c r="F57" s="255">
        <v>601.79573000000005</v>
      </c>
      <c r="G57" s="255">
        <f>H57+I57+J57</f>
        <v>0</v>
      </c>
      <c r="H57" s="255">
        <v>0</v>
      </c>
      <c r="I57" s="255">
        <v>0</v>
      </c>
      <c r="J57" s="255">
        <v>0</v>
      </c>
      <c r="K57" s="255">
        <v>0</v>
      </c>
      <c r="L57" s="255">
        <v>0</v>
      </c>
      <c r="M57" s="255">
        <v>0</v>
      </c>
    </row>
    <row r="58" spans="1:13" s="261" customFormat="1" ht="15.75" x14ac:dyDescent="0.25">
      <c r="A58" s="260">
        <v>10</v>
      </c>
      <c r="B58" s="277" t="s">
        <v>824</v>
      </c>
      <c r="C58" s="255">
        <f t="shared" si="3"/>
        <v>11850.444449999999</v>
      </c>
      <c r="D58" s="255">
        <v>0</v>
      </c>
      <c r="E58" s="255">
        <v>10665.4</v>
      </c>
      <c r="F58" s="255">
        <v>1185.0444500000001</v>
      </c>
      <c r="G58" s="255">
        <f t="shared" si="4"/>
        <v>0</v>
      </c>
      <c r="H58" s="255">
        <v>0</v>
      </c>
      <c r="I58" s="255">
        <v>0</v>
      </c>
      <c r="J58" s="255">
        <v>0</v>
      </c>
      <c r="K58" s="255">
        <v>0</v>
      </c>
      <c r="L58" s="255">
        <v>0</v>
      </c>
      <c r="M58" s="255">
        <v>0</v>
      </c>
    </row>
    <row r="59" spans="1:13" s="261" customFormat="1" ht="15.75" x14ac:dyDescent="0.25">
      <c r="A59" s="260">
        <v>11</v>
      </c>
      <c r="B59" s="277" t="s">
        <v>860</v>
      </c>
      <c r="C59" s="255">
        <f t="shared" si="3"/>
        <v>0</v>
      </c>
      <c r="D59" s="255">
        <v>0</v>
      </c>
      <c r="E59" s="255">
        <v>0</v>
      </c>
      <c r="F59" s="275">
        <v>0</v>
      </c>
      <c r="G59" s="255">
        <f t="shared" si="4"/>
        <v>29030.1</v>
      </c>
      <c r="H59" s="255">
        <v>0</v>
      </c>
      <c r="I59" s="255">
        <v>26127.1</v>
      </c>
      <c r="J59" s="255">
        <v>2903</v>
      </c>
      <c r="K59" s="255">
        <f>L59+M59</f>
        <v>29030.1</v>
      </c>
      <c r="L59" s="255">
        <v>26127.1</v>
      </c>
      <c r="M59" s="255">
        <v>2903</v>
      </c>
    </row>
    <row r="60" spans="1:13" s="204" customFormat="1" ht="31.5" x14ac:dyDescent="0.25">
      <c r="A60" s="202"/>
      <c r="B60" s="278" t="s">
        <v>754</v>
      </c>
      <c r="C60" s="216">
        <f>E60+F60</f>
        <v>4287.4999999999991</v>
      </c>
      <c r="D60" s="216">
        <v>0</v>
      </c>
      <c r="E60" s="216">
        <v>0</v>
      </c>
      <c r="F60" s="216">
        <f>SUM(F61:F71)</f>
        <v>4287.4999999999991</v>
      </c>
      <c r="G60" s="216">
        <v>0</v>
      </c>
      <c r="H60" s="216">
        <v>0</v>
      </c>
      <c r="I60" s="216">
        <v>0</v>
      </c>
      <c r="J60" s="216">
        <v>0</v>
      </c>
      <c r="K60" s="216">
        <v>0</v>
      </c>
      <c r="L60" s="216">
        <v>0</v>
      </c>
      <c r="M60" s="216">
        <v>0</v>
      </c>
    </row>
    <row r="61" spans="1:13" s="204" customFormat="1" ht="31.5" x14ac:dyDescent="0.25">
      <c r="A61" s="260">
        <v>1</v>
      </c>
      <c r="B61" s="277" t="s">
        <v>823</v>
      </c>
      <c r="C61" s="255">
        <f t="shared" ref="C61:C69" si="6">E61+F61</f>
        <v>307.8</v>
      </c>
      <c r="D61" s="255">
        <v>0</v>
      </c>
      <c r="E61" s="255">
        <v>0</v>
      </c>
      <c r="F61" s="255">
        <v>307.8</v>
      </c>
      <c r="G61" s="255">
        <v>0</v>
      </c>
      <c r="H61" s="255">
        <v>0</v>
      </c>
      <c r="I61" s="255">
        <v>0</v>
      </c>
      <c r="J61" s="255">
        <v>0</v>
      </c>
      <c r="K61" s="255">
        <v>0</v>
      </c>
      <c r="L61" s="255">
        <v>0</v>
      </c>
      <c r="M61" s="255">
        <v>0</v>
      </c>
    </row>
    <row r="62" spans="1:13" s="204" customFormat="1" ht="31.5" x14ac:dyDescent="0.25">
      <c r="A62" s="260">
        <v>2</v>
      </c>
      <c r="B62" s="277" t="s">
        <v>822</v>
      </c>
      <c r="C62" s="255">
        <f t="shared" si="6"/>
        <v>433.5</v>
      </c>
      <c r="D62" s="255">
        <v>0</v>
      </c>
      <c r="E62" s="255">
        <v>0</v>
      </c>
      <c r="F62" s="255">
        <v>433.5</v>
      </c>
      <c r="G62" s="255">
        <v>0</v>
      </c>
      <c r="H62" s="255">
        <v>0</v>
      </c>
      <c r="I62" s="255">
        <v>0</v>
      </c>
      <c r="J62" s="255">
        <v>0</v>
      </c>
      <c r="K62" s="255">
        <v>0</v>
      </c>
      <c r="L62" s="255">
        <v>0</v>
      </c>
      <c r="M62" s="255">
        <v>0</v>
      </c>
    </row>
    <row r="63" spans="1:13" s="204" customFormat="1" ht="47.25" x14ac:dyDescent="0.25">
      <c r="A63" s="260">
        <v>3</v>
      </c>
      <c r="B63" s="277" t="s">
        <v>821</v>
      </c>
      <c r="C63" s="255">
        <f t="shared" si="6"/>
        <v>487.9</v>
      </c>
      <c r="D63" s="255">
        <v>0</v>
      </c>
      <c r="E63" s="255">
        <v>0</v>
      </c>
      <c r="F63" s="255">
        <v>487.9</v>
      </c>
      <c r="G63" s="255">
        <v>0</v>
      </c>
      <c r="H63" s="255">
        <v>0</v>
      </c>
      <c r="I63" s="255">
        <v>0</v>
      </c>
      <c r="J63" s="255">
        <v>0</v>
      </c>
      <c r="K63" s="255">
        <v>0</v>
      </c>
      <c r="L63" s="255">
        <v>0</v>
      </c>
      <c r="M63" s="255">
        <v>0</v>
      </c>
    </row>
    <row r="64" spans="1:13" s="204" customFormat="1" ht="47.25" x14ac:dyDescent="0.25">
      <c r="A64" s="260">
        <v>4</v>
      </c>
      <c r="B64" s="277" t="s">
        <v>820</v>
      </c>
      <c r="C64" s="255">
        <f t="shared" si="6"/>
        <v>600</v>
      </c>
      <c r="D64" s="255">
        <v>0</v>
      </c>
      <c r="E64" s="255">
        <v>0</v>
      </c>
      <c r="F64" s="255">
        <v>600</v>
      </c>
      <c r="G64" s="255">
        <v>0</v>
      </c>
      <c r="H64" s="255">
        <v>0</v>
      </c>
      <c r="I64" s="255">
        <v>0</v>
      </c>
      <c r="J64" s="255">
        <v>0</v>
      </c>
      <c r="K64" s="255">
        <v>0</v>
      </c>
      <c r="L64" s="255">
        <v>0</v>
      </c>
      <c r="M64" s="255">
        <v>0</v>
      </c>
    </row>
    <row r="65" spans="1:14" s="204" customFormat="1" ht="31.5" x14ac:dyDescent="0.25">
      <c r="A65" s="260">
        <v>5</v>
      </c>
      <c r="B65" s="277" t="s">
        <v>819</v>
      </c>
      <c r="C65" s="255">
        <f t="shared" si="6"/>
        <v>600</v>
      </c>
      <c r="D65" s="255">
        <v>0</v>
      </c>
      <c r="E65" s="255">
        <v>0</v>
      </c>
      <c r="F65" s="255">
        <v>600</v>
      </c>
      <c r="G65" s="255">
        <v>0</v>
      </c>
      <c r="H65" s="255">
        <v>0</v>
      </c>
      <c r="I65" s="255">
        <v>0</v>
      </c>
      <c r="J65" s="255">
        <v>0</v>
      </c>
      <c r="K65" s="255">
        <v>0</v>
      </c>
      <c r="L65" s="255">
        <v>0</v>
      </c>
      <c r="M65" s="255">
        <v>0</v>
      </c>
    </row>
    <row r="66" spans="1:14" s="204" customFormat="1" ht="47.25" x14ac:dyDescent="0.25">
      <c r="A66" s="260">
        <v>6</v>
      </c>
      <c r="B66" s="277" t="s">
        <v>818</v>
      </c>
      <c r="C66" s="255">
        <f t="shared" si="6"/>
        <v>161.6</v>
      </c>
      <c r="D66" s="255">
        <v>0</v>
      </c>
      <c r="E66" s="255">
        <v>0</v>
      </c>
      <c r="F66" s="255">
        <v>161.6</v>
      </c>
      <c r="G66" s="255">
        <v>0</v>
      </c>
      <c r="H66" s="255">
        <v>0</v>
      </c>
      <c r="I66" s="255">
        <v>0</v>
      </c>
      <c r="J66" s="255">
        <v>0</v>
      </c>
      <c r="K66" s="255">
        <v>0</v>
      </c>
      <c r="L66" s="255">
        <v>0</v>
      </c>
      <c r="M66" s="255">
        <v>0</v>
      </c>
    </row>
    <row r="67" spans="1:14" s="204" customFormat="1" ht="47.25" x14ac:dyDescent="0.25">
      <c r="A67" s="260">
        <v>7</v>
      </c>
      <c r="B67" s="277" t="s">
        <v>817</v>
      </c>
      <c r="C67" s="255">
        <f t="shared" si="6"/>
        <v>581.6</v>
      </c>
      <c r="D67" s="255">
        <v>0</v>
      </c>
      <c r="E67" s="255">
        <v>0</v>
      </c>
      <c r="F67" s="255">
        <v>581.6</v>
      </c>
      <c r="G67" s="255">
        <v>0</v>
      </c>
      <c r="H67" s="255">
        <v>0</v>
      </c>
      <c r="I67" s="255">
        <v>0</v>
      </c>
      <c r="J67" s="255">
        <v>0</v>
      </c>
      <c r="K67" s="255">
        <v>0</v>
      </c>
      <c r="L67" s="255">
        <v>0</v>
      </c>
      <c r="M67" s="255">
        <v>0</v>
      </c>
    </row>
    <row r="68" spans="1:14" s="204" customFormat="1" ht="47.25" x14ac:dyDescent="0.25">
      <c r="A68" s="260">
        <v>8</v>
      </c>
      <c r="B68" s="259" t="s">
        <v>816</v>
      </c>
      <c r="C68" s="255">
        <f t="shared" si="6"/>
        <v>567.5</v>
      </c>
      <c r="D68" s="255">
        <v>0</v>
      </c>
      <c r="E68" s="255">
        <v>0</v>
      </c>
      <c r="F68" s="255">
        <v>567.5</v>
      </c>
      <c r="G68" s="255">
        <v>0</v>
      </c>
      <c r="H68" s="255">
        <v>0</v>
      </c>
      <c r="I68" s="255">
        <v>0</v>
      </c>
      <c r="J68" s="255">
        <v>0</v>
      </c>
      <c r="K68" s="255">
        <v>0</v>
      </c>
      <c r="L68" s="255">
        <v>0</v>
      </c>
      <c r="M68" s="255">
        <v>0</v>
      </c>
    </row>
    <row r="69" spans="1:14" s="204" customFormat="1" ht="31.5" x14ac:dyDescent="0.25">
      <c r="A69" s="260">
        <v>9</v>
      </c>
      <c r="B69" s="259" t="s">
        <v>815</v>
      </c>
      <c r="C69" s="255">
        <f t="shared" si="6"/>
        <v>298.40305000000001</v>
      </c>
      <c r="D69" s="255">
        <v>0</v>
      </c>
      <c r="E69" s="255">
        <v>0</v>
      </c>
      <c r="F69" s="255">
        <f>363.7-65.29695</f>
        <v>298.40305000000001</v>
      </c>
      <c r="G69" s="255">
        <v>0</v>
      </c>
      <c r="H69" s="255">
        <v>0</v>
      </c>
      <c r="I69" s="255">
        <v>0</v>
      </c>
      <c r="J69" s="255">
        <v>0</v>
      </c>
      <c r="K69" s="255">
        <v>0</v>
      </c>
      <c r="L69" s="255">
        <v>0</v>
      </c>
      <c r="M69" s="255">
        <v>0</v>
      </c>
    </row>
    <row r="70" spans="1:14" s="204" customFormat="1" ht="47.25" x14ac:dyDescent="0.25">
      <c r="A70" s="260">
        <v>10</v>
      </c>
      <c r="B70" s="288" t="s">
        <v>883</v>
      </c>
      <c r="C70" s="255">
        <f>F70</f>
        <v>65.296949999999995</v>
      </c>
      <c r="D70" s="255">
        <v>0</v>
      </c>
      <c r="E70" s="255">
        <v>0</v>
      </c>
      <c r="F70" s="255">
        <v>65.296949999999995</v>
      </c>
      <c r="G70" s="255">
        <v>0</v>
      </c>
      <c r="H70" s="255">
        <v>0</v>
      </c>
      <c r="I70" s="255">
        <v>0</v>
      </c>
      <c r="J70" s="255">
        <v>0</v>
      </c>
      <c r="K70" s="255">
        <v>0</v>
      </c>
      <c r="L70" s="255">
        <v>0</v>
      </c>
      <c r="M70" s="255">
        <v>0</v>
      </c>
    </row>
    <row r="71" spans="1:14" s="204" customFormat="1" ht="31.5" x14ac:dyDescent="0.25">
      <c r="A71" s="260">
        <v>11</v>
      </c>
      <c r="B71" s="259" t="s">
        <v>876</v>
      </c>
      <c r="C71" s="255">
        <f>F71</f>
        <v>183.9</v>
      </c>
      <c r="D71" s="255">
        <v>0</v>
      </c>
      <c r="E71" s="255">
        <v>0</v>
      </c>
      <c r="F71" s="255">
        <v>183.9</v>
      </c>
      <c r="G71" s="255">
        <v>0</v>
      </c>
      <c r="H71" s="255">
        <v>0</v>
      </c>
      <c r="I71" s="255">
        <v>0</v>
      </c>
      <c r="J71" s="255">
        <v>0</v>
      </c>
      <c r="K71" s="255">
        <v>0</v>
      </c>
      <c r="L71" s="255">
        <v>0</v>
      </c>
      <c r="M71" s="255">
        <v>0</v>
      </c>
    </row>
    <row r="72" spans="1:14" s="204" customFormat="1" ht="31.5" x14ac:dyDescent="0.25">
      <c r="A72" s="202"/>
      <c r="B72" s="206" t="s">
        <v>755</v>
      </c>
      <c r="C72" s="216">
        <f t="shared" ref="C72:C76" si="7">F72</f>
        <v>1399.9</v>
      </c>
      <c r="D72" s="216">
        <v>0</v>
      </c>
      <c r="E72" s="216">
        <v>0</v>
      </c>
      <c r="F72" s="216">
        <f>F73+F74+F75</f>
        <v>1399.9</v>
      </c>
      <c r="G72" s="216">
        <f>J72</f>
        <v>1660.2</v>
      </c>
      <c r="H72" s="216">
        <v>0</v>
      </c>
      <c r="I72" s="216">
        <v>0</v>
      </c>
      <c r="J72" s="216">
        <v>1660.2</v>
      </c>
      <c r="K72" s="216">
        <v>0</v>
      </c>
      <c r="L72" s="216">
        <v>0</v>
      </c>
      <c r="M72" s="216">
        <v>0</v>
      </c>
    </row>
    <row r="73" spans="1:14" s="204" customFormat="1" ht="47.25" x14ac:dyDescent="0.25">
      <c r="A73" s="260">
        <v>1</v>
      </c>
      <c r="B73" s="259" t="s">
        <v>814</v>
      </c>
      <c r="C73" s="255">
        <f>F73</f>
        <v>200</v>
      </c>
      <c r="D73" s="255">
        <v>0</v>
      </c>
      <c r="E73" s="255">
        <v>0</v>
      </c>
      <c r="F73" s="255">
        <v>200</v>
      </c>
      <c r="G73" s="255">
        <v>0</v>
      </c>
      <c r="H73" s="255">
        <v>0</v>
      </c>
      <c r="I73" s="255">
        <v>0</v>
      </c>
      <c r="J73" s="255">
        <v>0</v>
      </c>
      <c r="K73" s="255">
        <v>0</v>
      </c>
      <c r="L73" s="255">
        <v>0</v>
      </c>
      <c r="M73" s="255">
        <v>0</v>
      </c>
    </row>
    <row r="74" spans="1:14" s="204" customFormat="1" ht="31.5" x14ac:dyDescent="0.25">
      <c r="A74" s="260">
        <v>2</v>
      </c>
      <c r="B74" s="259" t="s">
        <v>813</v>
      </c>
      <c r="C74" s="255">
        <f t="shared" si="7"/>
        <v>599.9</v>
      </c>
      <c r="D74" s="255">
        <v>0</v>
      </c>
      <c r="E74" s="255">
        <v>0</v>
      </c>
      <c r="F74" s="255">
        <v>599.9</v>
      </c>
      <c r="G74" s="255">
        <v>0</v>
      </c>
      <c r="H74" s="255">
        <v>0</v>
      </c>
      <c r="I74" s="255">
        <v>0</v>
      </c>
      <c r="J74" s="255">
        <v>0</v>
      </c>
      <c r="K74" s="255">
        <v>0</v>
      </c>
      <c r="L74" s="255">
        <v>0</v>
      </c>
      <c r="M74" s="255">
        <v>0</v>
      </c>
    </row>
    <row r="75" spans="1:14" s="204" customFormat="1" ht="15.75" x14ac:dyDescent="0.25">
      <c r="A75" s="260">
        <v>3</v>
      </c>
      <c r="B75" s="259" t="s">
        <v>891</v>
      </c>
      <c r="C75" s="255">
        <f t="shared" si="7"/>
        <v>600</v>
      </c>
      <c r="D75" s="255">
        <v>0</v>
      </c>
      <c r="E75" s="255">
        <v>0</v>
      </c>
      <c r="F75" s="255">
        <v>600</v>
      </c>
      <c r="G75" s="255">
        <v>0</v>
      </c>
      <c r="H75" s="255">
        <v>0</v>
      </c>
      <c r="I75" s="255">
        <v>0</v>
      </c>
      <c r="J75" s="255">
        <v>0</v>
      </c>
      <c r="K75" s="255">
        <v>0</v>
      </c>
      <c r="L75" s="255">
        <v>0</v>
      </c>
      <c r="M75" s="255">
        <v>0</v>
      </c>
      <c r="N75" s="258"/>
    </row>
    <row r="76" spans="1:14" s="204" customFormat="1" ht="31.5" x14ac:dyDescent="0.25">
      <c r="A76" s="260">
        <v>4</v>
      </c>
      <c r="B76" s="259" t="s">
        <v>812</v>
      </c>
      <c r="C76" s="255">
        <f t="shared" si="7"/>
        <v>0</v>
      </c>
      <c r="D76" s="255">
        <v>0</v>
      </c>
      <c r="E76" s="255">
        <v>0</v>
      </c>
      <c r="F76" s="255">
        <v>0</v>
      </c>
      <c r="G76" s="255">
        <f>J76</f>
        <v>1660.2</v>
      </c>
      <c r="H76" s="255">
        <v>0</v>
      </c>
      <c r="I76" s="255">
        <v>0</v>
      </c>
      <c r="J76" s="255">
        <v>1660.2</v>
      </c>
      <c r="K76" s="255">
        <v>0</v>
      </c>
      <c r="L76" s="255">
        <v>0</v>
      </c>
      <c r="M76" s="255">
        <v>0</v>
      </c>
      <c r="N76" s="258"/>
    </row>
    <row r="77" spans="1:14" s="201" customFormat="1" ht="31.5" x14ac:dyDescent="0.25">
      <c r="A77" s="199" t="s">
        <v>870</v>
      </c>
      <c r="B77" s="205" t="s">
        <v>746</v>
      </c>
      <c r="C77" s="215">
        <f>E77+F77</f>
        <v>22717.7</v>
      </c>
      <c r="D77" s="215">
        <v>0</v>
      </c>
      <c r="E77" s="215">
        <v>0</v>
      </c>
      <c r="F77" s="215">
        <f>F78</f>
        <v>22717.7</v>
      </c>
      <c r="G77" s="215">
        <f>I77+J77</f>
        <v>23096.2</v>
      </c>
      <c r="H77" s="215">
        <v>0</v>
      </c>
      <c r="I77" s="215">
        <v>0</v>
      </c>
      <c r="J77" s="215">
        <f>J78</f>
        <v>23096.2</v>
      </c>
      <c r="K77" s="215">
        <f t="shared" ref="K77:K82" si="8">L77+M77</f>
        <v>29296.799999999999</v>
      </c>
      <c r="L77" s="217">
        <v>0</v>
      </c>
      <c r="M77" s="215">
        <f>M78</f>
        <v>29296.799999999999</v>
      </c>
    </row>
    <row r="78" spans="1:14" s="204" customFormat="1" ht="64.5" customHeight="1" x14ac:dyDescent="0.25">
      <c r="A78" s="202"/>
      <c r="B78" s="212" t="s">
        <v>756</v>
      </c>
      <c r="C78" s="216">
        <f>E78+F78</f>
        <v>22717.7</v>
      </c>
      <c r="D78" s="216">
        <v>0</v>
      </c>
      <c r="E78" s="216">
        <v>0</v>
      </c>
      <c r="F78" s="216">
        <f>22207.9+509.8</f>
        <v>22717.7</v>
      </c>
      <c r="G78" s="216">
        <f>I78+J78</f>
        <v>23096.2</v>
      </c>
      <c r="H78" s="216">
        <v>0</v>
      </c>
      <c r="I78" s="216">
        <v>0</v>
      </c>
      <c r="J78" s="216">
        <v>23096.2</v>
      </c>
      <c r="K78" s="216">
        <f t="shared" si="8"/>
        <v>29296.799999999999</v>
      </c>
      <c r="L78" s="218">
        <v>0</v>
      </c>
      <c r="M78" s="216">
        <v>29296.799999999999</v>
      </c>
    </row>
    <row r="79" spans="1:14" s="201" customFormat="1" ht="31.5" x14ac:dyDescent="0.25">
      <c r="A79" s="199" t="s">
        <v>871</v>
      </c>
      <c r="B79" s="205" t="s">
        <v>513</v>
      </c>
      <c r="C79" s="215">
        <f>E79+F79+D79</f>
        <v>41864.770000000004</v>
      </c>
      <c r="D79" s="215">
        <f>D80</f>
        <v>39572.673840000003</v>
      </c>
      <c r="E79" s="215">
        <f>E80</f>
        <v>2082.7723099999998</v>
      </c>
      <c r="F79" s="215">
        <f>F80</f>
        <v>209.32384999999999</v>
      </c>
      <c r="G79" s="215">
        <f>I79+J79+H79</f>
        <v>50149.651750000005</v>
      </c>
      <c r="H79" s="215">
        <f>H80</f>
        <v>47403.956680000003</v>
      </c>
      <c r="I79" s="215">
        <f>I80</f>
        <v>2494.9450700000002</v>
      </c>
      <c r="J79" s="215">
        <f>J80</f>
        <v>250.75</v>
      </c>
      <c r="K79" s="215">
        <f t="shared" si="8"/>
        <v>0</v>
      </c>
      <c r="L79" s="217">
        <v>0</v>
      </c>
      <c r="M79" s="215">
        <f>M80</f>
        <v>0</v>
      </c>
    </row>
    <row r="80" spans="1:14" s="204" customFormat="1" ht="31.5" x14ac:dyDescent="0.25">
      <c r="A80" s="202"/>
      <c r="B80" s="212" t="s">
        <v>757</v>
      </c>
      <c r="C80" s="216">
        <f>E80+F80+D80</f>
        <v>41864.770000000004</v>
      </c>
      <c r="D80" s="216">
        <f>'[1]Приложение 2'!F218</f>
        <v>39572.673840000003</v>
      </c>
      <c r="E80" s="216">
        <f>'[1]Приложение 2'!F219</f>
        <v>2082.7723099999998</v>
      </c>
      <c r="F80" s="216">
        <f>'[1]Приложение 2'!F220</f>
        <v>209.32384999999999</v>
      </c>
      <c r="G80" s="216">
        <f>I80+J80+H80</f>
        <v>50149.651750000005</v>
      </c>
      <c r="H80" s="216">
        <f>'[1]Приложение 2'!G218</f>
        <v>47403.956680000003</v>
      </c>
      <c r="I80" s="216">
        <f>'[1]Приложение 2'!G219</f>
        <v>2494.9450700000002</v>
      </c>
      <c r="J80" s="216">
        <f>J82</f>
        <v>250.75</v>
      </c>
      <c r="K80" s="216">
        <f t="shared" si="8"/>
        <v>0</v>
      </c>
      <c r="L80" s="218">
        <v>0</v>
      </c>
      <c r="M80" s="216">
        <v>0</v>
      </c>
    </row>
    <row r="81" spans="1:13" s="204" customFormat="1" ht="15.75" x14ac:dyDescent="0.25">
      <c r="A81" s="202"/>
      <c r="B81" s="257" t="s">
        <v>811</v>
      </c>
      <c r="C81" s="255">
        <f>D81+E81+F81</f>
        <v>41864.770000000004</v>
      </c>
      <c r="D81" s="255">
        <v>39572.673840000003</v>
      </c>
      <c r="E81" s="255">
        <v>2082.7723099999998</v>
      </c>
      <c r="F81" s="255">
        <v>209.32384999999999</v>
      </c>
      <c r="G81" s="255">
        <v>0</v>
      </c>
      <c r="H81" s="255">
        <v>0</v>
      </c>
      <c r="I81" s="255">
        <v>0</v>
      </c>
      <c r="J81" s="255">
        <v>0</v>
      </c>
      <c r="K81" s="255">
        <f t="shared" si="8"/>
        <v>0</v>
      </c>
      <c r="L81" s="256">
        <v>0</v>
      </c>
      <c r="M81" s="255">
        <v>0</v>
      </c>
    </row>
    <row r="82" spans="1:13" s="204" customFormat="1" ht="31.5" x14ac:dyDescent="0.25">
      <c r="A82" s="202"/>
      <c r="B82" s="257" t="s">
        <v>810</v>
      </c>
      <c r="C82" s="255">
        <v>0</v>
      </c>
      <c r="D82" s="255">
        <v>0</v>
      </c>
      <c r="E82" s="255">
        <v>0</v>
      </c>
      <c r="F82" s="255">
        <v>0</v>
      </c>
      <c r="G82" s="255">
        <f>H82+I82+J82</f>
        <v>50149.651750000005</v>
      </c>
      <c r="H82" s="255">
        <v>47403.956680000003</v>
      </c>
      <c r="I82" s="255">
        <v>2494.9450700000002</v>
      </c>
      <c r="J82" s="255">
        <v>250.75</v>
      </c>
      <c r="K82" s="255">
        <f t="shared" si="8"/>
        <v>0</v>
      </c>
      <c r="L82" s="256">
        <v>0</v>
      </c>
      <c r="M82" s="255">
        <v>0</v>
      </c>
    </row>
    <row r="83" spans="1:13" s="198" customFormat="1" ht="47.25" x14ac:dyDescent="0.25">
      <c r="A83" s="196" t="s">
        <v>747</v>
      </c>
      <c r="B83" s="197" t="s">
        <v>748</v>
      </c>
      <c r="C83" s="214">
        <f>C84+C92</f>
        <v>5484.3124499999994</v>
      </c>
      <c r="D83" s="214">
        <v>0</v>
      </c>
      <c r="E83" s="214">
        <v>0</v>
      </c>
      <c r="F83" s="214">
        <f>F84+F92</f>
        <v>2803.1112499999999</v>
      </c>
      <c r="G83" s="214">
        <f>J83</f>
        <v>0</v>
      </c>
      <c r="H83" s="214">
        <v>0</v>
      </c>
      <c r="I83" s="214">
        <v>0</v>
      </c>
      <c r="J83" s="214">
        <f>J85</f>
        <v>0</v>
      </c>
      <c r="K83" s="214">
        <f>K85</f>
        <v>0</v>
      </c>
      <c r="L83" s="219">
        <v>0</v>
      </c>
      <c r="M83" s="214">
        <f>M85</f>
        <v>0</v>
      </c>
    </row>
    <row r="84" spans="1:13" s="204" customFormat="1" ht="31.5" x14ac:dyDescent="0.25">
      <c r="A84" s="199" t="s">
        <v>749</v>
      </c>
      <c r="B84" s="200" t="s">
        <v>551</v>
      </c>
      <c r="C84" s="220">
        <f>C85+C86</f>
        <v>4642.9124499999998</v>
      </c>
      <c r="D84" s="220">
        <f>D85+D86</f>
        <v>0</v>
      </c>
      <c r="E84" s="220">
        <f>E85+E86</f>
        <v>2681.2012</v>
      </c>
      <c r="F84" s="220">
        <f>F85+F86</f>
        <v>1961.7112499999998</v>
      </c>
      <c r="G84" s="220">
        <v>0</v>
      </c>
      <c r="H84" s="220">
        <v>0</v>
      </c>
      <c r="I84" s="220">
        <v>0</v>
      </c>
      <c r="J84" s="220">
        <v>0</v>
      </c>
      <c r="K84" s="220">
        <v>0</v>
      </c>
      <c r="L84" s="221">
        <v>0</v>
      </c>
      <c r="M84" s="220">
        <v>0</v>
      </c>
    </row>
    <row r="85" spans="1:13" ht="72.75" customHeight="1" x14ac:dyDescent="0.25">
      <c r="A85" s="207"/>
      <c r="B85" s="208" t="s">
        <v>761</v>
      </c>
      <c r="C85" s="222">
        <v>1663.8</v>
      </c>
      <c r="D85" s="222">
        <v>0</v>
      </c>
      <c r="E85" s="222">
        <v>0</v>
      </c>
      <c r="F85" s="222">
        <v>1663.8</v>
      </c>
      <c r="G85" s="222">
        <f>J85</f>
        <v>0</v>
      </c>
      <c r="H85" s="222">
        <v>0</v>
      </c>
      <c r="I85" s="222">
        <v>0</v>
      </c>
      <c r="J85" s="222">
        <v>0</v>
      </c>
      <c r="K85" s="222">
        <v>0</v>
      </c>
      <c r="L85" s="223">
        <v>0</v>
      </c>
      <c r="M85" s="224">
        <v>0</v>
      </c>
    </row>
    <row r="86" spans="1:13" ht="49.5" customHeight="1" x14ac:dyDescent="0.25">
      <c r="A86" s="207"/>
      <c r="B86" s="208" t="s">
        <v>809</v>
      </c>
      <c r="C86" s="222">
        <f>C87+C88+C89+C90+C91</f>
        <v>2979.1124500000001</v>
      </c>
      <c r="D86" s="222">
        <f>D87+D88+D89+D90+D91</f>
        <v>0</v>
      </c>
      <c r="E86" s="222">
        <f>E87+E88+E89+E90+E91</f>
        <v>2681.2012</v>
      </c>
      <c r="F86" s="222">
        <f>F87+F88+F89+F90+F91</f>
        <v>297.91125</v>
      </c>
      <c r="G86" s="222">
        <v>0</v>
      </c>
      <c r="H86" s="222">
        <v>0</v>
      </c>
      <c r="I86" s="222">
        <v>0</v>
      </c>
      <c r="J86" s="222">
        <v>0</v>
      </c>
      <c r="K86" s="222">
        <v>0</v>
      </c>
      <c r="L86" s="223">
        <v>0</v>
      </c>
      <c r="M86" s="224">
        <v>0</v>
      </c>
    </row>
    <row r="87" spans="1:13" ht="15.75" x14ac:dyDescent="0.25">
      <c r="A87" s="207"/>
      <c r="B87" s="254" t="s">
        <v>808</v>
      </c>
      <c r="C87" s="253">
        <f>D87+E87+F87</f>
        <v>595.82249000000002</v>
      </c>
      <c r="D87" s="253">
        <v>0</v>
      </c>
      <c r="E87" s="253">
        <v>536.24023999999997</v>
      </c>
      <c r="F87" s="253">
        <v>59.582250000000002</v>
      </c>
      <c r="G87" s="253">
        <v>0</v>
      </c>
      <c r="H87" s="253">
        <v>0</v>
      </c>
      <c r="I87" s="253">
        <v>0</v>
      </c>
      <c r="J87" s="253">
        <v>0</v>
      </c>
      <c r="K87" s="253">
        <v>0</v>
      </c>
      <c r="L87" s="252">
        <v>0</v>
      </c>
      <c r="M87" s="251">
        <v>0</v>
      </c>
    </row>
    <row r="88" spans="1:13" ht="33" customHeight="1" x14ac:dyDescent="0.25">
      <c r="A88" s="207"/>
      <c r="B88" s="254" t="s">
        <v>807</v>
      </c>
      <c r="C88" s="253">
        <f>D88+E88+F88</f>
        <v>595.82249000000002</v>
      </c>
      <c r="D88" s="253">
        <v>0</v>
      </c>
      <c r="E88" s="253">
        <v>536.24023999999997</v>
      </c>
      <c r="F88" s="253">
        <v>59.582250000000002</v>
      </c>
      <c r="G88" s="253">
        <v>0</v>
      </c>
      <c r="H88" s="253">
        <v>0</v>
      </c>
      <c r="I88" s="253">
        <v>0</v>
      </c>
      <c r="J88" s="253">
        <v>0</v>
      </c>
      <c r="K88" s="253">
        <v>0</v>
      </c>
      <c r="L88" s="252">
        <v>0</v>
      </c>
      <c r="M88" s="251">
        <v>0</v>
      </c>
    </row>
    <row r="89" spans="1:13" ht="15.75" x14ac:dyDescent="0.25">
      <c r="A89" s="207"/>
      <c r="B89" s="254" t="s">
        <v>806</v>
      </c>
      <c r="C89" s="253">
        <f>D89+E89+F89</f>
        <v>595.82249000000002</v>
      </c>
      <c r="D89" s="253">
        <v>0</v>
      </c>
      <c r="E89" s="253">
        <v>536.24023999999997</v>
      </c>
      <c r="F89" s="253">
        <v>59.582250000000002</v>
      </c>
      <c r="G89" s="253">
        <v>0</v>
      </c>
      <c r="H89" s="253">
        <v>0</v>
      </c>
      <c r="I89" s="253">
        <v>0</v>
      </c>
      <c r="J89" s="253">
        <v>0</v>
      </c>
      <c r="K89" s="253">
        <v>0</v>
      </c>
      <c r="L89" s="252">
        <v>0</v>
      </c>
      <c r="M89" s="251">
        <v>0</v>
      </c>
    </row>
    <row r="90" spans="1:13" ht="32.25" customHeight="1" x14ac:dyDescent="0.25">
      <c r="A90" s="207"/>
      <c r="B90" s="254" t="s">
        <v>805</v>
      </c>
      <c r="C90" s="253">
        <f>D90+E90+F90</f>
        <v>595.82249000000002</v>
      </c>
      <c r="D90" s="253">
        <v>0</v>
      </c>
      <c r="E90" s="253">
        <v>536.24023999999997</v>
      </c>
      <c r="F90" s="253">
        <v>59.582250000000002</v>
      </c>
      <c r="G90" s="253">
        <v>0</v>
      </c>
      <c r="H90" s="253">
        <v>0</v>
      </c>
      <c r="I90" s="253">
        <v>0</v>
      </c>
      <c r="J90" s="253">
        <v>0</v>
      </c>
      <c r="K90" s="253">
        <v>0</v>
      </c>
      <c r="L90" s="252">
        <v>0</v>
      </c>
      <c r="M90" s="251">
        <v>0</v>
      </c>
    </row>
    <row r="91" spans="1:13" ht="30.75" customHeight="1" x14ac:dyDescent="0.25">
      <c r="A91" s="207"/>
      <c r="B91" s="254" t="s">
        <v>804</v>
      </c>
      <c r="C91" s="253">
        <f>D91+E91+F91</f>
        <v>595.82249000000002</v>
      </c>
      <c r="D91" s="253">
        <v>0</v>
      </c>
      <c r="E91" s="253">
        <v>536.24023999999997</v>
      </c>
      <c r="F91" s="253">
        <v>59.582250000000002</v>
      </c>
      <c r="G91" s="253">
        <v>0</v>
      </c>
      <c r="H91" s="253">
        <v>0</v>
      </c>
      <c r="I91" s="253">
        <v>0</v>
      </c>
      <c r="J91" s="253">
        <v>0</v>
      </c>
      <c r="K91" s="253">
        <v>0</v>
      </c>
      <c r="L91" s="252">
        <v>0</v>
      </c>
      <c r="M91" s="251">
        <v>0</v>
      </c>
    </row>
    <row r="92" spans="1:13" s="204" customFormat="1" ht="47.25" x14ac:dyDescent="0.25">
      <c r="A92" s="199" t="s">
        <v>759</v>
      </c>
      <c r="B92" s="200" t="s">
        <v>497</v>
      </c>
      <c r="C92" s="220">
        <f>C93+C94</f>
        <v>841.4</v>
      </c>
      <c r="D92" s="220">
        <v>0</v>
      </c>
      <c r="E92" s="220">
        <v>0</v>
      </c>
      <c r="F92" s="220">
        <f>F93+F94</f>
        <v>841.4</v>
      </c>
      <c r="G92" s="220">
        <v>0</v>
      </c>
      <c r="H92" s="220">
        <v>0</v>
      </c>
      <c r="I92" s="220">
        <v>0</v>
      </c>
      <c r="J92" s="220">
        <v>0</v>
      </c>
      <c r="K92" s="220">
        <v>0</v>
      </c>
      <c r="L92" s="221">
        <v>0</v>
      </c>
      <c r="M92" s="220">
        <v>0</v>
      </c>
    </row>
    <row r="93" spans="1:13" ht="31.5" x14ac:dyDescent="0.25">
      <c r="A93" s="207"/>
      <c r="B93" s="208" t="s">
        <v>760</v>
      </c>
      <c r="C93" s="222">
        <f>F93</f>
        <v>361.7</v>
      </c>
      <c r="D93" s="222">
        <v>0</v>
      </c>
      <c r="E93" s="222">
        <v>0</v>
      </c>
      <c r="F93" s="222">
        <v>361.7</v>
      </c>
      <c r="G93" s="222">
        <f>J93</f>
        <v>0</v>
      </c>
      <c r="H93" s="222">
        <v>0</v>
      </c>
      <c r="I93" s="222">
        <v>0</v>
      </c>
      <c r="J93" s="222">
        <v>0</v>
      </c>
      <c r="K93" s="222">
        <v>0</v>
      </c>
      <c r="L93" s="223">
        <v>0</v>
      </c>
      <c r="M93" s="224">
        <v>0</v>
      </c>
    </row>
    <row r="94" spans="1:13" ht="47.25" x14ac:dyDescent="0.25">
      <c r="A94" s="207"/>
      <c r="B94" s="208" t="s">
        <v>762</v>
      </c>
      <c r="C94" s="222">
        <f>F94</f>
        <v>479.7</v>
      </c>
      <c r="D94" s="222">
        <v>0</v>
      </c>
      <c r="E94" s="222">
        <v>0</v>
      </c>
      <c r="F94" s="222">
        <v>479.7</v>
      </c>
      <c r="G94" s="222">
        <f>J94</f>
        <v>0</v>
      </c>
      <c r="H94" s="222">
        <v>0</v>
      </c>
      <c r="I94" s="222">
        <v>0</v>
      </c>
      <c r="J94" s="222">
        <v>0</v>
      </c>
      <c r="K94" s="222">
        <v>0</v>
      </c>
      <c r="L94" s="223">
        <v>0</v>
      </c>
      <c r="M94" s="224">
        <v>0</v>
      </c>
    </row>
    <row r="95" spans="1:13" ht="15.75" x14ac:dyDescent="0.25">
      <c r="A95" s="209"/>
      <c r="B95" s="210"/>
      <c r="C95" s="211"/>
      <c r="D95" s="211"/>
      <c r="E95" s="211"/>
      <c r="F95" s="211"/>
      <c r="G95" s="211"/>
      <c r="H95" s="211"/>
      <c r="I95" s="211"/>
      <c r="J95" s="211"/>
      <c r="K95" s="211"/>
      <c r="L95" s="211"/>
      <c r="M95" s="211"/>
    </row>
    <row r="96" spans="1:13" ht="16.5" x14ac:dyDescent="0.25">
      <c r="B96" s="280"/>
      <c r="D96" s="281"/>
    </row>
    <row r="97" spans="2:2" ht="15.75" x14ac:dyDescent="0.25">
      <c r="B97" s="284"/>
    </row>
  </sheetData>
  <mergeCells count="26">
    <mergeCell ref="A7:M7"/>
    <mergeCell ref="K1:M1"/>
    <mergeCell ref="K2:M2"/>
    <mergeCell ref="K3:M3"/>
    <mergeCell ref="K4:M4"/>
    <mergeCell ref="K5:M5"/>
    <mergeCell ref="A30:A33"/>
    <mergeCell ref="B30:B33"/>
    <mergeCell ref="C30:M31"/>
    <mergeCell ref="C32:C33"/>
    <mergeCell ref="G32:G33"/>
    <mergeCell ref="K32:K33"/>
    <mergeCell ref="D32:F32"/>
    <mergeCell ref="H32:J32"/>
    <mergeCell ref="L32:M32"/>
    <mergeCell ref="A12:M12"/>
    <mergeCell ref="A28:M28"/>
    <mergeCell ref="C14:M15"/>
    <mergeCell ref="H16:J16"/>
    <mergeCell ref="D16:F16"/>
    <mergeCell ref="A14:A17"/>
    <mergeCell ref="B14:B17"/>
    <mergeCell ref="C16:C17"/>
    <mergeCell ref="G16:G17"/>
    <mergeCell ref="K16:K17"/>
    <mergeCell ref="L16:M16"/>
  </mergeCells>
  <pageMargins left="0.70866141732283472" right="0.70866141732283472" top="1.1417322834645669" bottom="0.35433070866141736" header="0.31496062992125984" footer="0.31496062992125984"/>
  <pageSetup paperSize="9" scale="53" orientation="landscape" r:id="rId1"/>
  <rowBreaks count="1" manualBreakCount="1">
    <brk id="42" max="12" man="1"/>
  </rowBreaks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view="pageBreakPreview" zoomScale="60" workbookViewId="0">
      <selection activeCell="C4" sqref="C4:E4"/>
    </sheetView>
  </sheetViews>
  <sheetFormatPr defaultRowHeight="15" x14ac:dyDescent="0.25"/>
  <cols>
    <col min="1" max="1" width="25" customWidth="1"/>
    <col min="2" max="2" width="39" customWidth="1"/>
    <col min="3" max="3" width="18.28515625" customWidth="1"/>
    <col min="4" max="5" width="16.28515625" customWidth="1"/>
  </cols>
  <sheetData>
    <row r="1" spans="1:5" ht="15.75" x14ac:dyDescent="0.25">
      <c r="A1" s="180"/>
      <c r="B1" s="180"/>
      <c r="C1" s="309" t="s">
        <v>719</v>
      </c>
      <c r="D1" s="309"/>
      <c r="E1" s="309"/>
    </row>
    <row r="2" spans="1:5" ht="15.75" x14ac:dyDescent="0.25">
      <c r="A2" s="180"/>
      <c r="B2" s="184"/>
      <c r="C2" s="328" t="s">
        <v>474</v>
      </c>
      <c r="D2" s="328"/>
      <c r="E2" s="328"/>
    </row>
    <row r="3" spans="1:5" ht="15.75" x14ac:dyDescent="0.25">
      <c r="A3" s="180"/>
      <c r="B3" s="183"/>
      <c r="C3" s="309" t="s">
        <v>718</v>
      </c>
      <c r="D3" s="309"/>
      <c r="E3" s="309"/>
    </row>
    <row r="4" spans="1:5" ht="15.75" x14ac:dyDescent="0.25">
      <c r="A4" s="180"/>
      <c r="B4" s="182"/>
      <c r="C4" s="309" t="s">
        <v>920</v>
      </c>
      <c r="D4" s="309"/>
      <c r="E4" s="309"/>
    </row>
    <row r="5" spans="1:5" ht="15.75" x14ac:dyDescent="0.25">
      <c r="A5" s="180"/>
      <c r="B5" s="182"/>
      <c r="C5" s="181"/>
      <c r="D5" s="181"/>
      <c r="E5" s="181"/>
    </row>
    <row r="6" spans="1:5" ht="46.9" customHeight="1" x14ac:dyDescent="0.25">
      <c r="A6" s="329" t="s">
        <v>720</v>
      </c>
      <c r="B6" s="329"/>
      <c r="C6" s="329"/>
      <c r="D6" s="329"/>
      <c r="E6" s="329"/>
    </row>
    <row r="7" spans="1:5" x14ac:dyDescent="0.25">
      <c r="A7" s="180"/>
      <c r="B7" s="327" t="s">
        <v>717</v>
      </c>
      <c r="C7" s="327"/>
      <c r="D7" s="327"/>
      <c r="E7" s="327"/>
    </row>
    <row r="8" spans="1:5" ht="71.25" x14ac:dyDescent="0.25">
      <c r="A8" s="179" t="s">
        <v>716</v>
      </c>
      <c r="B8" s="179" t="s">
        <v>715</v>
      </c>
      <c r="C8" s="179" t="s">
        <v>3</v>
      </c>
      <c r="D8" s="179" t="s">
        <v>4</v>
      </c>
      <c r="E8" s="179" t="s">
        <v>496</v>
      </c>
    </row>
    <row r="9" spans="1:5" hidden="1" x14ac:dyDescent="0.25">
      <c r="A9" s="175"/>
      <c r="B9" s="175"/>
      <c r="C9" s="175"/>
      <c r="D9" s="175"/>
      <c r="E9" s="175"/>
    </row>
    <row r="10" spans="1:5" ht="45" x14ac:dyDescent="0.25">
      <c r="A10" s="178" t="s">
        <v>714</v>
      </c>
      <c r="B10" s="177" t="s">
        <v>713</v>
      </c>
      <c r="C10" s="176">
        <f>C11</f>
        <v>18597.168130000005</v>
      </c>
      <c r="D10" s="176">
        <f>D11</f>
        <v>-1.1641532182693481E-10</v>
      </c>
      <c r="E10" s="176">
        <f>E11</f>
        <v>-1.1641532182693481E-10</v>
      </c>
    </row>
    <row r="11" spans="1:5" ht="30" x14ac:dyDescent="0.25">
      <c r="A11" s="178" t="s">
        <v>712</v>
      </c>
      <c r="B11" s="177" t="s">
        <v>711</v>
      </c>
      <c r="C11" s="176">
        <f>(C15+C16)</f>
        <v>18597.168130000005</v>
      </c>
      <c r="D11" s="176">
        <f>(D15+D16)</f>
        <v>-1.1641532182693481E-10</v>
      </c>
      <c r="E11" s="176">
        <f>(E15+E16)</f>
        <v>-1.1641532182693481E-10</v>
      </c>
    </row>
    <row r="12" spans="1:5" x14ac:dyDescent="0.25">
      <c r="A12" s="175" t="s">
        <v>710</v>
      </c>
      <c r="B12" s="174" t="s">
        <v>709</v>
      </c>
      <c r="C12" s="173">
        <f t="shared" ref="C12:E14" si="0">C13</f>
        <v>-1017647.2766700001</v>
      </c>
      <c r="D12" s="173">
        <f t="shared" si="0"/>
        <v>-940724.18276</v>
      </c>
      <c r="E12" s="173">
        <f t="shared" si="0"/>
        <v>-863109.92134</v>
      </c>
    </row>
    <row r="13" spans="1:5" ht="30" x14ac:dyDescent="0.25">
      <c r="A13" s="175" t="s">
        <v>708</v>
      </c>
      <c r="B13" s="174" t="s">
        <v>707</v>
      </c>
      <c r="C13" s="173">
        <f t="shared" si="0"/>
        <v>-1017647.2766700001</v>
      </c>
      <c r="D13" s="173">
        <f t="shared" si="0"/>
        <v>-940724.18276</v>
      </c>
      <c r="E13" s="173">
        <f t="shared" si="0"/>
        <v>-863109.92134</v>
      </c>
    </row>
    <row r="14" spans="1:5" ht="30" x14ac:dyDescent="0.25">
      <c r="A14" s="175" t="s">
        <v>706</v>
      </c>
      <c r="B14" s="174" t="s">
        <v>705</v>
      </c>
      <c r="C14" s="173">
        <f t="shared" si="0"/>
        <v>-1017647.2766700001</v>
      </c>
      <c r="D14" s="173">
        <f t="shared" si="0"/>
        <v>-940724.18276</v>
      </c>
      <c r="E14" s="173">
        <f t="shared" si="0"/>
        <v>-863109.92134</v>
      </c>
    </row>
    <row r="15" spans="1:5" ht="45" x14ac:dyDescent="0.25">
      <c r="A15" s="175" t="s">
        <v>704</v>
      </c>
      <c r="B15" s="174" t="s">
        <v>703</v>
      </c>
      <c r="C15" s="173">
        <v>-1017647.2766700001</v>
      </c>
      <c r="D15" s="173">
        <v>-940724.18276</v>
      </c>
      <c r="E15" s="173">
        <v>-863109.92134</v>
      </c>
    </row>
    <row r="16" spans="1:5" ht="30" x14ac:dyDescent="0.25">
      <c r="A16" s="175" t="s">
        <v>702</v>
      </c>
      <c r="B16" s="174" t="s">
        <v>701</v>
      </c>
      <c r="C16" s="173">
        <f>C17</f>
        <v>1036244.4448000001</v>
      </c>
      <c r="D16" s="173">
        <f>D19</f>
        <v>940724.18275999988</v>
      </c>
      <c r="E16" s="173">
        <f>E19</f>
        <v>863109.92133999988</v>
      </c>
    </row>
    <row r="17" spans="1:5" ht="30" x14ac:dyDescent="0.25">
      <c r="A17" s="175" t="s">
        <v>700</v>
      </c>
      <c r="B17" s="174" t="s">
        <v>699</v>
      </c>
      <c r="C17" s="173">
        <f>C18</f>
        <v>1036244.4448000001</v>
      </c>
      <c r="D17" s="173">
        <f>D19</f>
        <v>940724.18275999988</v>
      </c>
      <c r="E17" s="173">
        <f>E19</f>
        <v>863109.92133999988</v>
      </c>
    </row>
    <row r="18" spans="1:5" ht="30" x14ac:dyDescent="0.25">
      <c r="A18" s="175" t="s">
        <v>698</v>
      </c>
      <c r="B18" s="174" t="s">
        <v>697</v>
      </c>
      <c r="C18" s="173">
        <f>C19</f>
        <v>1036244.4448000001</v>
      </c>
      <c r="D18" s="173">
        <f>D19</f>
        <v>940724.18275999988</v>
      </c>
      <c r="E18" s="173">
        <f>E19</f>
        <v>863109.92133999988</v>
      </c>
    </row>
    <row r="19" spans="1:5" ht="45" x14ac:dyDescent="0.25">
      <c r="A19" s="175" t="s">
        <v>696</v>
      </c>
      <c r="B19" s="174" t="s">
        <v>695</v>
      </c>
      <c r="C19" s="173">
        <f>'Приложение 1'!F567</f>
        <v>1036244.4448000001</v>
      </c>
      <c r="D19" s="173">
        <f>'Приложение 1'!I567+2906.74425</f>
        <v>940724.18275999988</v>
      </c>
      <c r="E19" s="173">
        <f>'Приложение 1'!L567+2601.20608</f>
        <v>863109.92133999988</v>
      </c>
    </row>
    <row r="20" spans="1:5" x14ac:dyDescent="0.25">
      <c r="A20" s="172"/>
      <c r="B20" s="171" t="s">
        <v>694</v>
      </c>
      <c r="C20" s="170">
        <f>C10</f>
        <v>18597.168130000005</v>
      </c>
      <c r="D20" s="170">
        <f>D10</f>
        <v>-1.1641532182693481E-10</v>
      </c>
      <c r="E20" s="170">
        <f>E10</f>
        <v>-1.1641532182693481E-10</v>
      </c>
    </row>
    <row r="22" spans="1:5" x14ac:dyDescent="0.25">
      <c r="C22" s="169"/>
    </row>
  </sheetData>
  <mergeCells count="6">
    <mergeCell ref="B7:E7"/>
    <mergeCell ref="C1:E1"/>
    <mergeCell ref="C2:E2"/>
    <mergeCell ref="C3:E3"/>
    <mergeCell ref="C4:E4"/>
    <mergeCell ref="A6:E6"/>
  </mergeCells>
  <pageMargins left="1.1023622047244095" right="0.51181102362204722" top="0.74803149606299213" bottom="0.74803149606299213" header="0.31496062992125984" footer="0.31496062992125984"/>
  <pageSetup paperSize="9"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19" workbookViewId="0">
      <selection activeCell="C29" sqref="C29"/>
    </sheetView>
  </sheetViews>
  <sheetFormatPr defaultRowHeight="15" x14ac:dyDescent="0.25"/>
  <cols>
    <col min="1" max="1" width="13.85546875" customWidth="1"/>
    <col min="3" max="3" width="48.5703125" customWidth="1"/>
    <col min="4" max="4" width="15.140625" customWidth="1"/>
    <col min="5" max="5" width="12" customWidth="1"/>
    <col min="6" max="6" width="13.28515625" customWidth="1"/>
  </cols>
  <sheetData>
    <row r="1" spans="1:6" x14ac:dyDescent="0.25">
      <c r="A1" s="286" t="s">
        <v>889</v>
      </c>
      <c r="B1" s="286"/>
      <c r="C1" s="3" t="s">
        <v>890</v>
      </c>
      <c r="D1" s="287">
        <v>2024</v>
      </c>
      <c r="E1" s="287">
        <v>2025</v>
      </c>
      <c r="F1" s="287">
        <v>2026</v>
      </c>
    </row>
    <row r="2" spans="1:6" ht="39" x14ac:dyDescent="0.25">
      <c r="A2" s="6" t="s">
        <v>26</v>
      </c>
      <c r="B2" s="6" t="s">
        <v>398</v>
      </c>
      <c r="C2" s="3" t="s">
        <v>27</v>
      </c>
      <c r="D2" s="291">
        <v>744.7</v>
      </c>
      <c r="E2" s="291"/>
      <c r="F2" s="292"/>
    </row>
    <row r="3" spans="1:6" ht="26.25" x14ac:dyDescent="0.25">
      <c r="A3" s="90" t="s">
        <v>69</v>
      </c>
      <c r="B3" s="6"/>
      <c r="C3" s="298" t="s">
        <v>88</v>
      </c>
      <c r="D3" s="304">
        <v>-131.35</v>
      </c>
      <c r="E3" s="291"/>
      <c r="F3" s="292"/>
    </row>
    <row r="4" spans="1:6" ht="39" x14ac:dyDescent="0.25">
      <c r="A4" s="90" t="s">
        <v>71</v>
      </c>
      <c r="B4" s="6"/>
      <c r="C4" s="298" t="s">
        <v>72</v>
      </c>
      <c r="D4" s="304">
        <v>-5.0047300000000003</v>
      </c>
      <c r="E4" s="291"/>
      <c r="F4" s="292"/>
    </row>
    <row r="5" spans="1:6" ht="26.25" x14ac:dyDescent="0.25">
      <c r="A5" s="90" t="s">
        <v>87</v>
      </c>
      <c r="B5" s="90"/>
      <c r="C5" s="298" t="s">
        <v>88</v>
      </c>
      <c r="D5" s="304">
        <v>-235.4</v>
      </c>
      <c r="E5" s="304"/>
      <c r="F5" s="303"/>
    </row>
    <row r="6" spans="1:6" ht="39" x14ac:dyDescent="0.25">
      <c r="A6" s="90" t="s">
        <v>92</v>
      </c>
      <c r="B6" s="90"/>
      <c r="C6" s="298" t="s">
        <v>93</v>
      </c>
      <c r="D6" s="304">
        <v>-85.7</v>
      </c>
      <c r="E6" s="304"/>
      <c r="F6" s="303"/>
    </row>
    <row r="7" spans="1:6" ht="39" x14ac:dyDescent="0.25">
      <c r="A7" s="68" t="s">
        <v>903</v>
      </c>
      <c r="B7" s="287"/>
      <c r="C7" s="13" t="s">
        <v>902</v>
      </c>
      <c r="D7" s="73">
        <v>260.39999999999998</v>
      </c>
      <c r="E7" s="73"/>
      <c r="F7" s="292"/>
    </row>
    <row r="8" spans="1:6" ht="64.5" x14ac:dyDescent="0.25">
      <c r="A8" s="299" t="s">
        <v>803</v>
      </c>
      <c r="B8" s="300"/>
      <c r="C8" s="301" t="s">
        <v>918</v>
      </c>
      <c r="D8" s="302">
        <v>457.45472999999998</v>
      </c>
      <c r="E8" s="302"/>
      <c r="F8" s="303"/>
    </row>
    <row r="9" spans="1:6" ht="26.25" x14ac:dyDescent="0.25">
      <c r="A9" s="22" t="s">
        <v>539</v>
      </c>
      <c r="B9" s="6"/>
      <c r="C9" s="3" t="s">
        <v>540</v>
      </c>
      <c r="D9" s="80">
        <v>-3880.9</v>
      </c>
      <c r="E9" s="291">
        <v>4643.2</v>
      </c>
      <c r="F9" s="292"/>
    </row>
    <row r="10" spans="1:6" ht="26.25" x14ac:dyDescent="0.25">
      <c r="A10" s="22" t="s">
        <v>216</v>
      </c>
      <c r="B10" s="6"/>
      <c r="C10" s="3" t="s">
        <v>436</v>
      </c>
      <c r="D10" s="80">
        <v>1045.2</v>
      </c>
      <c r="E10" s="291"/>
      <c r="F10" s="292"/>
    </row>
    <row r="11" spans="1:6" ht="26.25" x14ac:dyDescent="0.25">
      <c r="A11" s="22" t="s">
        <v>219</v>
      </c>
      <c r="B11" s="6"/>
      <c r="C11" s="3" t="s">
        <v>437</v>
      </c>
      <c r="D11" s="80">
        <v>2698.9</v>
      </c>
      <c r="E11" s="291"/>
      <c r="F11" s="292"/>
    </row>
    <row r="12" spans="1:6" ht="26.25" x14ac:dyDescent="0.25">
      <c r="A12" s="22" t="s">
        <v>224</v>
      </c>
      <c r="B12" s="6"/>
      <c r="C12" s="3" t="s">
        <v>438</v>
      </c>
      <c r="D12" s="80">
        <v>190.9</v>
      </c>
      <c r="E12" s="291"/>
      <c r="F12" s="292"/>
    </row>
    <row r="13" spans="1:6" ht="77.25" x14ac:dyDescent="0.25">
      <c r="A13" s="6" t="s">
        <v>900</v>
      </c>
      <c r="B13" s="22"/>
      <c r="C13" s="54" t="s">
        <v>901</v>
      </c>
      <c r="D13" s="291"/>
      <c r="E13" s="291">
        <v>2600</v>
      </c>
      <c r="F13" s="292"/>
    </row>
    <row r="14" spans="1:6" x14ac:dyDescent="0.25">
      <c r="A14" s="6" t="s">
        <v>509</v>
      </c>
      <c r="B14" s="6"/>
      <c r="C14" s="21" t="s">
        <v>685</v>
      </c>
      <c r="D14" s="291">
        <v>-30</v>
      </c>
      <c r="E14" s="291"/>
      <c r="F14" s="292"/>
    </row>
    <row r="15" spans="1:6" ht="39" x14ac:dyDescent="0.25">
      <c r="A15" s="6" t="s">
        <v>296</v>
      </c>
      <c r="B15" s="6"/>
      <c r="C15" s="54" t="s">
        <v>297</v>
      </c>
      <c r="D15" s="291"/>
      <c r="E15" s="291">
        <v>1.91123</v>
      </c>
      <c r="F15" s="292">
        <v>2074.99892</v>
      </c>
    </row>
    <row r="16" spans="1:6" x14ac:dyDescent="0.25">
      <c r="A16" s="6" t="s">
        <v>892</v>
      </c>
      <c r="B16" s="12"/>
      <c r="C16" s="3" t="s">
        <v>886</v>
      </c>
      <c r="D16" s="291"/>
      <c r="E16" s="291">
        <v>627.34082000000001</v>
      </c>
      <c r="F16" s="292"/>
    </row>
    <row r="17" spans="1:6" ht="25.5" x14ac:dyDescent="0.25">
      <c r="A17" s="22" t="s">
        <v>896</v>
      </c>
      <c r="B17" s="16"/>
      <c r="C17" s="1" t="s">
        <v>897</v>
      </c>
      <c r="D17" s="291">
        <v>126.3</v>
      </c>
      <c r="E17" s="291"/>
      <c r="F17" s="292"/>
    </row>
    <row r="18" spans="1:6" x14ac:dyDescent="0.25">
      <c r="A18" s="22" t="s">
        <v>309</v>
      </c>
      <c r="B18" s="16"/>
      <c r="C18" s="1" t="s">
        <v>546</v>
      </c>
      <c r="D18" s="291">
        <v>-32.243760000000002</v>
      </c>
      <c r="E18" s="291"/>
      <c r="F18" s="292"/>
    </row>
    <row r="19" spans="1:6" ht="25.5" x14ac:dyDescent="0.25">
      <c r="A19" s="22" t="s">
        <v>899</v>
      </c>
      <c r="B19" s="16"/>
      <c r="C19" s="1" t="s">
        <v>898</v>
      </c>
      <c r="D19" s="291">
        <v>32.243760000000002</v>
      </c>
      <c r="E19" s="291"/>
      <c r="F19" s="292"/>
    </row>
    <row r="20" spans="1:6" ht="25.5" x14ac:dyDescent="0.25">
      <c r="A20" s="22" t="s">
        <v>550</v>
      </c>
      <c r="B20" s="16"/>
      <c r="C20" s="1" t="s">
        <v>673</v>
      </c>
      <c r="D20" s="291">
        <v>1522.78838</v>
      </c>
      <c r="E20" s="291"/>
      <c r="F20" s="292"/>
    </row>
    <row r="21" spans="1:6" ht="38.25" x14ac:dyDescent="0.25">
      <c r="A21" s="22" t="s">
        <v>459</v>
      </c>
      <c r="B21" s="16"/>
      <c r="C21" s="1" t="s">
        <v>323</v>
      </c>
      <c r="D21" s="291">
        <v>425.4</v>
      </c>
      <c r="E21" s="291"/>
      <c r="F21" s="292"/>
    </row>
    <row r="22" spans="1:6" ht="63.75" x14ac:dyDescent="0.25">
      <c r="A22" s="6" t="s">
        <v>917</v>
      </c>
      <c r="B22" s="16"/>
      <c r="C22" s="1" t="s">
        <v>503</v>
      </c>
      <c r="D22" s="291"/>
      <c r="E22" s="80">
        <v>833.13653999999997</v>
      </c>
      <c r="F22" s="292"/>
    </row>
    <row r="23" spans="1:6" ht="25.5" x14ac:dyDescent="0.25">
      <c r="A23" s="22" t="s">
        <v>865</v>
      </c>
      <c r="B23" s="16"/>
      <c r="C23" s="1" t="s">
        <v>907</v>
      </c>
      <c r="D23" s="291">
        <v>339.2</v>
      </c>
      <c r="E23" s="291"/>
      <c r="F23" s="292"/>
    </row>
    <row r="24" spans="1:6" ht="38.25" x14ac:dyDescent="0.25">
      <c r="A24" s="22" t="s">
        <v>340</v>
      </c>
      <c r="B24" s="16"/>
      <c r="C24" s="1" t="s">
        <v>688</v>
      </c>
      <c r="D24" s="291">
        <v>509.8</v>
      </c>
      <c r="E24" s="291"/>
      <c r="F24" s="292"/>
    </row>
    <row r="25" spans="1:6" ht="51" x14ac:dyDescent="0.25">
      <c r="A25" s="22" t="s">
        <v>345</v>
      </c>
      <c r="B25" s="16"/>
      <c r="C25" s="1" t="s">
        <v>552</v>
      </c>
      <c r="D25" s="291">
        <v>439.9</v>
      </c>
      <c r="E25" s="291">
        <v>660.7</v>
      </c>
      <c r="F25" s="292"/>
    </row>
    <row r="26" spans="1:6" ht="51" x14ac:dyDescent="0.25">
      <c r="A26" s="22" t="s">
        <v>468</v>
      </c>
      <c r="B26" s="16"/>
      <c r="C26" s="1" t="s">
        <v>378</v>
      </c>
      <c r="D26" s="291"/>
      <c r="E26" s="291">
        <v>-11217.055329999999</v>
      </c>
      <c r="F26" s="292">
        <v>1632.7214799999999</v>
      </c>
    </row>
    <row r="27" spans="1:6" ht="25.5" x14ac:dyDescent="0.25">
      <c r="A27" s="22" t="s">
        <v>403</v>
      </c>
      <c r="B27" s="16"/>
      <c r="C27" s="1" t="s">
        <v>404</v>
      </c>
      <c r="D27" s="291">
        <v>-83.5</v>
      </c>
      <c r="E27" s="291"/>
      <c r="F27" s="292"/>
    </row>
    <row r="28" spans="1:6" ht="25.5" x14ac:dyDescent="0.25">
      <c r="A28" s="22" t="s">
        <v>407</v>
      </c>
      <c r="B28" s="16"/>
      <c r="C28" s="1" t="s">
        <v>797</v>
      </c>
      <c r="D28" s="291">
        <v>156.80000000000001</v>
      </c>
      <c r="E28" s="291"/>
      <c r="F28" s="292"/>
    </row>
    <row r="29" spans="1:6" ht="38.25" x14ac:dyDescent="0.25">
      <c r="A29" s="22" t="s">
        <v>413</v>
      </c>
      <c r="B29" s="16"/>
      <c r="C29" s="1" t="s">
        <v>919</v>
      </c>
      <c r="D29" s="291">
        <f>103.1+1810.5+67.2</f>
        <v>1980.8</v>
      </c>
      <c r="E29" s="291"/>
      <c r="F29" s="292"/>
    </row>
    <row r="30" spans="1:6" ht="25.5" x14ac:dyDescent="0.25">
      <c r="A30" s="22" t="s">
        <v>421</v>
      </c>
      <c r="B30" s="16"/>
      <c r="C30" s="1" t="s">
        <v>422</v>
      </c>
      <c r="D30" s="291">
        <v>86.6</v>
      </c>
      <c r="E30" s="291"/>
      <c r="F30" s="292"/>
    </row>
    <row r="31" spans="1:6" ht="25.5" x14ac:dyDescent="0.25">
      <c r="A31" s="22" t="s">
        <v>427</v>
      </c>
      <c r="B31" s="16"/>
      <c r="C31" s="1" t="s">
        <v>428</v>
      </c>
      <c r="D31" s="291">
        <v>45</v>
      </c>
      <c r="E31" s="291"/>
      <c r="F31" s="292"/>
    </row>
    <row r="32" spans="1:6" x14ac:dyDescent="0.25">
      <c r="A32" s="22"/>
      <c r="B32" s="16"/>
      <c r="C32" s="1" t="s">
        <v>908</v>
      </c>
      <c r="D32" s="291">
        <f>2366.2-281.4+61.47</f>
        <v>2146.2699999999995</v>
      </c>
      <c r="E32" s="291"/>
      <c r="F32" s="292"/>
    </row>
    <row r="33" spans="1:6" x14ac:dyDescent="0.25">
      <c r="A33" s="6" t="s">
        <v>723</v>
      </c>
      <c r="B33" s="287"/>
      <c r="C33" s="287"/>
      <c r="D33" s="290">
        <f>SUM(D2:D32)</f>
        <v>8724.5583800000004</v>
      </c>
      <c r="E33" s="290">
        <f t="shared" ref="E33:F33" si="0">SUM(E2:E32)</f>
        <v>-1850.7667399999991</v>
      </c>
      <c r="F33" s="290">
        <f t="shared" si="0"/>
        <v>3707.7204000000002</v>
      </c>
    </row>
    <row r="35" spans="1:6" x14ac:dyDescent="0.25">
      <c r="C35" t="s">
        <v>904</v>
      </c>
      <c r="D35">
        <f>4258.2+3935</f>
        <v>8193.2000000000007</v>
      </c>
    </row>
    <row r="36" spans="1:6" x14ac:dyDescent="0.25">
      <c r="C36" t="s">
        <v>906</v>
      </c>
      <c r="D36">
        <f>12531.77267-12067.56487</f>
        <v>464.20780000000013</v>
      </c>
    </row>
    <row r="37" spans="1:6" x14ac:dyDescent="0.25">
      <c r="D37" s="289">
        <f>D35-D33+D36</f>
        <v>-67.150579999999536</v>
      </c>
    </row>
    <row r="38" spans="1:6" x14ac:dyDescent="0.25">
      <c r="C38" t="s">
        <v>909</v>
      </c>
      <c r="D38">
        <v>18133.009750000001</v>
      </c>
    </row>
    <row r="39" spans="1:6" x14ac:dyDescent="0.25">
      <c r="C39" t="s">
        <v>914</v>
      </c>
      <c r="D39" s="289">
        <f>D33-D35</f>
        <v>531.35837999999967</v>
      </c>
    </row>
    <row r="40" spans="1:6" x14ac:dyDescent="0.25">
      <c r="D40" s="289">
        <f>D38-D39</f>
        <v>17601.65137</v>
      </c>
    </row>
    <row r="41" spans="1:6" x14ac:dyDescent="0.25">
      <c r="C41" t="s">
        <v>910</v>
      </c>
      <c r="D41">
        <v>12531.77267</v>
      </c>
    </row>
    <row r="42" spans="1:6" x14ac:dyDescent="0.25">
      <c r="C42" t="s">
        <v>911</v>
      </c>
      <c r="D42">
        <v>6065.44488</v>
      </c>
    </row>
    <row r="43" spans="1:6" x14ac:dyDescent="0.25">
      <c r="C43" t="s">
        <v>912</v>
      </c>
      <c r="D43">
        <f>D41+D42</f>
        <v>18597.217550000001</v>
      </c>
    </row>
    <row r="44" spans="1:6" x14ac:dyDescent="0.25">
      <c r="C44" t="s">
        <v>913</v>
      </c>
      <c r="D44">
        <f>D38-D43</f>
        <v>-464.20780000000013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Перечень приложений</vt:lpstr>
      <vt:lpstr>Приложение 1</vt:lpstr>
      <vt:lpstr>Приложение 2</vt:lpstr>
      <vt:lpstr>Приложение 3</vt:lpstr>
      <vt:lpstr>Приложение 4</vt:lpstr>
      <vt:lpstr>Приложение 5</vt:lpstr>
      <vt:lpstr>Лист1</vt:lpstr>
      <vt:lpstr>'Приложение 1'!Область_печати</vt:lpstr>
      <vt:lpstr>'Приложение 2'!Область_печати</vt:lpstr>
      <vt:lpstr>'Приложение 4'!Область_печати</vt:lpstr>
      <vt:lpstr>'Приложение 5'!Область_печати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Селина</dc:creator>
  <cp:lastModifiedBy>user</cp:lastModifiedBy>
  <cp:lastPrinted>2024-10-15T05:22:12Z</cp:lastPrinted>
  <dcterms:created xsi:type="dcterms:W3CDTF">2022-11-04T08:13:16Z</dcterms:created>
  <dcterms:modified xsi:type="dcterms:W3CDTF">2024-10-16T07:47:01Z</dcterms:modified>
</cp:coreProperties>
</file>