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aumo\Дума Юсьвинского округа\Решения Думы 2025 год\решения думы от 12.12.2025 №15\решение №140 от 12.12.2025 изм. в бюджет 2025-2027 гг\"/>
    </mc:Choice>
  </mc:AlternateContent>
  <xr:revisionPtr revIDLastSave="0" documentId="13_ncr:1_{9A538732-136B-4955-843E-F56A4E03E3E6}" xr6:coauthVersionLast="47" xr6:coauthVersionMax="47" xr10:uidLastSave="{00000000-0000-0000-0000-000000000000}"/>
  <bookViews>
    <workbookView minimized="1" xWindow="6720" yWindow="210" windowWidth="16740" windowHeight="15600" tabRatio="650" firstSheet="1" activeTab="1" xr2:uid="{00000000-000D-0000-FFFF-FFFF00000000}"/>
  </bookViews>
  <sheets>
    <sheet name="приложение 1" sheetId="2" r:id="rId1"/>
    <sheet name="Приложение 2" sheetId="1" r:id="rId2"/>
    <sheet name="Приложение 4" sheetId="8" r:id="rId3"/>
    <sheet name="Приложение 5" sheetId="9" r:id="rId4"/>
    <sheet name="свод" sheetId="10" r:id="rId5"/>
  </sheets>
  <definedNames>
    <definedName name="_xlnm._FilterDatabase" localSheetId="0" hidden="1">'приложение 1'!$A$8:$J$604</definedName>
    <definedName name="_xlnm._FilterDatabase" localSheetId="1" hidden="1">'Приложение 2'!$A$9:$M$855</definedName>
    <definedName name="_xlnm.Print_Area" localSheetId="0">'приложение 1'!$A$1:$L$598</definedName>
    <definedName name="_xlnm.Print_Area" localSheetId="1">'Приложение 2'!$A$1:$N$855</definedName>
    <definedName name="_xlnm.Print_Area" localSheetId="2">'Приложение 4'!$A$1:$M$106</definedName>
    <definedName name="_xlnm.Print_Area" localSheetId="3">'Приложение 5'!$A$1:$E$20</definedName>
    <definedName name="_xlnm.Print_Area" localSheetId="4">свод!$A$1:$E$45</definedName>
  </definedNames>
  <calcPr calcId="181029"/>
</workbook>
</file>

<file path=xl/calcChain.xml><?xml version="1.0" encoding="utf-8"?>
<calcChain xmlns="http://schemas.openxmlformats.org/spreadsheetml/2006/main">
  <c r="G248" i="1" l="1"/>
  <c r="N251" i="1"/>
  <c r="L251" i="1"/>
  <c r="K251" i="1"/>
  <c r="I251" i="1"/>
  <c r="H251" i="1"/>
  <c r="G251" i="1"/>
  <c r="F251" i="1"/>
  <c r="E220" i="2" l="1"/>
  <c r="E208" i="2" s="1"/>
  <c r="D209" i="2"/>
  <c r="I221" i="2"/>
  <c r="I220" i="2" s="1"/>
  <c r="G221" i="2"/>
  <c r="L220" i="2"/>
  <c r="J220" i="2"/>
  <c r="G220" i="2"/>
  <c r="F220" i="2"/>
  <c r="D220" i="2"/>
  <c r="F566" i="2" l="1"/>
  <c r="H99" i="1"/>
  <c r="H835" i="1" l="1"/>
  <c r="H834" i="1" s="1"/>
  <c r="H833" i="1" s="1"/>
  <c r="H832" i="1" s="1"/>
  <c r="G834" i="1"/>
  <c r="G833" i="1" s="1"/>
  <c r="G832" i="1" s="1"/>
  <c r="G824" i="1" s="1"/>
  <c r="N833" i="1"/>
  <c r="L833" i="1"/>
  <c r="K833" i="1"/>
  <c r="I833" i="1"/>
  <c r="I832" i="1" s="1"/>
  <c r="F833" i="1"/>
  <c r="F832" i="1" s="1"/>
  <c r="N832" i="1"/>
  <c r="L832" i="1"/>
  <c r="K832" i="1"/>
  <c r="H782" i="1"/>
  <c r="H781" i="1" s="1"/>
  <c r="H780" i="1" s="1"/>
  <c r="H779" i="1" s="1"/>
  <c r="G781" i="1"/>
  <c r="G780" i="1" s="1"/>
  <c r="G779" i="1" s="1"/>
  <c r="G756" i="1" s="1"/>
  <c r="N780" i="1"/>
  <c r="N779" i="1" s="1"/>
  <c r="L780" i="1"/>
  <c r="L779" i="1" s="1"/>
  <c r="K780" i="1"/>
  <c r="K779" i="1" s="1"/>
  <c r="I780" i="1"/>
  <c r="I779" i="1" s="1"/>
  <c r="F780" i="1"/>
  <c r="F779" i="1" s="1"/>
  <c r="H642" i="1"/>
  <c r="H641" i="1" s="1"/>
  <c r="H640" i="1" s="1"/>
  <c r="H639" i="1" s="1"/>
  <c r="G641" i="1"/>
  <c r="G640" i="1" s="1"/>
  <c r="G639" i="1" s="1"/>
  <c r="N640" i="1"/>
  <c r="N639" i="1" s="1"/>
  <c r="L640" i="1"/>
  <c r="L639" i="1" s="1"/>
  <c r="K640" i="1"/>
  <c r="K639" i="1" s="1"/>
  <c r="I640" i="1"/>
  <c r="I639" i="1" s="1"/>
  <c r="F640" i="1"/>
  <c r="F639" i="1" s="1"/>
  <c r="G57" i="1"/>
  <c r="G56" i="1" s="1"/>
  <c r="H61" i="1"/>
  <c r="H60" i="1" s="1"/>
  <c r="G60" i="1"/>
  <c r="F21" i="1"/>
  <c r="F20" i="1" s="1"/>
  <c r="H22" i="1"/>
  <c r="H21" i="1" s="1"/>
  <c r="H23" i="1"/>
  <c r="G22" i="1"/>
  <c r="G21" i="1" s="1"/>
  <c r="G20" i="1" s="1"/>
  <c r="G13" i="1" s="1"/>
  <c r="N21" i="1"/>
  <c r="N20" i="1" s="1"/>
  <c r="L21" i="1"/>
  <c r="L20" i="1" s="1"/>
  <c r="K21" i="1"/>
  <c r="K20" i="1" s="1"/>
  <c r="I21" i="1"/>
  <c r="I20" i="1" s="1"/>
  <c r="F596" i="2"/>
  <c r="E596" i="2"/>
  <c r="D596" i="2"/>
  <c r="H20" i="1" l="1"/>
  <c r="F570" i="2" l="1"/>
  <c r="H104" i="1" l="1"/>
  <c r="E571" i="2" l="1"/>
  <c r="F572" i="2"/>
  <c r="K566" i="1" l="1"/>
  <c r="G348" i="1"/>
  <c r="E163" i="2" l="1"/>
  <c r="C7" i="10"/>
  <c r="G103" i="1" l="1"/>
  <c r="E564" i="2"/>
  <c r="F569" i="2"/>
  <c r="C44" i="10"/>
  <c r="G228" i="1" l="1"/>
  <c r="E462" i="2"/>
  <c r="F34" i="8"/>
  <c r="F31" i="8"/>
  <c r="F87" i="8"/>
  <c r="F104" i="8"/>
  <c r="C104" i="8" s="1"/>
  <c r="G204" i="1"/>
  <c r="G203" i="1" s="1"/>
  <c r="G202" i="1" s="1"/>
  <c r="G201" i="1" s="1"/>
  <c r="H205" i="1"/>
  <c r="G199" i="1" l="1"/>
  <c r="G200" i="1"/>
  <c r="F475" i="2"/>
  <c r="E474" i="2"/>
  <c r="E473" i="2" s="1"/>
  <c r="E472" i="2" s="1"/>
  <c r="C33" i="10"/>
  <c r="F19" i="10"/>
  <c r="I165" i="2"/>
  <c r="F72" i="8"/>
  <c r="C72" i="8" s="1"/>
  <c r="C90" i="8"/>
  <c r="C89" i="8"/>
  <c r="C88" i="8"/>
  <c r="G600" i="1"/>
  <c r="J692" i="1"/>
  <c r="H347" i="1"/>
  <c r="H350" i="1"/>
  <c r="H348" i="1" s="1"/>
  <c r="K482" i="1"/>
  <c r="H482" i="1"/>
  <c r="G481" i="1"/>
  <c r="H172" i="1"/>
  <c r="G171" i="1"/>
  <c r="G170" i="1" s="1"/>
  <c r="G169" i="1" s="1"/>
  <c r="H141" i="1"/>
  <c r="G140" i="1"/>
  <c r="G143" i="1"/>
  <c r="G142" i="1" s="1"/>
  <c r="G133" i="1"/>
  <c r="H134" i="1"/>
  <c r="H135" i="1"/>
  <c r="H130" i="1"/>
  <c r="G129" i="1"/>
  <c r="H241" i="1"/>
  <c r="G240" i="1"/>
  <c r="G239" i="1" s="1"/>
  <c r="G238" i="1" s="1"/>
  <c r="J234" i="1"/>
  <c r="J233" i="1" s="1"/>
  <c r="J232" i="1" s="1"/>
  <c r="G234" i="1"/>
  <c r="G233" i="1" s="1"/>
  <c r="G232" i="1" s="1"/>
  <c r="G227" i="1"/>
  <c r="G222" i="1"/>
  <c r="G221" i="1"/>
  <c r="H224" i="1"/>
  <c r="G216" i="1"/>
  <c r="G215" i="1" s="1"/>
  <c r="G211" i="1"/>
  <c r="G210" i="1" s="1"/>
  <c r="G331" i="1"/>
  <c r="H332" i="1"/>
  <c r="G325" i="1"/>
  <c r="H330" i="1"/>
  <c r="G329" i="1"/>
  <c r="G327" i="1"/>
  <c r="H328" i="1"/>
  <c r="G391" i="1"/>
  <c r="G390" i="1" s="1"/>
  <c r="G385" i="1" s="1"/>
  <c r="H392" i="1"/>
  <c r="G404" i="1"/>
  <c r="G403" i="1" s="1"/>
  <c r="H405" i="1"/>
  <c r="G396" i="1"/>
  <c r="G393" i="1" s="1"/>
  <c r="H377" i="1"/>
  <c r="G374" i="1"/>
  <c r="H375" i="1"/>
  <c r="G381" i="1"/>
  <c r="H382" i="1"/>
  <c r="G368" i="1"/>
  <c r="G369" i="1"/>
  <c r="G361" i="1"/>
  <c r="G357" i="1" s="1"/>
  <c r="G356" i="1" s="1"/>
  <c r="G167" i="1"/>
  <c r="G164" i="1"/>
  <c r="H168" i="1"/>
  <c r="H165" i="1"/>
  <c r="H166" i="1"/>
  <c r="G152" i="1"/>
  <c r="G151" i="1" s="1"/>
  <c r="G150" i="1" s="1"/>
  <c r="H153" i="1"/>
  <c r="J454" i="1"/>
  <c r="J453" i="1" s="1"/>
  <c r="J452" i="1" s="1"/>
  <c r="J451" i="1" s="1"/>
  <c r="J447" i="1" s="1"/>
  <c r="J446" i="1" s="1"/>
  <c r="J445" i="1" s="1"/>
  <c r="J444" i="1" s="1"/>
  <c r="J443" i="1" s="1"/>
  <c r="G454" i="1"/>
  <c r="G453" i="1" s="1"/>
  <c r="G452" i="1" s="1"/>
  <c r="G451" i="1" s="1"/>
  <c r="G447" i="1" s="1"/>
  <c r="G446" i="1" s="1"/>
  <c r="G445" i="1" s="1"/>
  <c r="G444" i="1" s="1"/>
  <c r="G443" i="1" s="1"/>
  <c r="H456" i="1"/>
  <c r="H744" i="1"/>
  <c r="G744" i="1"/>
  <c r="F744" i="1"/>
  <c r="H743" i="1"/>
  <c r="G742" i="1"/>
  <c r="G740" i="1"/>
  <c r="H740" i="1"/>
  <c r="F740" i="1"/>
  <c r="H250" i="1"/>
  <c r="G490" i="1"/>
  <c r="G489" i="1" s="1"/>
  <c r="G486" i="1" s="1"/>
  <c r="G485" i="1" s="1"/>
  <c r="G484" i="1" s="1"/>
  <c r="G483" i="1" s="1"/>
  <c r="H493" i="1"/>
  <c r="G565" i="1"/>
  <c r="H566" i="1"/>
  <c r="G563" i="1"/>
  <c r="H564" i="1"/>
  <c r="H562" i="1"/>
  <c r="G621" i="1"/>
  <c r="G620" i="1" s="1"/>
  <c r="G619" i="1" s="1"/>
  <c r="G606" i="1" s="1"/>
  <c r="H622" i="1"/>
  <c r="H595" i="1"/>
  <c r="G530" i="1"/>
  <c r="G529" i="1" s="1"/>
  <c r="G528" i="1" s="1"/>
  <c r="H531" i="1"/>
  <c r="H511" i="1"/>
  <c r="G510" i="1"/>
  <c r="G509" i="1" s="1"/>
  <c r="G508" i="1" s="1"/>
  <c r="G507" i="1" s="1"/>
  <c r="G506" i="1" s="1"/>
  <c r="G505" i="1" s="1"/>
  <c r="G29" i="1"/>
  <c r="G28" i="1" s="1"/>
  <c r="G27" i="1" s="1"/>
  <c r="G26" i="1" s="1"/>
  <c r="G25" i="1" s="1"/>
  <c r="G24" i="1" s="1"/>
  <c r="F37" i="8"/>
  <c r="E38" i="8"/>
  <c r="E589" i="2"/>
  <c r="F590" i="2"/>
  <c r="E515" i="2"/>
  <c r="E514" i="2" s="1"/>
  <c r="F516" i="2"/>
  <c r="F210" i="2"/>
  <c r="F209" i="2" s="1"/>
  <c r="E161" i="2"/>
  <c r="I523" i="2"/>
  <c r="H468" i="2"/>
  <c r="H467" i="2" s="1"/>
  <c r="H466" i="2" s="1"/>
  <c r="E27" i="2"/>
  <c r="E68" i="2"/>
  <c r="E67" i="2" s="1"/>
  <c r="E66" i="2" s="1"/>
  <c r="E85" i="2"/>
  <c r="E134" i="2"/>
  <c r="E133" i="2" s="1"/>
  <c r="E132" i="2" s="1"/>
  <c r="E164" i="2"/>
  <c r="E188" i="2"/>
  <c r="E187" i="2" s="1"/>
  <c r="E184" i="2" s="1"/>
  <c r="E183" i="2" s="1"/>
  <c r="E260" i="2"/>
  <c r="E262" i="2"/>
  <c r="E269" i="2"/>
  <c r="F267" i="2"/>
  <c r="H274" i="2"/>
  <c r="H273" i="2" s="1"/>
  <c r="H272" i="2" s="1"/>
  <c r="H271" i="2" s="1"/>
  <c r="H230" i="2" s="1"/>
  <c r="H229" i="2" s="1"/>
  <c r="E274" i="2"/>
  <c r="E273" i="2" s="1"/>
  <c r="E272" i="2" s="1"/>
  <c r="E271" i="2" s="1"/>
  <c r="E315" i="2"/>
  <c r="E314" i="2" s="1"/>
  <c r="E313" i="2" s="1"/>
  <c r="E326" i="2"/>
  <c r="E329" i="2"/>
  <c r="E376" i="2"/>
  <c r="F386" i="2"/>
  <c r="E385" i="2"/>
  <c r="E389" i="2"/>
  <c r="E410" i="2"/>
  <c r="E409" i="2" s="1"/>
  <c r="E418" i="2"/>
  <c r="E417" i="2" s="1"/>
  <c r="E412" i="2" s="1"/>
  <c r="E422" i="2"/>
  <c r="E425" i="2"/>
  <c r="E427" i="2"/>
  <c r="E445" i="2"/>
  <c r="E444" i="2" s="1"/>
  <c r="E450" i="2"/>
  <c r="E449" i="2" s="1"/>
  <c r="E456" i="2"/>
  <c r="E455" i="2" s="1"/>
  <c r="E468" i="2"/>
  <c r="E467" i="2" s="1"/>
  <c r="E466" i="2" s="1"/>
  <c r="E478" i="2"/>
  <c r="E477" i="2" s="1"/>
  <c r="E476" i="2" s="1"/>
  <c r="E499" i="2"/>
  <c r="E501" i="2"/>
  <c r="E503" i="2"/>
  <c r="E507" i="2"/>
  <c r="F316" i="2"/>
  <c r="F161" i="2"/>
  <c r="F163" i="2"/>
  <c r="F276" i="2"/>
  <c r="I163" i="2"/>
  <c r="F164" i="2"/>
  <c r="C97" i="8"/>
  <c r="F458" i="2"/>
  <c r="F479" i="2"/>
  <c r="J101" i="8"/>
  <c r="F101" i="8"/>
  <c r="C91" i="8"/>
  <c r="F504" i="2"/>
  <c r="F260" i="2"/>
  <c r="F269" i="2"/>
  <c r="F263" i="2"/>
  <c r="F523" i="2"/>
  <c r="F411" i="2"/>
  <c r="E568" i="2"/>
  <c r="F191" i="2"/>
  <c r="E510" i="2"/>
  <c r="E509" i="2" s="1"/>
  <c r="E365" i="2"/>
  <c r="F365" i="2" s="1"/>
  <c r="E373" i="2"/>
  <c r="E372" i="2" s="1"/>
  <c r="F426" i="2"/>
  <c r="F423" i="2"/>
  <c r="E429" i="2"/>
  <c r="F430" i="2"/>
  <c r="F419" i="2"/>
  <c r="F388" i="2"/>
  <c r="F481" i="1"/>
  <c r="F480" i="1" s="1"/>
  <c r="D520" i="2"/>
  <c r="D519" i="2" s="1"/>
  <c r="E548" i="2" l="1"/>
  <c r="E259" i="2"/>
  <c r="G157" i="1"/>
  <c r="G156" i="1" s="1"/>
  <c r="G126" i="1"/>
  <c r="G125" i="1" s="1"/>
  <c r="G124" i="1" s="1"/>
  <c r="G123" i="1" s="1"/>
  <c r="E320" i="2"/>
  <c r="E319" i="2" s="1"/>
  <c r="E312" i="2" s="1"/>
  <c r="H361" i="1"/>
  <c r="G358" i="1"/>
  <c r="G220" i="1"/>
  <c r="G209" i="1" s="1"/>
  <c r="G208" i="1" s="1"/>
  <c r="G207" i="1" s="1"/>
  <c r="G206" i="1" s="1"/>
  <c r="G139" i="1"/>
  <c r="G138" i="1" s="1"/>
  <c r="G137" i="1" s="1"/>
  <c r="G136" i="1" s="1"/>
  <c r="E162" i="2"/>
  <c r="E496" i="2"/>
  <c r="E362" i="2"/>
  <c r="E361" i="2" s="1"/>
  <c r="E360" i="2" s="1"/>
  <c r="E359" i="2" s="1"/>
  <c r="G739" i="1"/>
  <c r="G599" i="1"/>
  <c r="G598" i="1" s="1"/>
  <c r="E461" i="2"/>
  <c r="E454" i="2" s="1"/>
  <c r="E443" i="2" s="1"/>
  <c r="E442" i="2" s="1"/>
  <c r="E506" i="2"/>
  <c r="G149" i="1"/>
  <c r="G148" i="1" s="1"/>
  <c r="G147" i="1" s="1"/>
  <c r="C45" i="10"/>
  <c r="E495" i="2" l="1"/>
  <c r="G122" i="1"/>
  <c r="E61" i="10"/>
  <c r="D42" i="10"/>
  <c r="D61" i="10" s="1"/>
  <c r="C42" i="10"/>
  <c r="C38" i="10"/>
  <c r="F38" i="10" s="1"/>
  <c r="C37" i="10"/>
  <c r="F30" i="10"/>
  <c r="C13" i="10"/>
  <c r="F13" i="10" s="1"/>
  <c r="C10" i="10"/>
  <c r="F3" i="10"/>
  <c r="C61" i="10" l="1"/>
  <c r="J563" i="1"/>
  <c r="H162" i="2"/>
  <c r="I563" i="1" l="1"/>
  <c r="K563" i="1"/>
  <c r="H733" i="1" l="1"/>
  <c r="F236" i="2"/>
  <c r="G71" i="8" l="1"/>
  <c r="G52" i="8" s="1"/>
  <c r="J52" i="8"/>
  <c r="G96" i="8"/>
  <c r="G95" i="8"/>
  <c r="J72" i="8"/>
  <c r="G72" i="8" s="1"/>
  <c r="C95" i="8"/>
  <c r="C96" i="8"/>
  <c r="G732" i="1"/>
  <c r="G731" i="1" s="1"/>
  <c r="G346" i="1"/>
  <c r="D517" i="2"/>
  <c r="G839" i="1"/>
  <c r="G838" i="1" s="1"/>
  <c r="G837" i="1" s="1"/>
  <c r="G836" i="1" s="1"/>
  <c r="G823" i="1" s="1"/>
  <c r="G822" i="1" s="1"/>
  <c r="H840" i="1"/>
  <c r="F578" i="2"/>
  <c r="G699" i="1"/>
  <c r="G698" i="1" s="1"/>
  <c r="G697" i="1" s="1"/>
  <c r="G696" i="1" s="1"/>
  <c r="G695" i="1" s="1"/>
  <c r="G694" i="1" s="1"/>
  <c r="G693" i="1" s="1"/>
  <c r="H700" i="1"/>
  <c r="E243" i="2"/>
  <c r="E242" i="2" s="1"/>
  <c r="F244" i="2"/>
  <c r="H338" i="1"/>
  <c r="G337" i="1"/>
  <c r="G324" i="1" s="1"/>
  <c r="G323" i="1" s="1"/>
  <c r="G318" i="1" s="1"/>
  <c r="G317" i="1" s="1"/>
  <c r="E421" i="2"/>
  <c r="E420" i="2" s="1"/>
  <c r="F436" i="2"/>
  <c r="F435" i="2" s="1"/>
  <c r="I345" i="1"/>
  <c r="K345" i="1"/>
  <c r="L345" i="1"/>
  <c r="N345" i="1"/>
  <c r="F348" i="1"/>
  <c r="G101" i="1"/>
  <c r="H102" i="1"/>
  <c r="G97" i="1"/>
  <c r="H98" i="1"/>
  <c r="F565" i="2"/>
  <c r="M481" i="1"/>
  <c r="M480" i="1" s="1"/>
  <c r="M479" i="1" s="1"/>
  <c r="M478" i="1" s="1"/>
  <c r="M473" i="1" s="1"/>
  <c r="M472" i="1" s="1"/>
  <c r="M464" i="1" s="1"/>
  <c r="N482" i="1"/>
  <c r="J481" i="1"/>
  <c r="J480" i="1" s="1"/>
  <c r="J479" i="1" s="1"/>
  <c r="J478" i="1" s="1"/>
  <c r="J473" i="1" s="1"/>
  <c r="J472" i="1" s="1"/>
  <c r="J464" i="1" s="1"/>
  <c r="G480" i="1"/>
  <c r="G479" i="1" s="1"/>
  <c r="G478" i="1" s="1"/>
  <c r="G473" i="1" s="1"/>
  <c r="G472" i="1" s="1"/>
  <c r="G464" i="1" s="1"/>
  <c r="H481" i="1"/>
  <c r="M314" i="1"/>
  <c r="M313" i="1" s="1"/>
  <c r="M312" i="1" s="1"/>
  <c r="M311" i="1" s="1"/>
  <c r="M310" i="1" s="1"/>
  <c r="M289" i="1" s="1"/>
  <c r="M288" i="1" s="1"/>
  <c r="M287" i="1" s="1"/>
  <c r="N315" i="1"/>
  <c r="J314" i="1"/>
  <c r="J313" i="1" s="1"/>
  <c r="J312" i="1" s="1"/>
  <c r="J311" i="1" s="1"/>
  <c r="J310" i="1" s="1"/>
  <c r="J289" i="1" s="1"/>
  <c r="J288" i="1" s="1"/>
  <c r="K315" i="1"/>
  <c r="D518" i="2"/>
  <c r="K524" i="2"/>
  <c r="H524" i="2"/>
  <c r="F520" i="2"/>
  <c r="F519" i="2" s="1"/>
  <c r="F518" i="2" s="1"/>
  <c r="K520" i="2"/>
  <c r="H520" i="2"/>
  <c r="E520" i="2"/>
  <c r="E519" i="2" s="1"/>
  <c r="L527" i="2"/>
  <c r="L523" i="2"/>
  <c r="I527" i="2"/>
  <c r="J227" i="1"/>
  <c r="H461" i="2"/>
  <c r="J225" i="1"/>
  <c r="K226" i="1"/>
  <c r="H459" i="2"/>
  <c r="I460" i="2"/>
  <c r="G376" i="1"/>
  <c r="G363" i="1" s="1"/>
  <c r="G362" i="1" s="1"/>
  <c r="G355" i="1" s="1"/>
  <c r="G354" i="1" s="1"/>
  <c r="G353" i="1" s="1"/>
  <c r="H376" i="1"/>
  <c r="F376" i="1"/>
  <c r="E387" i="2"/>
  <c r="E367" i="2" s="1"/>
  <c r="L387" i="2"/>
  <c r="J387" i="2"/>
  <c r="I387" i="2"/>
  <c r="G387" i="2"/>
  <c r="F387" i="2"/>
  <c r="D387" i="2"/>
  <c r="G805" i="1"/>
  <c r="G804" i="1" s="1"/>
  <c r="G803" i="1" s="1"/>
  <c r="G802" i="1" s="1"/>
  <c r="G801" i="1" s="1"/>
  <c r="G800" i="1" s="1"/>
  <c r="G799" i="1" s="1"/>
  <c r="H806" i="1"/>
  <c r="E293" i="2"/>
  <c r="E292" i="2" s="1"/>
  <c r="F295" i="2"/>
  <c r="G737" i="1"/>
  <c r="G736" i="1" s="1"/>
  <c r="H738" i="1"/>
  <c r="E240" i="2"/>
  <c r="E239" i="2" s="1"/>
  <c r="F241" i="2"/>
  <c r="E235" i="2"/>
  <c r="E234" i="2" s="1"/>
  <c r="G729" i="1"/>
  <c r="G728" i="1" s="1"/>
  <c r="H730" i="1"/>
  <c r="E232" i="2"/>
  <c r="E231" i="2" s="1"/>
  <c r="F233" i="2"/>
  <c r="E207" i="2"/>
  <c r="K567" i="1"/>
  <c r="J567" i="1"/>
  <c r="I567" i="1"/>
  <c r="H567" i="1"/>
  <c r="F567" i="1"/>
  <c r="H166" i="2"/>
  <c r="I166" i="2"/>
  <c r="J166" i="2"/>
  <c r="L166" i="2"/>
  <c r="G166" i="2"/>
  <c r="G434" i="1"/>
  <c r="G433" i="1" s="1"/>
  <c r="G432" i="1" s="1"/>
  <c r="G431" i="1" s="1"/>
  <c r="G430" i="1" s="1"/>
  <c r="G429" i="1" s="1"/>
  <c r="G428" i="1" s="1"/>
  <c r="H435" i="1"/>
  <c r="F112" i="2"/>
  <c r="I565" i="1"/>
  <c r="K565" i="1"/>
  <c r="J565" i="1"/>
  <c r="H565" i="1"/>
  <c r="F565" i="1"/>
  <c r="H164" i="2"/>
  <c r="G164" i="2"/>
  <c r="I164" i="2"/>
  <c r="G561" i="1"/>
  <c r="G557" i="1" s="1"/>
  <c r="E160" i="2"/>
  <c r="E156" i="2" s="1"/>
  <c r="E117" i="2"/>
  <c r="E116" i="2" s="1"/>
  <c r="G594" i="1"/>
  <c r="G593" i="1" s="1"/>
  <c r="G592" i="1" s="1"/>
  <c r="G591" i="1" s="1"/>
  <c r="G590" i="1" s="1"/>
  <c r="G589" i="1" s="1"/>
  <c r="G247" i="1" l="1"/>
  <c r="G246" i="1" s="1"/>
  <c r="G245" i="1" s="1"/>
  <c r="G173" i="1" s="1"/>
  <c r="J557" i="1"/>
  <c r="J556" i="1" s="1"/>
  <c r="J527" i="1" s="1"/>
  <c r="F517" i="2"/>
  <c r="H519" i="2"/>
  <c r="H518" i="2" s="1"/>
  <c r="E517" i="2"/>
  <c r="E518" i="2"/>
  <c r="G96" i="1"/>
  <c r="G95" i="1" s="1"/>
  <c r="G69" i="1" s="1"/>
  <c r="H156" i="2"/>
  <c r="H155" i="2" s="1"/>
  <c r="K519" i="2"/>
  <c r="J220" i="1"/>
  <c r="H454" i="2"/>
  <c r="G345" i="1"/>
  <c r="G344" i="1" s="1"/>
  <c r="G316" i="1" s="1"/>
  <c r="G287" i="1" s="1"/>
  <c r="G727" i="1"/>
  <c r="G726" i="1" s="1"/>
  <c r="G725" i="1" s="1"/>
  <c r="G724" i="1" s="1"/>
  <c r="G723" i="1" s="1"/>
  <c r="G692" i="1" s="1"/>
  <c r="G556" i="1"/>
  <c r="G527" i="1" s="1"/>
  <c r="G526" i="1" s="1"/>
  <c r="G525" i="1" s="1"/>
  <c r="G504" i="1" s="1"/>
  <c r="G503" i="1" s="1"/>
  <c r="E155" i="2"/>
  <c r="F119" i="2"/>
  <c r="H517" i="2" l="1"/>
  <c r="K518" i="2"/>
  <c r="K517" i="2"/>
  <c r="H105" i="8" l="1"/>
  <c r="I105" i="8"/>
  <c r="J105" i="8"/>
  <c r="K105" i="8"/>
  <c r="L105" i="8"/>
  <c r="M105" i="8"/>
  <c r="D105" i="8"/>
  <c r="E105" i="8"/>
  <c r="H33" i="8"/>
  <c r="I33" i="8"/>
  <c r="J33" i="8"/>
  <c r="G35" i="8"/>
  <c r="G33" i="8" s="1"/>
  <c r="C35" i="8"/>
  <c r="I218" i="1"/>
  <c r="J215" i="1"/>
  <c r="J209" i="1" s="1"/>
  <c r="N218" i="1"/>
  <c r="L218" i="1"/>
  <c r="K218" i="1"/>
  <c r="H218" i="1"/>
  <c r="F218" i="1"/>
  <c r="H443" i="2"/>
  <c r="H442" i="2" s="1"/>
  <c r="I452" i="2"/>
  <c r="I449" i="2" s="1"/>
  <c r="G452" i="2"/>
  <c r="G449" i="2" s="1"/>
  <c r="F773" i="1"/>
  <c r="F571" i="1"/>
  <c r="L559" i="1"/>
  <c r="F454" i="1"/>
  <c r="F453" i="1" s="1"/>
  <c r="H448" i="1"/>
  <c r="I448" i="1"/>
  <c r="K448" i="1"/>
  <c r="L448" i="1"/>
  <c r="N448" i="1"/>
  <c r="F448" i="1"/>
  <c r="F440" i="1"/>
  <c r="L409" i="1"/>
  <c r="L408" i="1" s="1"/>
  <c r="L407" i="1" s="1"/>
  <c r="I409" i="1"/>
  <c r="I408" i="1" s="1"/>
  <c r="I407" i="1" s="1"/>
  <c r="F409" i="1"/>
  <c r="I387" i="1"/>
  <c r="F391" i="1"/>
  <c r="F387" i="1"/>
  <c r="F341" i="1"/>
  <c r="F267" i="1"/>
  <c r="I243" i="1"/>
  <c r="I242" i="1" s="1"/>
  <c r="F243" i="1"/>
  <c r="I225" i="1"/>
  <c r="I237" i="1"/>
  <c r="F237" i="1"/>
  <c r="J476" i="2"/>
  <c r="L476" i="2"/>
  <c r="K443" i="2"/>
  <c r="K83" i="2"/>
  <c r="D593" i="2"/>
  <c r="D591" i="2"/>
  <c r="J486" i="2"/>
  <c r="G486" i="2"/>
  <c r="D471" i="2"/>
  <c r="F452" i="2"/>
  <c r="D452" i="2"/>
  <c r="D439" i="2"/>
  <c r="G414" i="2"/>
  <c r="D418" i="2"/>
  <c r="D343" i="2"/>
  <c r="E230" i="2"/>
  <c r="D253" i="2"/>
  <c r="D178" i="2"/>
  <c r="D175" i="2" s="1"/>
  <c r="D174" i="2" s="1"/>
  <c r="J158" i="2"/>
  <c r="J157" i="2" s="1"/>
  <c r="D114" i="2"/>
  <c r="D468" i="2" l="1"/>
  <c r="F471" i="2"/>
  <c r="I234" i="1"/>
  <c r="I233" i="1" s="1"/>
  <c r="I232" i="1" s="1"/>
  <c r="K237" i="1"/>
  <c r="F234" i="1"/>
  <c r="F233" i="1" s="1"/>
  <c r="F232" i="1" s="1"/>
  <c r="H237" i="1"/>
  <c r="D30" i="8"/>
  <c r="E30" i="8"/>
  <c r="H30" i="8"/>
  <c r="I30" i="8"/>
  <c r="J30" i="8"/>
  <c r="L30" i="8"/>
  <c r="M30" i="8"/>
  <c r="C32" i="8"/>
  <c r="F30" i="8"/>
  <c r="N213" i="1" l="1"/>
  <c r="L213" i="1"/>
  <c r="K213" i="1"/>
  <c r="I213" i="1"/>
  <c r="H213" i="1"/>
  <c r="F213" i="1"/>
  <c r="L447" i="2"/>
  <c r="J447" i="2"/>
  <c r="I447" i="2"/>
  <c r="G447" i="2"/>
  <c r="F447" i="2"/>
  <c r="D447" i="2"/>
  <c r="J583" i="1" l="1"/>
  <c r="J582" i="1" s="1"/>
  <c r="J581" i="1" s="1"/>
  <c r="J580" i="1" s="1"/>
  <c r="J526" i="1" s="1"/>
  <c r="J525" i="1" s="1"/>
  <c r="J504" i="1" s="1"/>
  <c r="J503" i="1" s="1"/>
  <c r="K584" i="1"/>
  <c r="K583" i="1" s="1"/>
  <c r="K582" i="1" s="1"/>
  <c r="K581" i="1" s="1"/>
  <c r="K580" i="1" s="1"/>
  <c r="I583" i="1"/>
  <c r="I582" i="1" s="1"/>
  <c r="I581" i="1" s="1"/>
  <c r="I580" i="1" s="1"/>
  <c r="H583" i="1"/>
  <c r="H582" i="1" s="1"/>
  <c r="H581" i="1" s="1"/>
  <c r="H580" i="1" s="1"/>
  <c r="F583" i="1"/>
  <c r="F582" i="1" s="1"/>
  <c r="F581" i="1" s="1"/>
  <c r="F580" i="1" s="1"/>
  <c r="N582" i="1"/>
  <c r="N581" i="1" s="1"/>
  <c r="L582" i="1"/>
  <c r="L581" i="1" s="1"/>
  <c r="L580" i="1" s="1"/>
  <c r="G396" i="2"/>
  <c r="I398" i="2"/>
  <c r="I396" i="2" s="1"/>
  <c r="H704" i="1" l="1"/>
  <c r="H703" i="1" s="1"/>
  <c r="H702" i="1" s="1"/>
  <c r="H701" i="1" s="1"/>
  <c r="N704" i="1"/>
  <c r="L704" i="1"/>
  <c r="K704" i="1"/>
  <c r="I704" i="1"/>
  <c r="F703" i="1"/>
  <c r="F702" i="1" s="1"/>
  <c r="F701" i="1" s="1"/>
  <c r="N702" i="1"/>
  <c r="N701" i="1" s="1"/>
  <c r="L702" i="1"/>
  <c r="L701" i="1" s="1"/>
  <c r="K702" i="1"/>
  <c r="K701" i="1" s="1"/>
  <c r="I702" i="1"/>
  <c r="I701" i="1" s="1"/>
  <c r="H588" i="1"/>
  <c r="H563" i="1"/>
  <c r="H561" i="1"/>
  <c r="F561" i="1"/>
  <c r="F563" i="1"/>
  <c r="F162" i="2"/>
  <c r="G162" i="2"/>
  <c r="G156" i="2" s="1"/>
  <c r="I162" i="2"/>
  <c r="I156" i="2" s="1"/>
  <c r="J162" i="2"/>
  <c r="L162" i="2"/>
  <c r="D162" i="2"/>
  <c r="F160" i="2"/>
  <c r="D160" i="2"/>
  <c r="L160" i="2"/>
  <c r="F156" i="2" l="1"/>
  <c r="D156" i="2"/>
  <c r="H576" i="1" l="1"/>
  <c r="H575" i="1" s="1"/>
  <c r="H574" i="1" s="1"/>
  <c r="I576" i="1"/>
  <c r="I575" i="1" s="1"/>
  <c r="K576" i="1"/>
  <c r="K575" i="1" s="1"/>
  <c r="L576" i="1"/>
  <c r="L575" i="1" s="1"/>
  <c r="N576" i="1"/>
  <c r="N575" i="1" s="1"/>
  <c r="F576" i="1"/>
  <c r="F575" i="1" s="1"/>
  <c r="F574" i="1" s="1"/>
  <c r="I570" i="1"/>
  <c r="I569" i="1" s="1"/>
  <c r="K570" i="1"/>
  <c r="K569" i="1" s="1"/>
  <c r="L570" i="1"/>
  <c r="L569" i="1" s="1"/>
  <c r="N570" i="1"/>
  <c r="N569" i="1" s="1"/>
  <c r="F570" i="1"/>
  <c r="F569" i="1" s="1"/>
  <c r="F558" i="1"/>
  <c r="F557" i="1" s="1"/>
  <c r="H558" i="1"/>
  <c r="H557" i="1" s="1"/>
  <c r="I558" i="1"/>
  <c r="I557" i="1" s="1"/>
  <c r="K558" i="1"/>
  <c r="K557" i="1" s="1"/>
  <c r="L558" i="1"/>
  <c r="L557" i="1" s="1"/>
  <c r="F114" i="2"/>
  <c r="F113" i="2" s="1"/>
  <c r="G114" i="2"/>
  <c r="G113" i="2" s="1"/>
  <c r="I114" i="2"/>
  <c r="I113" i="2" s="1"/>
  <c r="J114" i="2"/>
  <c r="J113" i="2" s="1"/>
  <c r="D113" i="2"/>
  <c r="L550" i="1"/>
  <c r="L549" i="1" s="1"/>
  <c r="I550" i="1"/>
  <c r="I549" i="1" s="1"/>
  <c r="F550" i="1"/>
  <c r="F549" i="1" s="1"/>
  <c r="F479" i="1"/>
  <c r="F478" i="1" s="1"/>
  <c r="H480" i="1"/>
  <c r="H479" i="1" s="1"/>
  <c r="H478" i="1" s="1"/>
  <c r="L452" i="1"/>
  <c r="L451" i="1" s="1"/>
  <c r="N452" i="1"/>
  <c r="N451" i="1" s="1"/>
  <c r="F452" i="1"/>
  <c r="F451" i="1" s="1"/>
  <c r="F447" i="1" s="1"/>
  <c r="F408" i="1"/>
  <c r="F407" i="1" s="1"/>
  <c r="I390" i="1"/>
  <c r="K390" i="1"/>
  <c r="L390" i="1"/>
  <c r="N390" i="1"/>
  <c r="F390" i="1"/>
  <c r="I386" i="1"/>
  <c r="L386" i="1"/>
  <c r="N386" i="1"/>
  <c r="F386" i="1"/>
  <c r="I340" i="1"/>
  <c r="I339" i="1" s="1"/>
  <c r="K340" i="1"/>
  <c r="K339" i="1" s="1"/>
  <c r="L340" i="1"/>
  <c r="L339" i="1" s="1"/>
  <c r="N340" i="1"/>
  <c r="N339" i="1" s="1"/>
  <c r="F340" i="1"/>
  <c r="F339" i="1" s="1"/>
  <c r="J485" i="2"/>
  <c r="J484" i="2" s="1"/>
  <c r="G485" i="2"/>
  <c r="G484" i="2" s="1"/>
  <c r="D486" i="2"/>
  <c r="D485" i="2" s="1"/>
  <c r="D484" i="2" s="1"/>
  <c r="D481" i="2"/>
  <c r="G481" i="2"/>
  <c r="G480" i="2" s="1"/>
  <c r="G476" i="2" s="1"/>
  <c r="J481" i="2"/>
  <c r="L481" i="2"/>
  <c r="D467" i="2"/>
  <c r="D466" i="2" s="1"/>
  <c r="H437" i="2"/>
  <c r="K437" i="2"/>
  <c r="G438" i="2"/>
  <c r="G437" i="2" s="1"/>
  <c r="I438" i="2"/>
  <c r="I437" i="2" s="1"/>
  <c r="J438" i="2"/>
  <c r="J437" i="2" s="1"/>
  <c r="L438" i="2"/>
  <c r="L437" i="2" s="1"/>
  <c r="D438" i="2"/>
  <c r="D437" i="2" s="1"/>
  <c r="G417" i="2"/>
  <c r="I417" i="2"/>
  <c r="J417" i="2"/>
  <c r="L417" i="2"/>
  <c r="D417" i="2"/>
  <c r="D414" i="2"/>
  <c r="D413" i="2" s="1"/>
  <c r="G413" i="2"/>
  <c r="F383" i="2"/>
  <c r="G383" i="2"/>
  <c r="I383" i="2"/>
  <c r="J383" i="2"/>
  <c r="L383" i="2"/>
  <c r="D383" i="2"/>
  <c r="F342" i="2"/>
  <c r="F341" i="2" s="1"/>
  <c r="G342" i="2"/>
  <c r="G341" i="2" s="1"/>
  <c r="I342" i="2"/>
  <c r="I341" i="2" s="1"/>
  <c r="J342" i="2"/>
  <c r="J341" i="2" s="1"/>
  <c r="L342" i="2"/>
  <c r="L341" i="2" s="1"/>
  <c r="D342" i="2"/>
  <c r="F274" i="2"/>
  <c r="F273" i="2" s="1"/>
  <c r="F272" i="2" s="1"/>
  <c r="F271" i="2" s="1"/>
  <c r="G274" i="2"/>
  <c r="G273" i="2" s="1"/>
  <c r="G272" i="2" s="1"/>
  <c r="G271" i="2" s="1"/>
  <c r="I274" i="2"/>
  <c r="I273" i="2" s="1"/>
  <c r="I272" i="2" s="1"/>
  <c r="I271" i="2" s="1"/>
  <c r="J274" i="2"/>
  <c r="J273" i="2" s="1"/>
  <c r="J272" i="2" s="1"/>
  <c r="J271" i="2" s="1"/>
  <c r="L274" i="2"/>
  <c r="L273" i="2" s="1"/>
  <c r="L272" i="2" s="1"/>
  <c r="L271" i="2" s="1"/>
  <c r="D274" i="2"/>
  <c r="D273" i="2" s="1"/>
  <c r="D272" i="2" s="1"/>
  <c r="D271" i="2" s="1"/>
  <c r="G175" i="2"/>
  <c r="G174" i="2" s="1"/>
  <c r="G173" i="2" s="1"/>
  <c r="I175" i="2"/>
  <c r="I174" i="2" s="1"/>
  <c r="I173" i="2" s="1"/>
  <c r="J175" i="2"/>
  <c r="J174" i="2" s="1"/>
  <c r="J173" i="2" s="1"/>
  <c r="L175" i="2"/>
  <c r="L174" i="2" s="1"/>
  <c r="L173" i="2" s="1"/>
  <c r="F170" i="2"/>
  <c r="F169" i="2" s="1"/>
  <c r="F168" i="2" s="1"/>
  <c r="G170" i="2"/>
  <c r="G169" i="2" s="1"/>
  <c r="G168" i="2" s="1"/>
  <c r="I170" i="2"/>
  <c r="I169" i="2" s="1"/>
  <c r="I168" i="2" s="1"/>
  <c r="J170" i="2"/>
  <c r="J169" i="2" s="1"/>
  <c r="J168" i="2" s="1"/>
  <c r="J165" i="2" s="1"/>
  <c r="J164" i="2" s="1"/>
  <c r="J156" i="2" s="1"/>
  <c r="L170" i="2"/>
  <c r="L169" i="2" s="1"/>
  <c r="L168" i="2" s="1"/>
  <c r="L165" i="2" s="1"/>
  <c r="L164" i="2" s="1"/>
  <c r="D170" i="2"/>
  <c r="D169" i="2" s="1"/>
  <c r="D168" i="2" s="1"/>
  <c r="D173" i="2"/>
  <c r="K366" i="2"/>
  <c r="I586" i="1"/>
  <c r="K586" i="1"/>
  <c r="L586" i="1"/>
  <c r="N586" i="1"/>
  <c r="H587" i="1"/>
  <c r="H586" i="1" s="1"/>
  <c r="N588" i="1"/>
  <c r="L588" i="1"/>
  <c r="K588" i="1"/>
  <c r="I588" i="1"/>
  <c r="F587" i="1"/>
  <c r="F586" i="1" s="1"/>
  <c r="D568" i="2"/>
  <c r="F568" i="2"/>
  <c r="J102" i="8"/>
  <c r="F105" i="8"/>
  <c r="G106" i="8"/>
  <c r="G105" i="8" s="1"/>
  <c r="C106" i="8"/>
  <c r="C105" i="8" s="1"/>
  <c r="H341" i="1"/>
  <c r="H340" i="1" s="1"/>
  <c r="H339" i="1" s="1"/>
  <c r="F439" i="2"/>
  <c r="F438" i="2" s="1"/>
  <c r="F437" i="2" s="1"/>
  <c r="N409" i="1"/>
  <c r="N408" i="1" s="1"/>
  <c r="N407" i="1" s="1"/>
  <c r="K409" i="1"/>
  <c r="K408" i="1" s="1"/>
  <c r="K407" i="1" s="1"/>
  <c r="H409" i="1"/>
  <c r="H408" i="1" s="1"/>
  <c r="H407" i="1" s="1"/>
  <c r="K454" i="1"/>
  <c r="K453" i="1" s="1"/>
  <c r="K452" i="1" s="1"/>
  <c r="K451" i="1" s="1"/>
  <c r="K447" i="1" s="1"/>
  <c r="I454" i="1"/>
  <c r="I453" i="1" s="1"/>
  <c r="I452" i="1" s="1"/>
  <c r="I451" i="1" s="1"/>
  <c r="H454" i="1"/>
  <c r="H453" i="1" s="1"/>
  <c r="H452" i="1" s="1"/>
  <c r="H451" i="1" s="1"/>
  <c r="N550" i="1"/>
  <c r="N549" i="1" s="1"/>
  <c r="K550" i="1"/>
  <c r="K549" i="1" s="1"/>
  <c r="H550" i="1"/>
  <c r="H549" i="1" s="1"/>
  <c r="L114" i="2"/>
  <c r="L113" i="2" s="1"/>
  <c r="H571" i="1"/>
  <c r="H570" i="1" s="1"/>
  <c r="H569" i="1" s="1"/>
  <c r="F178" i="2"/>
  <c r="F175" i="2" s="1"/>
  <c r="F174" i="2" s="1"/>
  <c r="F173" i="2" s="1"/>
  <c r="N559" i="1"/>
  <c r="N558" i="1" s="1"/>
  <c r="N557" i="1" s="1"/>
  <c r="H768" i="1"/>
  <c r="H772" i="1"/>
  <c r="H773" i="1"/>
  <c r="N830" i="1"/>
  <c r="N829" i="1" s="1"/>
  <c r="N828" i="1" s="1"/>
  <c r="N827" i="1" s="1"/>
  <c r="K830" i="1"/>
  <c r="K829" i="1" s="1"/>
  <c r="K828" i="1" s="1"/>
  <c r="K827" i="1" s="1"/>
  <c r="H830" i="1"/>
  <c r="N134" i="1"/>
  <c r="N133" i="1" s="1"/>
  <c r="K134" i="1"/>
  <c r="K133" i="1" s="1"/>
  <c r="H352" i="1"/>
  <c r="K99" i="1"/>
  <c r="K234" i="1"/>
  <c r="K233" i="1" s="1"/>
  <c r="K232" i="1" s="1"/>
  <c r="H234" i="1"/>
  <c r="H233" i="1" s="1"/>
  <c r="H232" i="1" s="1"/>
  <c r="K387" i="1"/>
  <c r="K386" i="1" s="1"/>
  <c r="F242" i="1"/>
  <c r="K243" i="1"/>
  <c r="K242" i="1" s="1"/>
  <c r="H243" i="1"/>
  <c r="H242" i="1" s="1"/>
  <c r="H391" i="1"/>
  <c r="H390" i="1" s="1"/>
  <c r="H387" i="1"/>
  <c r="H386" i="1" s="1"/>
  <c r="H397" i="1"/>
  <c r="H369" i="1"/>
  <c r="H265" i="1"/>
  <c r="H267" i="1"/>
  <c r="H266" i="1" s="1"/>
  <c r="F266" i="1"/>
  <c r="M12" i="1"/>
  <c r="N30" i="1"/>
  <c r="K30" i="1"/>
  <c r="K29" i="1" s="1"/>
  <c r="K28" i="1" s="1"/>
  <c r="K27" i="1" s="1"/>
  <c r="H30" i="1"/>
  <c r="N853" i="1"/>
  <c r="N851" i="1"/>
  <c r="N849" i="1"/>
  <c r="N847" i="1"/>
  <c r="N844" i="1"/>
  <c r="N839" i="1"/>
  <c r="N838" i="1" s="1"/>
  <c r="N837" i="1" s="1"/>
  <c r="N836" i="1" s="1"/>
  <c r="N820" i="1"/>
  <c r="N819" i="1" s="1"/>
  <c r="N815" i="1"/>
  <c r="N814" i="1" s="1"/>
  <c r="N812" i="1"/>
  <c r="N805" i="1"/>
  <c r="N804" i="1" s="1"/>
  <c r="N803" i="1" s="1"/>
  <c r="N802" i="1" s="1"/>
  <c r="N801" i="1" s="1"/>
  <c r="N800" i="1" s="1"/>
  <c r="N799" i="1" s="1"/>
  <c r="N797" i="1"/>
  <c r="N796" i="1" s="1"/>
  <c r="N795" i="1" s="1"/>
  <c r="N794" i="1" s="1"/>
  <c r="N793" i="1" s="1"/>
  <c r="N792" i="1" s="1"/>
  <c r="N789" i="1"/>
  <c r="N788" i="1" s="1"/>
  <c r="N787" i="1" s="1"/>
  <c r="N786" i="1" s="1"/>
  <c r="N785" i="1" s="1"/>
  <c r="N784" i="1" s="1"/>
  <c r="N783" i="1" s="1"/>
  <c r="N777" i="1"/>
  <c r="N776" i="1" s="1"/>
  <c r="N769" i="1"/>
  <c r="N767" i="1"/>
  <c r="N762" i="1"/>
  <c r="N761" i="1" s="1"/>
  <c r="N760" i="1" s="1"/>
  <c r="N759" i="1" s="1"/>
  <c r="N758" i="1" s="1"/>
  <c r="N749" i="1"/>
  <c r="N737" i="1"/>
  <c r="N736" i="1" s="1"/>
  <c r="N732" i="1"/>
  <c r="N731" i="1" s="1"/>
  <c r="N730" i="1"/>
  <c r="N729" i="1" s="1"/>
  <c r="N728" i="1" s="1"/>
  <c r="N721" i="1"/>
  <c r="N720" i="1" s="1"/>
  <c r="N719" i="1" s="1"/>
  <c r="N718" i="1" s="1"/>
  <c r="N717" i="1" s="1"/>
  <c r="N716" i="1" s="1"/>
  <c r="N713" i="1"/>
  <c r="N712" i="1" s="1"/>
  <c r="N710" i="1"/>
  <c r="N699" i="1"/>
  <c r="N698" i="1" s="1"/>
  <c r="N697" i="1" s="1"/>
  <c r="N696" i="1" s="1"/>
  <c r="N695" i="1" s="1"/>
  <c r="N694" i="1" s="1"/>
  <c r="N686" i="1"/>
  <c r="N685" i="1"/>
  <c r="N681" i="1"/>
  <c r="N680" i="1" s="1"/>
  <c r="N678" i="1"/>
  <c r="N671" i="1"/>
  <c r="N670" i="1" s="1"/>
  <c r="N669" i="1" s="1"/>
  <c r="N668" i="1" s="1"/>
  <c r="N667" i="1" s="1"/>
  <c r="N666" i="1" s="1"/>
  <c r="N663" i="1"/>
  <c r="N661" i="1"/>
  <c r="N658" i="1"/>
  <c r="N657" i="1" s="1"/>
  <c r="N655" i="1"/>
  <c r="N653" i="1"/>
  <c r="N649" i="1"/>
  <c r="N648" i="1" s="1"/>
  <c r="N647" i="1" s="1"/>
  <c r="N637" i="1"/>
  <c r="N636" i="1" s="1"/>
  <c r="N635" i="1" s="1"/>
  <c r="N633" i="1"/>
  <c r="N631" i="1"/>
  <c r="N625" i="1"/>
  <c r="N623" i="1"/>
  <c r="N621" i="1"/>
  <c r="N617" i="1"/>
  <c r="N615" i="1"/>
  <c r="N613" i="1"/>
  <c r="N611" i="1"/>
  <c r="N609" i="1"/>
  <c r="N604" i="1"/>
  <c r="N603" i="1" s="1"/>
  <c r="N602" i="1" s="1"/>
  <c r="N601" i="1" s="1"/>
  <c r="N600" i="1" s="1"/>
  <c r="N596" i="1"/>
  <c r="N594" i="1"/>
  <c r="N554" i="1"/>
  <c r="N553" i="1" s="1"/>
  <c r="N552" i="1" s="1"/>
  <c r="N547" i="1"/>
  <c r="N545" i="1"/>
  <c r="N543" i="1"/>
  <c r="N541" i="1"/>
  <c r="N539" i="1"/>
  <c r="N535" i="1"/>
  <c r="N534" i="1"/>
  <c r="N532" i="1"/>
  <c r="N530" i="1"/>
  <c r="N523" i="1"/>
  <c r="N522" i="1" s="1"/>
  <c r="N521" i="1" s="1"/>
  <c r="N518" i="1"/>
  <c r="N517" i="1" s="1"/>
  <c r="N515" i="1"/>
  <c r="N512" i="1"/>
  <c r="N510" i="1"/>
  <c r="N501" i="1"/>
  <c r="N500" i="1" s="1"/>
  <c r="N499" i="1" s="1"/>
  <c r="N498" i="1" s="1"/>
  <c r="N497" i="1" s="1"/>
  <c r="N495" i="1"/>
  <c r="N494" i="1" s="1"/>
  <c r="N490" i="1"/>
  <c r="N489" i="1" s="1"/>
  <c r="N487" i="1"/>
  <c r="N481" i="1"/>
  <c r="N480" i="1" s="1"/>
  <c r="N479" i="1" s="1"/>
  <c r="N478" i="1" s="1"/>
  <c r="N476" i="1"/>
  <c r="N475" i="1" s="1"/>
  <c r="N474" i="1" s="1"/>
  <c r="N471" i="1"/>
  <c r="N470" i="1" s="1"/>
  <c r="N469" i="1" s="1"/>
  <c r="N468" i="1" s="1"/>
  <c r="N467" i="1" s="1"/>
  <c r="N466" i="1" s="1"/>
  <c r="N465" i="1" s="1"/>
  <c r="N461" i="1"/>
  <c r="N460" i="1" s="1"/>
  <c r="N459" i="1" s="1"/>
  <c r="N458" i="1" s="1"/>
  <c r="N457" i="1" s="1"/>
  <c r="N447" i="1"/>
  <c r="N446" i="1" s="1"/>
  <c r="N445" i="1" s="1"/>
  <c r="N444" i="1" s="1"/>
  <c r="N443" i="1" s="1"/>
  <c r="N440" i="1"/>
  <c r="N438" i="1"/>
  <c r="N433" i="1"/>
  <c r="N432" i="1" s="1"/>
  <c r="N431" i="1" s="1"/>
  <c r="N430" i="1" s="1"/>
  <c r="N429" i="1" s="1"/>
  <c r="N428" i="1" s="1"/>
  <c r="N415" i="1"/>
  <c r="N414" i="1"/>
  <c r="N413" i="1" s="1"/>
  <c r="N404" i="1"/>
  <c r="N403" i="1" s="1"/>
  <c r="N398" i="1"/>
  <c r="N394" i="1"/>
  <c r="N381" i="1"/>
  <c r="N370" i="1"/>
  <c r="N368" i="1"/>
  <c r="N358" i="1"/>
  <c r="N357" i="1"/>
  <c r="N356" i="1" s="1"/>
  <c r="N344" i="1"/>
  <c r="N333" i="1"/>
  <c r="N329" i="1"/>
  <c r="N327" i="1"/>
  <c r="N320" i="1"/>
  <c r="N319" i="1" s="1"/>
  <c r="N314" i="1"/>
  <c r="N313" i="1" s="1"/>
  <c r="N312" i="1" s="1"/>
  <c r="N311" i="1" s="1"/>
  <c r="N310" i="1" s="1"/>
  <c r="N304" i="1"/>
  <c r="N302" i="1"/>
  <c r="N300" i="1"/>
  <c r="N298" i="1"/>
  <c r="N283" i="1"/>
  <c r="N282" i="1" s="1"/>
  <c r="N281" i="1" s="1"/>
  <c r="N278" i="1"/>
  <c r="N275" i="1"/>
  <c r="N274" i="1"/>
  <c r="N272" i="1"/>
  <c r="N261" i="1"/>
  <c r="N259" i="1"/>
  <c r="N254" i="1"/>
  <c r="N253" i="1" s="1"/>
  <c r="N249" i="1"/>
  <c r="N248" i="1" s="1"/>
  <c r="N240" i="1"/>
  <c r="N239" i="1" s="1"/>
  <c r="N238" i="1" s="1"/>
  <c r="N230" i="1"/>
  <c r="N229" i="1" s="1"/>
  <c r="N227" i="1"/>
  <c r="N225" i="1"/>
  <c r="N222" i="1"/>
  <c r="N221" i="1"/>
  <c r="N216" i="1"/>
  <c r="N215" i="1" s="1"/>
  <c r="N211" i="1"/>
  <c r="N210" i="1" s="1"/>
  <c r="N204" i="1"/>
  <c r="N203" i="1" s="1"/>
  <c r="N202" i="1" s="1"/>
  <c r="N201" i="1" s="1"/>
  <c r="N197" i="1"/>
  <c r="N196" i="1" s="1"/>
  <c r="N195" i="1" s="1"/>
  <c r="N193" i="1"/>
  <c r="N192" i="1" s="1"/>
  <c r="N191" i="1" s="1"/>
  <c r="N190" i="1" s="1"/>
  <c r="N188" i="1"/>
  <c r="N186" i="1"/>
  <c r="N184" i="1"/>
  <c r="N182" i="1"/>
  <c r="N179" i="1"/>
  <c r="N178" i="1" s="1"/>
  <c r="N171" i="1"/>
  <c r="N170" i="1" s="1"/>
  <c r="N169" i="1" s="1"/>
  <c r="N167" i="1"/>
  <c r="N164" i="1"/>
  <c r="N162" i="1"/>
  <c r="N159" i="1"/>
  <c r="N154" i="1"/>
  <c r="N152" i="1"/>
  <c r="N145" i="1"/>
  <c r="N144" i="1"/>
  <c r="N143" i="1"/>
  <c r="N140" i="1"/>
  <c r="N131" i="1"/>
  <c r="N129" i="1"/>
  <c r="N127" i="1"/>
  <c r="N121" i="1"/>
  <c r="N119" i="1" s="1"/>
  <c r="N118" i="1" s="1"/>
  <c r="N117" i="1" s="1"/>
  <c r="N116" i="1" s="1"/>
  <c r="N115" i="1" s="1"/>
  <c r="N114" i="1" s="1"/>
  <c r="N113" i="1" s="1"/>
  <c r="N109" i="1"/>
  <c r="N107" i="1"/>
  <c r="N105" i="1"/>
  <c r="N103" i="1"/>
  <c r="N102" i="1"/>
  <c r="N98" i="1"/>
  <c r="N97" i="1" s="1"/>
  <c r="N92" i="1"/>
  <c r="N91" i="1" s="1"/>
  <c r="N90" i="1" s="1"/>
  <c r="N89" i="1" s="1"/>
  <c r="N88" i="1"/>
  <c r="N87" i="1" s="1"/>
  <c r="N85" i="1"/>
  <c r="N80" i="1"/>
  <c r="N79" i="1" s="1"/>
  <c r="N78" i="1" s="1"/>
  <c r="N76" i="1"/>
  <c r="N74" i="1"/>
  <c r="N67" i="1"/>
  <c r="N66" i="1" s="1"/>
  <c r="N65" i="1" s="1"/>
  <c r="N64" i="1" s="1"/>
  <c r="N63" i="1" s="1"/>
  <c r="N62" i="1" s="1"/>
  <c r="N58" i="1"/>
  <c r="N57" i="1" s="1"/>
  <c r="N56" i="1" s="1"/>
  <c r="N53" i="1"/>
  <c r="N52" i="1" s="1"/>
  <c r="N51" i="1" s="1"/>
  <c r="N49" i="1"/>
  <c r="N46" i="1"/>
  <c r="N43" i="1"/>
  <c r="N41" i="1"/>
  <c r="N38" i="1"/>
  <c r="N35" i="1"/>
  <c r="N31" i="1"/>
  <c r="N19" i="1"/>
  <c r="N18" i="1" s="1"/>
  <c r="N17" i="1" s="1"/>
  <c r="N16" i="1" s="1"/>
  <c r="N15" i="1" s="1"/>
  <c r="N14" i="1" s="1"/>
  <c r="N13" i="1" s="1"/>
  <c r="K853" i="1"/>
  <c r="K851" i="1"/>
  <c r="K849" i="1"/>
  <c r="K847" i="1"/>
  <c r="K844" i="1"/>
  <c r="K839" i="1"/>
  <c r="K838" i="1" s="1"/>
  <c r="K837" i="1" s="1"/>
  <c r="K836" i="1" s="1"/>
  <c r="K820" i="1"/>
  <c r="K819" i="1" s="1"/>
  <c r="K815" i="1"/>
  <c r="K814" i="1" s="1"/>
  <c r="K811" i="1" s="1"/>
  <c r="K805" i="1"/>
  <c r="K804" i="1" s="1"/>
  <c r="K803" i="1" s="1"/>
  <c r="K802" i="1" s="1"/>
  <c r="K801" i="1" s="1"/>
  <c r="K800" i="1" s="1"/>
  <c r="K799" i="1" s="1"/>
  <c r="K797" i="1"/>
  <c r="K796" i="1" s="1"/>
  <c r="K795" i="1" s="1"/>
  <c r="K794" i="1" s="1"/>
  <c r="K793" i="1" s="1"/>
  <c r="K792" i="1" s="1"/>
  <c r="K789" i="1"/>
  <c r="K788" i="1" s="1"/>
  <c r="K787" i="1" s="1"/>
  <c r="K786" i="1" s="1"/>
  <c r="K785" i="1" s="1"/>
  <c r="K784" i="1" s="1"/>
  <c r="K783" i="1" s="1"/>
  <c r="K777" i="1"/>
  <c r="K776" i="1" s="1"/>
  <c r="K769" i="1"/>
  <c r="K767" i="1"/>
  <c r="K762" i="1"/>
  <c r="K761" i="1" s="1"/>
  <c r="K760" i="1" s="1"/>
  <c r="K759" i="1" s="1"/>
  <c r="K758" i="1" s="1"/>
  <c r="K754" i="1"/>
  <c r="K753" i="1" s="1"/>
  <c r="K751" i="1"/>
  <c r="K750" i="1" s="1"/>
  <c r="K737" i="1"/>
  <c r="K736" i="1" s="1"/>
  <c r="K732" i="1"/>
  <c r="K731" i="1" s="1"/>
  <c r="K730" i="1"/>
  <c r="K729" i="1" s="1"/>
  <c r="K728" i="1" s="1"/>
  <c r="K721" i="1"/>
  <c r="K720" i="1" s="1"/>
  <c r="K719" i="1" s="1"/>
  <c r="K718" i="1" s="1"/>
  <c r="K717" i="1" s="1"/>
  <c r="K716" i="1" s="1"/>
  <c r="K713" i="1"/>
  <c r="K712" i="1" s="1"/>
  <c r="K710" i="1"/>
  <c r="K699" i="1"/>
  <c r="K698" i="1" s="1"/>
  <c r="K697" i="1" s="1"/>
  <c r="K696" i="1" s="1"/>
  <c r="K695" i="1" s="1"/>
  <c r="K694" i="1" s="1"/>
  <c r="K686" i="1"/>
  <c r="K685" i="1" s="1"/>
  <c r="K681" i="1"/>
  <c r="K680" i="1" s="1"/>
  <c r="K678" i="1"/>
  <c r="K671" i="1"/>
  <c r="K670" i="1" s="1"/>
  <c r="K669" i="1" s="1"/>
  <c r="K668" i="1" s="1"/>
  <c r="K667" i="1" s="1"/>
  <c r="K666" i="1" s="1"/>
  <c r="K663" i="1"/>
  <c r="K661" i="1"/>
  <c r="K658" i="1"/>
  <c r="K657" i="1" s="1"/>
  <c r="K655" i="1"/>
  <c r="K653" i="1"/>
  <c r="K649" i="1"/>
  <c r="K648" i="1" s="1"/>
  <c r="K647" i="1" s="1"/>
  <c r="K637" i="1"/>
  <c r="K636" i="1" s="1"/>
  <c r="K635" i="1" s="1"/>
  <c r="K633" i="1"/>
  <c r="K631" i="1"/>
  <c r="K625" i="1"/>
  <c r="K623" i="1"/>
  <c r="K621" i="1"/>
  <c r="K617" i="1"/>
  <c r="K615" i="1"/>
  <c r="K613" i="1"/>
  <c r="K611" i="1"/>
  <c r="K609" i="1"/>
  <c r="K604" i="1"/>
  <c r="K603" i="1" s="1"/>
  <c r="K602" i="1" s="1"/>
  <c r="K601" i="1" s="1"/>
  <c r="K600" i="1" s="1"/>
  <c r="K596" i="1"/>
  <c r="K594" i="1"/>
  <c r="K554" i="1"/>
  <c r="K553" i="1" s="1"/>
  <c r="K552" i="1" s="1"/>
  <c r="K547" i="1"/>
  <c r="K545" i="1"/>
  <c r="K543" i="1"/>
  <c r="K541" i="1"/>
  <c r="K539" i="1"/>
  <c r="K535" i="1"/>
  <c r="K534" i="1"/>
  <c r="K532" i="1"/>
  <c r="K530" i="1"/>
  <c r="K523" i="1"/>
  <c r="K522" i="1" s="1"/>
  <c r="K521" i="1" s="1"/>
  <c r="K518" i="1"/>
  <c r="K517" i="1" s="1"/>
  <c r="K515" i="1"/>
  <c r="K512" i="1"/>
  <c r="K510" i="1"/>
  <c r="K501" i="1"/>
  <c r="K500" i="1" s="1"/>
  <c r="K499" i="1" s="1"/>
  <c r="K498" i="1" s="1"/>
  <c r="K497" i="1" s="1"/>
  <c r="K495" i="1"/>
  <c r="K494" i="1" s="1"/>
  <c r="K490" i="1"/>
  <c r="K489" i="1" s="1"/>
  <c r="K487" i="1"/>
  <c r="K481" i="1"/>
  <c r="K480" i="1" s="1"/>
  <c r="K479" i="1" s="1"/>
  <c r="K478" i="1" s="1"/>
  <c r="K476" i="1"/>
  <c r="K475" i="1" s="1"/>
  <c r="K474" i="1" s="1"/>
  <c r="K471" i="1"/>
  <c r="K470" i="1" s="1"/>
  <c r="K469" i="1" s="1"/>
  <c r="K468" i="1" s="1"/>
  <c r="K467" i="1" s="1"/>
  <c r="K466" i="1" s="1"/>
  <c r="K465" i="1" s="1"/>
  <c r="K461" i="1"/>
  <c r="K460" i="1" s="1"/>
  <c r="K459" i="1" s="1"/>
  <c r="K458" i="1" s="1"/>
  <c r="K457" i="1" s="1"/>
  <c r="K449" i="1"/>
  <c r="K440" i="1"/>
  <c r="K438" i="1"/>
  <c r="K434" i="1"/>
  <c r="K433" i="1" s="1"/>
  <c r="K432" i="1" s="1"/>
  <c r="K431" i="1" s="1"/>
  <c r="K430" i="1" s="1"/>
  <c r="K429" i="1" s="1"/>
  <c r="K428" i="1" s="1"/>
  <c r="K415" i="1"/>
  <c r="K414" i="1"/>
  <c r="K413" i="1" s="1"/>
  <c r="K404" i="1"/>
  <c r="K403" i="1" s="1"/>
  <c r="K398" i="1"/>
  <c r="K396" i="1"/>
  <c r="K394" i="1"/>
  <c r="K381" i="1"/>
  <c r="K370" i="1"/>
  <c r="K368" i="1"/>
  <c r="K358" i="1"/>
  <c r="K357" i="1"/>
  <c r="K356" i="1" s="1"/>
  <c r="K344" i="1"/>
  <c r="K335" i="1"/>
  <c r="K333" i="1"/>
  <c r="K329" i="1"/>
  <c r="K327" i="1"/>
  <c r="K321" i="1"/>
  <c r="K320" i="1" s="1"/>
  <c r="K319" i="1" s="1"/>
  <c r="K314" i="1"/>
  <c r="K313" i="1" s="1"/>
  <c r="K312" i="1" s="1"/>
  <c r="K311" i="1" s="1"/>
  <c r="K310" i="1" s="1"/>
  <c r="K307" i="1"/>
  <c r="K306" i="1" s="1"/>
  <c r="K304" i="1"/>
  <c r="K302" i="1"/>
  <c r="K300" i="1"/>
  <c r="K298" i="1"/>
  <c r="K293" i="1"/>
  <c r="K292" i="1" s="1"/>
  <c r="K291" i="1" s="1"/>
  <c r="K290" i="1" s="1"/>
  <c r="K283" i="1"/>
  <c r="K282" i="1" s="1"/>
  <c r="K281" i="1" s="1"/>
  <c r="K278" i="1"/>
  <c r="K275" i="1"/>
  <c r="K274" i="1"/>
  <c r="K272" i="1"/>
  <c r="K261" i="1"/>
  <c r="K259" i="1"/>
  <c r="K254" i="1"/>
  <c r="K253" i="1" s="1"/>
  <c r="K249" i="1"/>
  <c r="K248" i="1" s="1"/>
  <c r="K240" i="1"/>
  <c r="K239" i="1" s="1"/>
  <c r="K230" i="1"/>
  <c r="K229" i="1" s="1"/>
  <c r="K227" i="1"/>
  <c r="K225" i="1"/>
  <c r="K222" i="1"/>
  <c r="K221" i="1"/>
  <c r="K216" i="1"/>
  <c r="K215" i="1" s="1"/>
  <c r="K211" i="1"/>
  <c r="K210" i="1" s="1"/>
  <c r="K204" i="1"/>
  <c r="K203" i="1" s="1"/>
  <c r="K202" i="1" s="1"/>
  <c r="K201" i="1" s="1"/>
  <c r="K197" i="1"/>
  <c r="K196" i="1" s="1"/>
  <c r="K195" i="1" s="1"/>
  <c r="K193" i="1"/>
  <c r="K192" i="1" s="1"/>
  <c r="K191" i="1" s="1"/>
  <c r="K190" i="1" s="1"/>
  <c r="K188" i="1"/>
  <c r="K186" i="1"/>
  <c r="K184" i="1"/>
  <c r="K182" i="1"/>
  <c r="K179" i="1"/>
  <c r="K178" i="1" s="1"/>
  <c r="K171" i="1"/>
  <c r="K170" i="1" s="1"/>
  <c r="K169" i="1" s="1"/>
  <c r="K167" i="1"/>
  <c r="K164" i="1"/>
  <c r="K162" i="1"/>
  <c r="K159" i="1"/>
  <c r="K154" i="1"/>
  <c r="K152" i="1"/>
  <c r="K145" i="1"/>
  <c r="K144" i="1"/>
  <c r="K143" i="1"/>
  <c r="K140" i="1"/>
  <c r="K131" i="1"/>
  <c r="K129" i="1"/>
  <c r="K127" i="1"/>
  <c r="K121" i="1"/>
  <c r="K119" i="1" s="1"/>
  <c r="K118" i="1" s="1"/>
  <c r="K117" i="1" s="1"/>
  <c r="K116" i="1" s="1"/>
  <c r="K115" i="1" s="1"/>
  <c r="K114" i="1" s="1"/>
  <c r="K113" i="1" s="1"/>
  <c r="K109" i="1"/>
  <c r="K107" i="1"/>
  <c r="K105" i="1"/>
  <c r="K103" i="1"/>
  <c r="K102" i="1"/>
  <c r="K98" i="1"/>
  <c r="K92" i="1"/>
  <c r="K91" i="1" s="1"/>
  <c r="K90" i="1" s="1"/>
  <c r="K89" i="1" s="1"/>
  <c r="K88" i="1"/>
  <c r="K87" i="1" s="1"/>
  <c r="K85" i="1"/>
  <c r="K80" i="1"/>
  <c r="K79" i="1" s="1"/>
  <c r="K78" i="1" s="1"/>
  <c r="K76" i="1"/>
  <c r="K74" i="1"/>
  <c r="K67" i="1"/>
  <c r="K66" i="1" s="1"/>
  <c r="K65" i="1" s="1"/>
  <c r="K64" i="1" s="1"/>
  <c r="K63" i="1" s="1"/>
  <c r="K62" i="1" s="1"/>
  <c r="K58" i="1"/>
  <c r="K57" i="1" s="1"/>
  <c r="K56" i="1" s="1"/>
  <c r="K53" i="1"/>
  <c r="K52" i="1" s="1"/>
  <c r="K51" i="1" s="1"/>
  <c r="K49" i="1"/>
  <c r="K46" i="1"/>
  <c r="K43" i="1"/>
  <c r="K41" i="1"/>
  <c r="K38" i="1"/>
  <c r="K35" i="1"/>
  <c r="K19" i="1"/>
  <c r="K18" i="1" s="1"/>
  <c r="K17" i="1" s="1"/>
  <c r="K16" i="1" s="1"/>
  <c r="K15" i="1" s="1"/>
  <c r="K14" i="1" s="1"/>
  <c r="K13" i="1" s="1"/>
  <c r="L486" i="2"/>
  <c r="L485" i="2" s="1"/>
  <c r="L484" i="2" s="1"/>
  <c r="I486" i="2"/>
  <c r="I485" i="2" s="1"/>
  <c r="I484" i="2" s="1"/>
  <c r="F486" i="2"/>
  <c r="F485" i="2" s="1"/>
  <c r="F484" i="2" s="1"/>
  <c r="I471" i="2"/>
  <c r="I468" i="2" s="1"/>
  <c r="I467" i="2" s="1"/>
  <c r="I466" i="2" s="1"/>
  <c r="F468" i="2"/>
  <c r="F467" i="2" s="1"/>
  <c r="F466" i="2" s="1"/>
  <c r="L468" i="2"/>
  <c r="L467" i="2" s="1"/>
  <c r="L466" i="2" s="1"/>
  <c r="J468" i="2"/>
  <c r="J467" i="2" s="1"/>
  <c r="J466" i="2" s="1"/>
  <c r="G468" i="2"/>
  <c r="G467" i="2" s="1"/>
  <c r="G466" i="2" s="1"/>
  <c r="D155" i="2" l="1"/>
  <c r="K238" i="1"/>
  <c r="K473" i="1"/>
  <c r="K472" i="1" s="1"/>
  <c r="K73" i="1"/>
  <c r="K72" i="1" s="1"/>
  <c r="N556" i="1"/>
  <c r="F556" i="1"/>
  <c r="N393" i="1"/>
  <c r="K324" i="1"/>
  <c r="K323" i="1" s="1"/>
  <c r="K318" i="1" s="1"/>
  <c r="K317" i="1" s="1"/>
  <c r="K316" i="1" s="1"/>
  <c r="K406" i="1"/>
  <c r="N406" i="1"/>
  <c r="K393" i="1"/>
  <c r="N324" i="1"/>
  <c r="N323" i="1" s="1"/>
  <c r="N318" i="1" s="1"/>
  <c r="N317" i="1" s="1"/>
  <c r="N316" i="1" s="1"/>
  <c r="D412" i="2"/>
  <c r="H366" i="2"/>
  <c r="N385" i="1"/>
  <c r="H385" i="1"/>
  <c r="I385" i="1"/>
  <c r="F385" i="1"/>
  <c r="K385" i="1"/>
  <c r="L385" i="1"/>
  <c r="G412" i="2"/>
  <c r="K709" i="1"/>
  <c r="K708" i="1" s="1"/>
  <c r="K707" i="1" s="1"/>
  <c r="K706" i="1" s="1"/>
  <c r="K705" i="1" s="1"/>
  <c r="K693" i="1" s="1"/>
  <c r="K151" i="1"/>
  <c r="K150" i="1" s="1"/>
  <c r="N84" i="1"/>
  <c r="N83" i="1" s="1"/>
  <c r="J12" i="1"/>
  <c r="K158" i="1"/>
  <c r="K157" i="1" s="1"/>
  <c r="K156" i="1" s="1"/>
  <c r="K220" i="1"/>
  <c r="K209" i="1" s="1"/>
  <c r="J208" i="1"/>
  <c r="J207" i="1" s="1"/>
  <c r="J206" i="1" s="1"/>
  <c r="J173" i="1" s="1"/>
  <c r="K97" i="1"/>
  <c r="K96" i="1" s="1"/>
  <c r="K95" i="1" s="1"/>
  <c r="M11" i="1"/>
  <c r="K126" i="1"/>
  <c r="K125" i="1" s="1"/>
  <c r="K124" i="1" s="1"/>
  <c r="K123" i="1" s="1"/>
  <c r="N158" i="1"/>
  <c r="N157" i="1" s="1"/>
  <c r="N156" i="1" s="1"/>
  <c r="N247" i="1"/>
  <c r="N151" i="1"/>
  <c r="N150" i="1" s="1"/>
  <c r="N271" i="1"/>
  <c r="N270" i="1" s="1"/>
  <c r="N363" i="1"/>
  <c r="N220" i="1"/>
  <c r="N209" i="1" s="1"/>
  <c r="N258" i="1"/>
  <c r="N257" i="1" s="1"/>
  <c r="N256" i="1" s="1"/>
  <c r="N509" i="1"/>
  <c r="N508" i="1" s="1"/>
  <c r="N507" i="1" s="1"/>
  <c r="N506" i="1" s="1"/>
  <c r="N505" i="1" s="1"/>
  <c r="K297" i="1"/>
  <c r="K296" i="1" s="1"/>
  <c r="K289" i="1" s="1"/>
  <c r="K288" i="1" s="1"/>
  <c r="K509" i="1"/>
  <c r="K508" i="1" s="1"/>
  <c r="K507" i="1" s="1"/>
  <c r="K506" i="1" s="1"/>
  <c r="K505" i="1" s="1"/>
  <c r="K660" i="1"/>
  <c r="K659" i="1" s="1"/>
  <c r="K142" i="1"/>
  <c r="K139" i="1" s="1"/>
  <c r="K138" i="1" s="1"/>
  <c r="K137" i="1" s="1"/>
  <c r="K136" i="1" s="1"/>
  <c r="K181" i="1"/>
  <c r="K177" i="1" s="1"/>
  <c r="K176" i="1" s="1"/>
  <c r="K175" i="1" s="1"/>
  <c r="K174" i="1" s="1"/>
  <c r="K529" i="1"/>
  <c r="N709" i="1"/>
  <c r="N708" i="1" s="1"/>
  <c r="N707" i="1" s="1"/>
  <c r="N706" i="1" s="1"/>
  <c r="N705" i="1" s="1"/>
  <c r="N693" i="1" s="1"/>
  <c r="N593" i="1"/>
  <c r="N592" i="1" s="1"/>
  <c r="N591" i="1" s="1"/>
  <c r="N590" i="1" s="1"/>
  <c r="N589" i="1" s="1"/>
  <c r="N585" i="1" s="1"/>
  <c r="N580" i="1" s="1"/>
  <c r="N630" i="1"/>
  <c r="N629" i="1" s="1"/>
  <c r="K258" i="1"/>
  <c r="K257" i="1" s="1"/>
  <c r="K256" i="1" s="1"/>
  <c r="K437" i="1"/>
  <c r="K436" i="1" s="1"/>
  <c r="K486" i="1"/>
  <c r="K485" i="1" s="1"/>
  <c r="K484" i="1" s="1"/>
  <c r="K483" i="1" s="1"/>
  <c r="K538" i="1"/>
  <c r="K593" i="1"/>
  <c r="K592" i="1" s="1"/>
  <c r="K591" i="1" s="1"/>
  <c r="K590" i="1" s="1"/>
  <c r="K589" i="1" s="1"/>
  <c r="K585" i="1" s="1"/>
  <c r="K630" i="1"/>
  <c r="K629" i="1" s="1"/>
  <c r="K766" i="1"/>
  <c r="K765" i="1" s="1"/>
  <c r="K764" i="1" s="1"/>
  <c r="K757" i="1" s="1"/>
  <c r="K756" i="1" s="1"/>
  <c r="N437" i="1"/>
  <c r="N436" i="1" s="1"/>
  <c r="N538" i="1"/>
  <c r="K34" i="1"/>
  <c r="K33" i="1" s="1"/>
  <c r="K26" i="1" s="1"/>
  <c r="K25" i="1" s="1"/>
  <c r="K24" i="1" s="1"/>
  <c r="K363" i="1"/>
  <c r="N34" i="1"/>
  <c r="N33" i="1" s="1"/>
  <c r="K608" i="1"/>
  <c r="K607" i="1" s="1"/>
  <c r="K843" i="1"/>
  <c r="K842" i="1" s="1"/>
  <c r="K841" i="1" s="1"/>
  <c r="N96" i="1"/>
  <c r="N95" i="1" s="1"/>
  <c r="K84" i="1"/>
  <c r="K83" i="1" s="1"/>
  <c r="K71" i="1" s="1"/>
  <c r="K70" i="1" s="1"/>
  <c r="K271" i="1"/>
  <c r="K270" i="1" s="1"/>
  <c r="K446" i="1"/>
  <c r="K445" i="1" s="1"/>
  <c r="K444" i="1" s="1"/>
  <c r="K443" i="1" s="1"/>
  <c r="K556" i="1"/>
  <c r="K620" i="1"/>
  <c r="K619" i="1" s="1"/>
  <c r="K652" i="1"/>
  <c r="K651" i="1" s="1"/>
  <c r="K749" i="1"/>
  <c r="N766" i="1"/>
  <c r="N765" i="1" s="1"/>
  <c r="N764" i="1" s="1"/>
  <c r="N757" i="1" s="1"/>
  <c r="N756" i="1" s="1"/>
  <c r="K247" i="1"/>
  <c r="N620" i="1"/>
  <c r="N619" i="1" s="1"/>
  <c r="N142" i="1"/>
  <c r="N139" i="1" s="1"/>
  <c r="N138" i="1" s="1"/>
  <c r="N137" i="1" s="1"/>
  <c r="N136" i="1" s="1"/>
  <c r="N181" i="1"/>
  <c r="N177" i="1" s="1"/>
  <c r="N176" i="1" s="1"/>
  <c r="N175" i="1" s="1"/>
  <c r="N174" i="1" s="1"/>
  <c r="N843" i="1"/>
  <c r="N842" i="1" s="1"/>
  <c r="N841" i="1" s="1"/>
  <c r="N727" i="1"/>
  <c r="N726" i="1" s="1"/>
  <c r="N725" i="1" s="1"/>
  <c r="N724" i="1" s="1"/>
  <c r="K677" i="1"/>
  <c r="K676" i="1" s="1"/>
  <c r="K675" i="1" s="1"/>
  <c r="K674" i="1" s="1"/>
  <c r="K673" i="1" s="1"/>
  <c r="N486" i="1"/>
  <c r="N485" i="1" s="1"/>
  <c r="N484" i="1" s="1"/>
  <c r="N483" i="1" s="1"/>
  <c r="N608" i="1"/>
  <c r="N607" i="1" s="1"/>
  <c r="N811" i="1"/>
  <c r="N810" i="1" s="1"/>
  <c r="N809" i="1" s="1"/>
  <c r="N808" i="1" s="1"/>
  <c r="N807" i="1" s="1"/>
  <c r="N529" i="1"/>
  <c r="N29" i="1"/>
  <c r="N28" i="1" s="1"/>
  <c r="N27" i="1" s="1"/>
  <c r="N652" i="1"/>
  <c r="N651" i="1" s="1"/>
  <c r="N660" i="1"/>
  <c r="N659" i="1" s="1"/>
  <c r="N73" i="1"/>
  <c r="N72" i="1" s="1"/>
  <c r="N297" i="1"/>
  <c r="N296" i="1" s="1"/>
  <c r="N289" i="1" s="1"/>
  <c r="N288" i="1" s="1"/>
  <c r="N200" i="1"/>
  <c r="N199" i="1"/>
  <c r="N826" i="1"/>
  <c r="N825" i="1"/>
  <c r="N824" i="1" s="1"/>
  <c r="N473" i="1"/>
  <c r="N472" i="1" s="1"/>
  <c r="N677" i="1"/>
  <c r="N676" i="1" s="1"/>
  <c r="N675" i="1" s="1"/>
  <c r="N674" i="1" s="1"/>
  <c r="N673" i="1" s="1"/>
  <c r="N126" i="1"/>
  <c r="N125" i="1" s="1"/>
  <c r="N124" i="1" s="1"/>
  <c r="N123" i="1" s="1"/>
  <c r="K825" i="1"/>
  <c r="K824" i="1" s="1"/>
  <c r="K826" i="1"/>
  <c r="K199" i="1"/>
  <c r="K200" i="1"/>
  <c r="K810" i="1"/>
  <c r="K809" i="1" s="1"/>
  <c r="K808" i="1" s="1"/>
  <c r="K807" i="1" s="1"/>
  <c r="K747" i="1" l="1"/>
  <c r="K746" i="1" s="1"/>
  <c r="K743" i="1" s="1"/>
  <c r="K742" i="1" s="1"/>
  <c r="K741" i="1" s="1"/>
  <c r="K740" i="1" s="1"/>
  <c r="K745" i="1"/>
  <c r="K744" i="1" s="1"/>
  <c r="K362" i="1"/>
  <c r="K355" i="1" s="1"/>
  <c r="K354" i="1" s="1"/>
  <c r="K353" i="1" s="1"/>
  <c r="K287" i="1" s="1"/>
  <c r="N528" i="1"/>
  <c r="N527" i="1" s="1"/>
  <c r="K528" i="1"/>
  <c r="K527" i="1" s="1"/>
  <c r="N362" i="1"/>
  <c r="N355" i="1" s="1"/>
  <c r="N354" i="1" s="1"/>
  <c r="N353" i="1" s="1"/>
  <c r="N287" i="1" s="1"/>
  <c r="N208" i="1"/>
  <c r="N207" i="1" s="1"/>
  <c r="N206" i="1" s="1"/>
  <c r="M855" i="1"/>
  <c r="J287" i="1"/>
  <c r="K149" i="1"/>
  <c r="K148" i="1" s="1"/>
  <c r="K147" i="1" s="1"/>
  <c r="K122" i="1" s="1"/>
  <c r="N71" i="1"/>
  <c r="N70" i="1" s="1"/>
  <c r="N69" i="1" s="1"/>
  <c r="K727" i="1"/>
  <c r="K726" i="1" s="1"/>
  <c r="K725" i="1" s="1"/>
  <c r="K724" i="1" s="1"/>
  <c r="K723" i="1" s="1"/>
  <c r="K692" i="1" s="1"/>
  <c r="K646" i="1"/>
  <c r="K645" i="1" s="1"/>
  <c r="K644" i="1" s="1"/>
  <c r="K643" i="1" s="1"/>
  <c r="N464" i="1"/>
  <c r="K208" i="1"/>
  <c r="K207" i="1" s="1"/>
  <c r="K206" i="1" s="1"/>
  <c r="K69" i="1"/>
  <c r="K12" i="1" s="1"/>
  <c r="K606" i="1"/>
  <c r="K599" i="1" s="1"/>
  <c r="K598" i="1" s="1"/>
  <c r="N606" i="1"/>
  <c r="N599" i="1" s="1"/>
  <c r="N598" i="1" s="1"/>
  <c r="N26" i="1"/>
  <c r="N25" i="1" s="1"/>
  <c r="N24" i="1" s="1"/>
  <c r="K464" i="1"/>
  <c r="N149" i="1"/>
  <c r="N148" i="1" s="1"/>
  <c r="N147" i="1" s="1"/>
  <c r="N122" i="1" s="1"/>
  <c r="N246" i="1"/>
  <c r="N245" i="1" s="1"/>
  <c r="N646" i="1"/>
  <c r="N645" i="1" s="1"/>
  <c r="N644" i="1" s="1"/>
  <c r="N643" i="1" s="1"/>
  <c r="N823" i="1"/>
  <c r="N822" i="1" s="1"/>
  <c r="K823" i="1"/>
  <c r="K822" i="1" s="1"/>
  <c r="K246" i="1"/>
  <c r="K245" i="1" s="1"/>
  <c r="N723" i="1"/>
  <c r="N692" i="1" s="1"/>
  <c r="J11" i="1" l="1"/>
  <c r="J855" i="1" s="1"/>
  <c r="N173" i="1"/>
  <c r="K526" i="1"/>
  <c r="K525" i="1" s="1"/>
  <c r="K504" i="1" s="1"/>
  <c r="K503" i="1" s="1"/>
  <c r="N526" i="1"/>
  <c r="N525" i="1" s="1"/>
  <c r="N504" i="1" s="1"/>
  <c r="N503" i="1" s="1"/>
  <c r="K173" i="1"/>
  <c r="K11" i="1" s="1"/>
  <c r="N12" i="1"/>
  <c r="N11" i="1" s="1"/>
  <c r="K855" i="1" l="1"/>
  <c r="N855" i="1"/>
  <c r="E24" i="2" l="1"/>
  <c r="E23" i="2" s="1"/>
  <c r="H24" i="2"/>
  <c r="H23" i="2" s="1"/>
  <c r="H16" i="2" s="1"/>
  <c r="K24" i="2"/>
  <c r="K23" i="2" s="1"/>
  <c r="K16" i="2" s="1"/>
  <c r="E84" i="2"/>
  <c r="E83" i="2" s="1"/>
  <c r="E65" i="2" s="1"/>
  <c r="H84" i="2"/>
  <c r="H83" i="2" s="1"/>
  <c r="H65" i="2" s="1"/>
  <c r="K15" i="2"/>
  <c r="K14" i="2"/>
  <c r="K13" i="2"/>
  <c r="K12" i="2"/>
  <c r="H15" i="2"/>
  <c r="H14" i="2"/>
  <c r="H13" i="2"/>
  <c r="H12" i="2"/>
  <c r="I504" i="2"/>
  <c r="L504" i="2"/>
  <c r="F592" i="2"/>
  <c r="E540" i="2"/>
  <c r="H548" i="2"/>
  <c r="I566" i="2"/>
  <c r="I481" i="2"/>
  <c r="I480" i="2" s="1"/>
  <c r="I476" i="2" s="1"/>
  <c r="F481" i="2"/>
  <c r="F480" i="2" s="1"/>
  <c r="D480" i="2"/>
  <c r="H11" i="2" l="1"/>
  <c r="H598" i="2" s="1"/>
  <c r="K442" i="2" l="1"/>
  <c r="F418" i="2"/>
  <c r="F417" i="2" s="1"/>
  <c r="L414" i="2"/>
  <c r="L413" i="2" s="1"/>
  <c r="L412" i="2" s="1"/>
  <c r="J414" i="2"/>
  <c r="J413" i="2" s="1"/>
  <c r="J412" i="2" s="1"/>
  <c r="I414" i="2"/>
  <c r="I413" i="2" s="1"/>
  <c r="I412" i="2" s="1"/>
  <c r="F414" i="2"/>
  <c r="F413" i="2" s="1"/>
  <c r="F412" i="2" s="1"/>
  <c r="F402" i="2"/>
  <c r="F393" i="2"/>
  <c r="F373" i="2"/>
  <c r="D341" i="2" l="1"/>
  <c r="F340" i="2"/>
  <c r="F247" i="2"/>
  <c r="F253" i="2"/>
  <c r="F252" i="2"/>
  <c r="L158" i="2"/>
  <c r="L157" i="2" s="1"/>
  <c r="L156" i="2" s="1"/>
  <c r="K11" i="2" l="1"/>
  <c r="E366" i="2"/>
  <c r="E358" i="2" s="1"/>
  <c r="L28" i="2"/>
  <c r="I28" i="2"/>
  <c r="I27" i="2" s="1"/>
  <c r="L583" i="2"/>
  <c r="L581" i="2"/>
  <c r="L579" i="2"/>
  <c r="L577" i="2"/>
  <c r="L575" i="2"/>
  <c r="L573" i="2"/>
  <c r="L571" i="2"/>
  <c r="L565" i="2"/>
  <c r="L564" i="2" s="1"/>
  <c r="L562" i="2"/>
  <c r="L561" i="2"/>
  <c r="L560" i="2" s="1"/>
  <c r="L558" i="2"/>
  <c r="L556" i="2"/>
  <c r="L553" i="2"/>
  <c r="L549" i="2"/>
  <c r="L544" i="2"/>
  <c r="L543" i="2" s="1"/>
  <c r="L541" i="2"/>
  <c r="L537" i="2"/>
  <c r="L536" i="2" s="1"/>
  <c r="L533" i="2"/>
  <c r="L532" i="2" s="1"/>
  <c r="L530" i="2"/>
  <c r="L524" i="2"/>
  <c r="L520" i="2"/>
  <c r="L515" i="2"/>
  <c r="L514" i="2" s="1"/>
  <c r="L512" i="2"/>
  <c r="L511" i="2"/>
  <c r="L510" i="2"/>
  <c r="L508" i="2"/>
  <c r="L507" i="2" s="1"/>
  <c r="L503" i="2"/>
  <c r="L501" i="2"/>
  <c r="L499" i="2"/>
  <c r="L497" i="2"/>
  <c r="L492" i="2"/>
  <c r="L491" i="2" s="1"/>
  <c r="L490" i="2" s="1"/>
  <c r="L483" i="2" s="1"/>
  <c r="L474" i="2"/>
  <c r="L473" i="2" s="1"/>
  <c r="L472" i="2" s="1"/>
  <c r="L464" i="2"/>
  <c r="L463" i="2" s="1"/>
  <c r="L461" i="2"/>
  <c r="L459" i="2"/>
  <c r="L456" i="2"/>
  <c r="L455" i="2" s="1"/>
  <c r="L454" i="2" s="1"/>
  <c r="L445" i="2"/>
  <c r="L444" i="2" s="1"/>
  <c r="L433" i="2"/>
  <c r="L431" i="2"/>
  <c r="L427" i="2"/>
  <c r="L425" i="2"/>
  <c r="L422" i="2"/>
  <c r="L410" i="2"/>
  <c r="L409" i="2" s="1"/>
  <c r="L408" i="2"/>
  <c r="L407" i="2" s="1"/>
  <c r="L406" i="2" s="1"/>
  <c r="L401" i="2"/>
  <c r="L399" i="2"/>
  <c r="L396" i="2"/>
  <c r="L394" i="2"/>
  <c r="L392" i="2"/>
  <c r="L390" i="2"/>
  <c r="L376" i="2"/>
  <c r="L375" i="2"/>
  <c r="L374" i="2" s="1"/>
  <c r="L373" i="2"/>
  <c r="L372" i="2" s="1"/>
  <c r="L362" i="2"/>
  <c r="L361" i="2" s="1"/>
  <c r="L360" i="2" s="1"/>
  <c r="L359" i="2" s="1"/>
  <c r="L356" i="2"/>
  <c r="L354" i="2"/>
  <c r="L352" i="2"/>
  <c r="L350" i="2"/>
  <c r="L347" i="2"/>
  <c r="L346" i="2" s="1"/>
  <c r="L339" i="2"/>
  <c r="L338" i="2" s="1"/>
  <c r="L336" i="2"/>
  <c r="L334" i="2"/>
  <c r="L329" i="2"/>
  <c r="L326" i="2"/>
  <c r="L322" i="2"/>
  <c r="L321" i="2" s="1"/>
  <c r="L317" i="2"/>
  <c r="L315" i="2"/>
  <c r="L310" i="2"/>
  <c r="L307" i="2"/>
  <c r="L306" i="2" s="1"/>
  <c r="L301" i="2"/>
  <c r="L300" i="2" s="1"/>
  <c r="L298" i="2"/>
  <c r="L294" i="2"/>
  <c r="L293" i="2" s="1"/>
  <c r="L292" i="2" s="1"/>
  <c r="L289" i="2"/>
  <c r="L288" i="2" s="1"/>
  <c r="L286" i="2"/>
  <c r="L283" i="2"/>
  <c r="L282" i="2" s="1"/>
  <c r="L281" i="2" s="1"/>
  <c r="L280" i="2"/>
  <c r="L279" i="2" s="1"/>
  <c r="L278" i="2" s="1"/>
  <c r="L257" i="2"/>
  <c r="L256" i="2" s="1"/>
  <c r="L253" i="2" s="1"/>
  <c r="L250" i="2"/>
  <c r="L248" i="2"/>
  <c r="L246" i="2"/>
  <c r="L243" i="2"/>
  <c r="L242" i="2" s="1"/>
  <c r="L240" i="2"/>
  <c r="L239" i="2" s="1"/>
  <c r="L238" i="2"/>
  <c r="L237" i="2" s="1"/>
  <c r="L235" i="2"/>
  <c r="L233" i="2"/>
  <c r="L232" i="2" s="1"/>
  <c r="L231" i="2" s="1"/>
  <c r="L227" i="2"/>
  <c r="L226" i="2" s="1"/>
  <c r="L223" i="2"/>
  <c r="L222" i="2" s="1"/>
  <c r="L218" i="2"/>
  <c r="L216" i="2"/>
  <c r="L213" i="2"/>
  <c r="L211" i="2"/>
  <c r="L209" i="2"/>
  <c r="L200" i="2"/>
  <c r="L197" i="2"/>
  <c r="L195" i="2"/>
  <c r="L193" i="2"/>
  <c r="L188" i="2"/>
  <c r="L187" i="2" s="1"/>
  <c r="L185" i="2"/>
  <c r="L181" i="2"/>
  <c r="L180" i="2" s="1"/>
  <c r="L179" i="2" s="1"/>
  <c r="L152" i="2"/>
  <c r="L149" i="2"/>
  <c r="L146" i="2"/>
  <c r="L144" i="2"/>
  <c r="L138" i="2"/>
  <c r="L136" i="2"/>
  <c r="L134" i="2"/>
  <c r="L130" i="2"/>
  <c r="L128" i="2"/>
  <c r="L126" i="2"/>
  <c r="L124" i="2"/>
  <c r="L122" i="2"/>
  <c r="L120" i="2"/>
  <c r="L119" i="2"/>
  <c r="L118" i="2" s="1"/>
  <c r="L111" i="2"/>
  <c r="L110" i="2" s="1"/>
  <c r="L108" i="2"/>
  <c r="L106" i="2"/>
  <c r="L104" i="2"/>
  <c r="L102" i="2"/>
  <c r="L100" i="2"/>
  <c r="L98" i="2"/>
  <c r="L97" i="2"/>
  <c r="L96" i="2" s="1"/>
  <c r="L94" i="2"/>
  <c r="L90" i="2"/>
  <c r="L89" i="2" s="1"/>
  <c r="L87" i="2"/>
  <c r="L85" i="2"/>
  <c r="L77" i="2"/>
  <c r="L75" i="2"/>
  <c r="L73" i="2"/>
  <c r="L70" i="2"/>
  <c r="L68" i="2"/>
  <c r="L64" i="2"/>
  <c r="L63" i="2" s="1"/>
  <c r="L61" i="2"/>
  <c r="L58" i="2"/>
  <c r="L56" i="2" s="1"/>
  <c r="L53" i="2"/>
  <c r="L51" i="2"/>
  <c r="L49" i="2"/>
  <c r="L46" i="2"/>
  <c r="L43" i="2"/>
  <c r="L41" i="2"/>
  <c r="L38" i="2"/>
  <c r="L35" i="2"/>
  <c r="L32" i="2"/>
  <c r="L31" i="2" s="1"/>
  <c r="L29" i="2"/>
  <c r="L26" i="2"/>
  <c r="L25" i="2" s="1"/>
  <c r="L21" i="2"/>
  <c r="L19" i="2"/>
  <c r="L15" i="2"/>
  <c r="I583" i="2"/>
  <c r="I581" i="2"/>
  <c r="I579" i="2"/>
  <c r="I577" i="2"/>
  <c r="I575" i="2"/>
  <c r="I573" i="2"/>
  <c r="I571" i="2"/>
  <c r="I565" i="2"/>
  <c r="I564" i="2" s="1"/>
  <c r="I562" i="2"/>
  <c r="I561" i="2"/>
  <c r="I560" i="2" s="1"/>
  <c r="I558" i="2"/>
  <c r="I556" i="2"/>
  <c r="I553" i="2"/>
  <c r="I549" i="2"/>
  <c r="I544" i="2"/>
  <c r="I543" i="2" s="1"/>
  <c r="I541" i="2"/>
  <c r="I537" i="2"/>
  <c r="I536" i="2" s="1"/>
  <c r="I533" i="2"/>
  <c r="I532" i="2" s="1"/>
  <c r="I530" i="2"/>
  <c r="I524" i="2"/>
  <c r="I520" i="2"/>
  <c r="I515" i="2"/>
  <c r="I514" i="2" s="1"/>
  <c r="I512" i="2"/>
  <c r="I511" i="2"/>
  <c r="I510" i="2"/>
  <c r="I508" i="2"/>
  <c r="I507" i="2" s="1"/>
  <c r="I503" i="2"/>
  <c r="I501" i="2"/>
  <c r="I499" i="2"/>
  <c r="I497" i="2"/>
  <c r="I492" i="2"/>
  <c r="I491" i="2" s="1"/>
  <c r="I490" i="2" s="1"/>
  <c r="I483" i="2" s="1"/>
  <c r="I474" i="2"/>
  <c r="I473" i="2" s="1"/>
  <c r="I472" i="2" s="1"/>
  <c r="I464" i="2"/>
  <c r="I463" i="2" s="1"/>
  <c r="I461" i="2"/>
  <c r="I459" i="2"/>
  <c r="I456" i="2"/>
  <c r="I455" i="2" s="1"/>
  <c r="I445" i="2"/>
  <c r="I444" i="2" s="1"/>
  <c r="I433" i="2"/>
  <c r="I431" i="2"/>
  <c r="I427" i="2"/>
  <c r="I425" i="2"/>
  <c r="I422" i="2"/>
  <c r="I410" i="2"/>
  <c r="I409" i="2" s="1"/>
  <c r="I408" i="2"/>
  <c r="I407" i="2" s="1"/>
  <c r="I406" i="2" s="1"/>
  <c r="I401" i="2"/>
  <c r="I399" i="2"/>
  <c r="I394" i="2"/>
  <c r="I392" i="2"/>
  <c r="I390" i="2"/>
  <c r="I376" i="2"/>
  <c r="I375" i="2"/>
  <c r="I374" i="2" s="1"/>
  <c r="I373" i="2"/>
  <c r="I372" i="2" s="1"/>
  <c r="I362" i="2"/>
  <c r="I361" i="2" s="1"/>
  <c r="I360" i="2" s="1"/>
  <c r="I359" i="2" s="1"/>
  <c r="I356" i="2"/>
  <c r="I354" i="2"/>
  <c r="I352" i="2"/>
  <c r="I350" i="2"/>
  <c r="I347" i="2"/>
  <c r="I346" i="2" s="1"/>
  <c r="I339" i="2"/>
  <c r="I338" i="2" s="1"/>
  <c r="I336" i="2"/>
  <c r="I334" i="2"/>
  <c r="I329" i="2"/>
  <c r="I326" i="2"/>
  <c r="I322" i="2"/>
  <c r="I321" i="2" s="1"/>
  <c r="I317" i="2"/>
  <c r="I315" i="2"/>
  <c r="I310" i="2"/>
  <c r="I307" i="2"/>
  <c r="I306" i="2" s="1"/>
  <c r="I301" i="2"/>
  <c r="I300" i="2" s="1"/>
  <c r="I299" i="2"/>
  <c r="I298" i="2" s="1"/>
  <c r="I294" i="2"/>
  <c r="I293" i="2" s="1"/>
  <c r="I292" i="2" s="1"/>
  <c r="I289" i="2"/>
  <c r="I288" i="2" s="1"/>
  <c r="I287" i="2"/>
  <c r="I286" i="2" s="1"/>
  <c r="I282" i="2"/>
  <c r="I281" i="2" s="1"/>
  <c r="I279" i="2"/>
  <c r="I278" i="2" s="1"/>
  <c r="I259" i="2"/>
  <c r="I257" i="2"/>
  <c r="I256" i="2" s="1"/>
  <c r="I253" i="2" s="1"/>
  <c r="I250" i="2"/>
  <c r="I249" i="2"/>
  <c r="I248" i="2" s="1"/>
  <c r="I247" i="2"/>
  <c r="I246" i="2" s="1"/>
  <c r="I243" i="2"/>
  <c r="I242" i="2" s="1"/>
  <c r="I240" i="2"/>
  <c r="I239" i="2" s="1"/>
  <c r="I238" i="2"/>
  <c r="I237" i="2" s="1"/>
  <c r="I235" i="2"/>
  <c r="I233" i="2"/>
  <c r="I232" i="2" s="1"/>
  <c r="I231" i="2" s="1"/>
  <c r="I227" i="2"/>
  <c r="I226" i="2" s="1"/>
  <c r="I223" i="2"/>
  <c r="I222" i="2" s="1"/>
  <c r="I219" i="2"/>
  <c r="I218" i="2" s="1"/>
  <c r="I216" i="2"/>
  <c r="I214" i="2"/>
  <c r="I213" i="2" s="1"/>
  <c r="I211" i="2"/>
  <c r="I209" i="2"/>
  <c r="I202" i="2"/>
  <c r="I201" i="2" s="1"/>
  <c r="I200" i="2" s="1"/>
  <c r="I197" i="2"/>
  <c r="I195" i="2"/>
  <c r="I193" i="2"/>
  <c r="I188" i="2"/>
  <c r="I187" i="2" s="1"/>
  <c r="I185" i="2"/>
  <c r="I181" i="2"/>
  <c r="I180" i="2" s="1"/>
  <c r="I179" i="2" s="1"/>
  <c r="I152" i="2"/>
  <c r="I149" i="2"/>
  <c r="I146" i="2"/>
  <c r="I144" i="2"/>
  <c r="I138" i="2"/>
  <c r="I136" i="2"/>
  <c r="I134" i="2"/>
  <c r="I130" i="2"/>
  <c r="I128" i="2"/>
  <c r="I126" i="2"/>
  <c r="I124" i="2"/>
  <c r="I122" i="2"/>
  <c r="I120" i="2"/>
  <c r="I119" i="2"/>
  <c r="I118" i="2" s="1"/>
  <c r="I111" i="2"/>
  <c r="I110" i="2" s="1"/>
  <c r="I108" i="2"/>
  <c r="I106" i="2"/>
  <c r="I104" i="2"/>
  <c r="I102" i="2"/>
  <c r="I100" i="2"/>
  <c r="I98" i="2"/>
  <c r="I97" i="2"/>
  <c r="I96" i="2" s="1"/>
  <c r="I94" i="2"/>
  <c r="I90" i="2"/>
  <c r="I89" i="2" s="1"/>
  <c r="I87" i="2"/>
  <c r="I85" i="2"/>
  <c r="I77" i="2"/>
  <c r="I75" i="2"/>
  <c r="I73" i="2"/>
  <c r="I70" i="2"/>
  <c r="I68" i="2"/>
  <c r="I64" i="2"/>
  <c r="I63" i="2" s="1"/>
  <c r="I61" i="2"/>
  <c r="I58" i="2"/>
  <c r="I56" i="2" s="1"/>
  <c r="I53" i="2"/>
  <c r="I51" i="2"/>
  <c r="I49" i="2"/>
  <c r="I46" i="2"/>
  <c r="I43" i="2"/>
  <c r="I41" i="2"/>
  <c r="I38" i="2"/>
  <c r="I35" i="2"/>
  <c r="I32" i="2"/>
  <c r="I31" i="2" s="1"/>
  <c r="I26" i="2"/>
  <c r="I25" i="2" s="1"/>
  <c r="I21" i="2"/>
  <c r="I20" i="2"/>
  <c r="I19" i="2" s="1"/>
  <c r="I15" i="2"/>
  <c r="F28" i="2"/>
  <c r="F593" i="2"/>
  <c r="L421" i="2" l="1"/>
  <c r="L420" i="2" s="1"/>
  <c r="L443" i="2"/>
  <c r="L442" i="2" s="1"/>
  <c r="I519" i="2"/>
  <c r="I518" i="2" s="1"/>
  <c r="L519" i="2"/>
  <c r="L518" i="2" s="1"/>
  <c r="I421" i="2"/>
  <c r="I420" i="2" s="1"/>
  <c r="I389" i="2"/>
  <c r="L389" i="2"/>
  <c r="L314" i="2"/>
  <c r="L313" i="2" s="1"/>
  <c r="I333" i="2"/>
  <c r="I332" i="2" s="1"/>
  <c r="L333" i="2"/>
  <c r="L332" i="2" s="1"/>
  <c r="L297" i="2"/>
  <c r="I454" i="2"/>
  <c r="I443" i="2" s="1"/>
  <c r="I84" i="2"/>
  <c r="L84" i="2"/>
  <c r="L245" i="2"/>
  <c r="L12" i="2"/>
  <c r="L540" i="2"/>
  <c r="I184" i="2"/>
  <c r="L155" i="2"/>
  <c r="L234" i="2"/>
  <c r="I314" i="2"/>
  <c r="I313" i="2" s="1"/>
  <c r="L143" i="2"/>
  <c r="I67" i="2"/>
  <c r="I66" i="2" s="1"/>
  <c r="I349" i="2"/>
  <c r="I345" i="2" s="1"/>
  <c r="L34" i="2"/>
  <c r="L33" i="2" s="1"/>
  <c r="L117" i="2"/>
  <c r="L116" i="2" s="1"/>
  <c r="L496" i="2"/>
  <c r="L18" i="2"/>
  <c r="L17" i="2" s="1"/>
  <c r="L60" i="2"/>
  <c r="L59" i="2" s="1"/>
  <c r="L27" i="2"/>
  <c r="I148" i="2"/>
  <c r="I305" i="2"/>
  <c r="I496" i="2"/>
  <c r="L67" i="2"/>
  <c r="L66" i="2" s="1"/>
  <c r="L93" i="2"/>
  <c r="L548" i="2"/>
  <c r="I12" i="2"/>
  <c r="L13" i="2"/>
  <c r="L277" i="2"/>
  <c r="L529" i="2"/>
  <c r="L528" i="2" s="1"/>
  <c r="I117" i="2"/>
  <c r="I116" i="2" s="1"/>
  <c r="I208" i="2"/>
  <c r="I207" i="2" s="1"/>
  <c r="L148" i="2"/>
  <c r="I155" i="2"/>
  <c r="L285" i="2"/>
  <c r="L284" i="2" s="1"/>
  <c r="L320" i="2"/>
  <c r="L319" i="2" s="1"/>
  <c r="I133" i="2"/>
  <c r="I132" i="2" s="1"/>
  <c r="L133" i="2"/>
  <c r="L132" i="2" s="1"/>
  <c r="I192" i="2"/>
  <c r="I548" i="2"/>
  <c r="L184" i="2"/>
  <c r="I320" i="2"/>
  <c r="I319" i="2" s="1"/>
  <c r="I509" i="2"/>
  <c r="I506" i="2" s="1"/>
  <c r="L509" i="2"/>
  <c r="L506" i="2" s="1"/>
  <c r="I13" i="2"/>
  <c r="I143" i="2"/>
  <c r="L192" i="2"/>
  <c r="L305" i="2"/>
  <c r="L349" i="2"/>
  <c r="L345" i="2" s="1"/>
  <c r="I24" i="2"/>
  <c r="I23" i="2" s="1"/>
  <c r="L367" i="2"/>
  <c r="L208" i="2"/>
  <c r="L207" i="2" s="1"/>
  <c r="I18" i="2"/>
  <c r="I17" i="2" s="1"/>
  <c r="I14" i="2"/>
  <c r="I93" i="2"/>
  <c r="I234" i="2"/>
  <c r="I245" i="2"/>
  <c r="I285" i="2"/>
  <c r="I284" i="2" s="1"/>
  <c r="I297" i="2"/>
  <c r="I367" i="2"/>
  <c r="I540" i="2"/>
  <c r="I60" i="2"/>
  <c r="I59" i="2" s="1"/>
  <c r="I277" i="2"/>
  <c r="I529" i="2"/>
  <c r="I528" i="2" s="1"/>
  <c r="I34" i="2"/>
  <c r="I33" i="2" s="1"/>
  <c r="I230" i="2" l="1"/>
  <c r="I517" i="2"/>
  <c r="L366" i="2"/>
  <c r="L358" i="2" s="1"/>
  <c r="L83" i="2"/>
  <c r="I83" i="2"/>
  <c r="L312" i="2"/>
  <c r="I442" i="2"/>
  <c r="L296" i="2"/>
  <c r="I366" i="2"/>
  <c r="I358" i="2" s="1"/>
  <c r="I183" i="2"/>
  <c r="L517" i="2"/>
  <c r="I142" i="2"/>
  <c r="I296" i="2"/>
  <c r="I495" i="2"/>
  <c r="L539" i="2"/>
  <c r="L142" i="2"/>
  <c r="L230" i="2"/>
  <c r="L229" i="2" s="1"/>
  <c r="I539" i="2"/>
  <c r="L14" i="2"/>
  <c r="I312" i="2"/>
  <c r="L24" i="2"/>
  <c r="L23" i="2" s="1"/>
  <c r="L16" i="2" s="1"/>
  <c r="L495" i="2"/>
  <c r="I331" i="2"/>
  <c r="I229" i="2"/>
  <c r="L183" i="2"/>
  <c r="L331" i="2"/>
  <c r="K10" i="2"/>
  <c r="K598" i="2"/>
  <c r="I16" i="2"/>
  <c r="I65" i="2" l="1"/>
  <c r="L65" i="2"/>
  <c r="L11" i="2" s="1"/>
  <c r="L598" i="2" s="1"/>
  <c r="E19" i="9" s="1"/>
  <c r="I11" i="2"/>
  <c r="I10" i="2" s="1"/>
  <c r="I598" i="2" l="1"/>
  <c r="D19" i="9" s="1"/>
  <c r="L10" i="2"/>
  <c r="H440" i="1"/>
  <c r="H384" i="1" l="1"/>
  <c r="F379" i="2"/>
  <c r="I344" i="1" l="1"/>
  <c r="L344" i="1"/>
  <c r="H351" i="1"/>
  <c r="F351" i="1"/>
  <c r="L440" i="1"/>
  <c r="I440" i="1"/>
  <c r="F591" i="2"/>
  <c r="H346" i="1"/>
  <c r="F346" i="1"/>
  <c r="F589" i="2"/>
  <c r="D589" i="2"/>
  <c r="H285" i="1"/>
  <c r="F551" i="2"/>
  <c r="H345" i="1" l="1"/>
  <c r="H344" i="1" s="1"/>
  <c r="F345" i="1"/>
  <c r="F344" i="1" s="1"/>
  <c r="H748" i="1"/>
  <c r="F266" i="2"/>
  <c r="E229" i="2" l="1"/>
  <c r="G12" i="1"/>
  <c r="L103" i="1"/>
  <c r="I103" i="1"/>
  <c r="H853" i="1"/>
  <c r="H851" i="1"/>
  <c r="H849" i="1"/>
  <c r="H847" i="1"/>
  <c r="H845" i="1"/>
  <c r="H844" i="1" s="1"/>
  <c r="H839" i="1"/>
  <c r="H838" i="1" s="1"/>
  <c r="H837" i="1" s="1"/>
  <c r="H836" i="1" s="1"/>
  <c r="H829" i="1"/>
  <c r="H828" i="1" s="1"/>
  <c r="H827" i="1" s="1"/>
  <c r="H820" i="1"/>
  <c r="H819" i="1" s="1"/>
  <c r="H817" i="1"/>
  <c r="H815" i="1"/>
  <c r="H814" i="1" s="1"/>
  <c r="H805" i="1"/>
  <c r="H804" i="1" s="1"/>
  <c r="H803" i="1" s="1"/>
  <c r="H802" i="1" s="1"/>
  <c r="H801" i="1" s="1"/>
  <c r="H800" i="1" s="1"/>
  <c r="H799" i="1" s="1"/>
  <c r="H797" i="1"/>
  <c r="H796" i="1" s="1"/>
  <c r="H795" i="1" s="1"/>
  <c r="H794" i="1" s="1"/>
  <c r="H793" i="1" s="1"/>
  <c r="H792" i="1" s="1"/>
  <c r="H789" i="1"/>
  <c r="H788" i="1" s="1"/>
  <c r="H787" i="1" s="1"/>
  <c r="H786" i="1" s="1"/>
  <c r="H785" i="1" s="1"/>
  <c r="H784" i="1" s="1"/>
  <c r="H783" i="1" s="1"/>
  <c r="H777" i="1"/>
  <c r="H776" i="1" s="1"/>
  <c r="H771" i="1"/>
  <c r="H769" i="1"/>
  <c r="H767" i="1"/>
  <c r="H762" i="1"/>
  <c r="H761" i="1" s="1"/>
  <c r="H760" i="1" s="1"/>
  <c r="H759" i="1" s="1"/>
  <c r="H758" i="1" s="1"/>
  <c r="H754" i="1"/>
  <c r="H753" i="1" s="1"/>
  <c r="H751" i="1"/>
  <c r="H750" i="1" s="1"/>
  <c r="H747" i="1"/>
  <c r="H746" i="1" s="1"/>
  <c r="H742" i="1"/>
  <c r="H737" i="1"/>
  <c r="H736" i="1" s="1"/>
  <c r="H732" i="1"/>
  <c r="H731" i="1" s="1"/>
  <c r="H729" i="1"/>
  <c r="H728" i="1" s="1"/>
  <c r="H721" i="1"/>
  <c r="H720" i="1" s="1"/>
  <c r="H719" i="1" s="1"/>
  <c r="H718" i="1" s="1"/>
  <c r="H717" i="1" s="1"/>
  <c r="H716" i="1" s="1"/>
  <c r="H713" i="1"/>
  <c r="H712" i="1" s="1"/>
  <c r="H710" i="1"/>
  <c r="H699" i="1"/>
  <c r="H698" i="1" s="1"/>
  <c r="H697" i="1" s="1"/>
  <c r="H696" i="1" s="1"/>
  <c r="H695" i="1" s="1"/>
  <c r="H694" i="1" s="1"/>
  <c r="H685" i="1"/>
  <c r="H683" i="1"/>
  <c r="H681" i="1"/>
  <c r="H680" i="1" s="1"/>
  <c r="H679" i="1"/>
  <c r="H678" i="1" s="1"/>
  <c r="H671" i="1"/>
  <c r="H670" i="1" s="1"/>
  <c r="H669" i="1" s="1"/>
  <c r="H668" i="1" s="1"/>
  <c r="H667" i="1" s="1"/>
  <c r="H666" i="1" s="1"/>
  <c r="H663" i="1"/>
  <c r="H661" i="1"/>
  <c r="H658" i="1"/>
  <c r="H657" i="1" s="1"/>
  <c r="H655" i="1"/>
  <c r="H653" i="1"/>
  <c r="H649" i="1"/>
  <c r="H648" i="1" s="1"/>
  <c r="H647" i="1" s="1"/>
  <c r="H637" i="1"/>
  <c r="H636" i="1" s="1"/>
  <c r="H635" i="1" s="1"/>
  <c r="H633" i="1"/>
  <c r="H631" i="1"/>
  <c r="H625" i="1"/>
  <c r="H623" i="1"/>
  <c r="H621" i="1"/>
  <c r="H617" i="1"/>
  <c r="H615" i="1"/>
  <c r="H613" i="1"/>
  <c r="H611" i="1"/>
  <c r="H609" i="1"/>
  <c r="H604" i="1"/>
  <c r="H603" i="1" s="1"/>
  <c r="H602" i="1" s="1"/>
  <c r="H601" i="1" s="1"/>
  <c r="H600" i="1" s="1"/>
  <c r="H596" i="1"/>
  <c r="H594" i="1"/>
  <c r="H554" i="1"/>
  <c r="H553" i="1" s="1"/>
  <c r="H552" i="1" s="1"/>
  <c r="H547" i="1"/>
  <c r="H545" i="1"/>
  <c r="H543" i="1"/>
  <c r="H541" i="1"/>
  <c r="H539" i="1"/>
  <c r="H535" i="1"/>
  <c r="H534" i="1"/>
  <c r="H532" i="1"/>
  <c r="H530" i="1"/>
  <c r="H523" i="1"/>
  <c r="H522" i="1" s="1"/>
  <c r="H521" i="1" s="1"/>
  <c r="H518" i="1"/>
  <c r="H517" i="1" s="1"/>
  <c r="H515" i="1"/>
  <c r="H512" i="1"/>
  <c r="H510" i="1"/>
  <c r="H501" i="1"/>
  <c r="H500" i="1" s="1"/>
  <c r="H499" i="1" s="1"/>
  <c r="H498" i="1" s="1"/>
  <c r="H497" i="1" s="1"/>
  <c r="H495" i="1"/>
  <c r="H494" i="1" s="1"/>
  <c r="H490" i="1"/>
  <c r="H489" i="1" s="1"/>
  <c r="H487" i="1"/>
  <c r="H476" i="1"/>
  <c r="H475" i="1" s="1"/>
  <c r="H474" i="1" s="1"/>
  <c r="H471" i="1"/>
  <c r="H470" i="1" s="1"/>
  <c r="H469" i="1" s="1"/>
  <c r="H468" i="1" s="1"/>
  <c r="H467" i="1" s="1"/>
  <c r="H466" i="1" s="1"/>
  <c r="H465" i="1" s="1"/>
  <c r="H462" i="1"/>
  <c r="H461" i="1" s="1"/>
  <c r="H460" i="1" s="1"/>
  <c r="H459" i="1" s="1"/>
  <c r="H458" i="1" s="1"/>
  <c r="H457" i="1" s="1"/>
  <c r="H449" i="1"/>
  <c r="H438" i="1"/>
  <c r="H437" i="1" s="1"/>
  <c r="H436" i="1" s="1"/>
  <c r="H434" i="1"/>
  <c r="H433" i="1" s="1"/>
  <c r="H432" i="1" s="1"/>
  <c r="H431" i="1" s="1"/>
  <c r="H430" i="1" s="1"/>
  <c r="H426" i="1"/>
  <c r="H424" i="1"/>
  <c r="H415" i="1"/>
  <c r="H414" i="1"/>
  <c r="H413" i="1" s="1"/>
  <c r="H406" i="1" s="1"/>
  <c r="H404" i="1"/>
  <c r="H403" i="1" s="1"/>
  <c r="H401" i="1"/>
  <c r="H400" i="1" s="1"/>
  <c r="H398" i="1"/>
  <c r="H396" i="1"/>
  <c r="H394" i="1"/>
  <c r="H381" i="1"/>
  <c r="H379" i="1"/>
  <c r="H378" i="1" s="1"/>
  <c r="H374" i="1"/>
  <c r="H370" i="1"/>
  <c r="H368" i="1"/>
  <c r="H365" i="1"/>
  <c r="H364" i="1" s="1"/>
  <c r="H358" i="1"/>
  <c r="H357" i="1"/>
  <c r="H356" i="1" s="1"/>
  <c r="H337" i="1"/>
  <c r="H336" i="1"/>
  <c r="H335" i="1" s="1"/>
  <c r="H333" i="1"/>
  <c r="H331" i="1"/>
  <c r="H329" i="1"/>
  <c r="H327" i="1"/>
  <c r="H325" i="1"/>
  <c r="H321" i="1"/>
  <c r="H320" i="1" s="1"/>
  <c r="H319" i="1" s="1"/>
  <c r="H312" i="1"/>
  <c r="H311" i="1" s="1"/>
  <c r="H310" i="1" s="1"/>
  <c r="H307" i="1"/>
  <c r="H306" i="1" s="1"/>
  <c r="H304" i="1"/>
  <c r="H302" i="1"/>
  <c r="H300" i="1"/>
  <c r="H298" i="1"/>
  <c r="H293" i="1"/>
  <c r="H292" i="1" s="1"/>
  <c r="H291" i="1" s="1"/>
  <c r="H290" i="1" s="1"/>
  <c r="H283" i="1"/>
  <c r="H282" i="1" s="1"/>
  <c r="H281" i="1" s="1"/>
  <c r="H279" i="1"/>
  <c r="H278" i="1" s="1"/>
  <c r="H275" i="1"/>
  <c r="H274" i="1" s="1"/>
  <c r="H272" i="1"/>
  <c r="H264" i="1"/>
  <c r="H263" i="1" s="1"/>
  <c r="H261" i="1"/>
  <c r="H259" i="1"/>
  <c r="H254" i="1"/>
  <c r="H253" i="1" s="1"/>
  <c r="H249" i="1"/>
  <c r="H248" i="1" s="1"/>
  <c r="H240" i="1"/>
  <c r="H239" i="1" s="1"/>
  <c r="H238" i="1" s="1"/>
  <c r="H230" i="1"/>
  <c r="H229" i="1" s="1"/>
  <c r="H226" i="1"/>
  <c r="H225" i="1" s="1"/>
  <c r="H222" i="1"/>
  <c r="H221" i="1"/>
  <c r="H216" i="1"/>
  <c r="H215" i="1" s="1"/>
  <c r="H211" i="1"/>
  <c r="H210" i="1" s="1"/>
  <c r="H204" i="1"/>
  <c r="H203" i="1" s="1"/>
  <c r="H202" i="1" s="1"/>
  <c r="H201" i="1" s="1"/>
  <c r="H197" i="1"/>
  <c r="H196" i="1" s="1"/>
  <c r="H195" i="1" s="1"/>
  <c r="H193" i="1"/>
  <c r="H192" i="1" s="1"/>
  <c r="H191" i="1" s="1"/>
  <c r="H190" i="1" s="1"/>
  <c r="H188" i="1"/>
  <c r="H186" i="1"/>
  <c r="H184" i="1"/>
  <c r="H182" i="1"/>
  <c r="H179" i="1"/>
  <c r="H178" i="1" s="1"/>
  <c r="H171" i="1"/>
  <c r="H170" i="1" s="1"/>
  <c r="H169" i="1" s="1"/>
  <c r="H167" i="1"/>
  <c r="H164" i="1"/>
  <c r="H162" i="1"/>
  <c r="H159" i="1"/>
  <c r="H154" i="1"/>
  <c r="H152" i="1"/>
  <c r="H145" i="1"/>
  <c r="H144" i="1"/>
  <c r="H140" i="1"/>
  <c r="H133" i="1"/>
  <c r="H131" i="1"/>
  <c r="H129" i="1"/>
  <c r="H127" i="1"/>
  <c r="H121" i="1"/>
  <c r="H119" i="1" s="1"/>
  <c r="H118" i="1" s="1"/>
  <c r="H117" i="1" s="1"/>
  <c r="H116" i="1" s="1"/>
  <c r="H115" i="1" s="1"/>
  <c r="H114" i="1" s="1"/>
  <c r="H113" i="1" s="1"/>
  <c r="H111" i="1"/>
  <c r="H109" i="1"/>
  <c r="H107" i="1"/>
  <c r="H105" i="1"/>
  <c r="H103" i="1"/>
  <c r="H101" i="1"/>
  <c r="H97" i="1"/>
  <c r="H92" i="1"/>
  <c r="H91" i="1" s="1"/>
  <c r="H90" i="1" s="1"/>
  <c r="H89" i="1" s="1"/>
  <c r="H88" i="1"/>
  <c r="H87" i="1" s="1"/>
  <c r="H86" i="1"/>
  <c r="H85" i="1" s="1"/>
  <c r="H80" i="1"/>
  <c r="H79" i="1" s="1"/>
  <c r="H78" i="1" s="1"/>
  <c r="H76" i="1"/>
  <c r="H74" i="1"/>
  <c r="H67" i="1"/>
  <c r="H66" i="1" s="1"/>
  <c r="H65" i="1" s="1"/>
  <c r="H64" i="1" s="1"/>
  <c r="H63" i="1" s="1"/>
  <c r="H62" i="1" s="1"/>
  <c r="H58" i="1"/>
  <c r="H53" i="1"/>
  <c r="H52" i="1" s="1"/>
  <c r="H51" i="1" s="1"/>
  <c r="H49" i="1"/>
  <c r="H46" i="1"/>
  <c r="H43" i="1"/>
  <c r="H41" i="1"/>
  <c r="H38" i="1"/>
  <c r="H35" i="1"/>
  <c r="H31" i="1"/>
  <c r="H19" i="1"/>
  <c r="H18" i="1" s="1"/>
  <c r="H17" i="1" s="1"/>
  <c r="H16" i="1" s="1"/>
  <c r="H15" i="1" s="1"/>
  <c r="H14" i="1" s="1"/>
  <c r="H13" i="1" s="1"/>
  <c r="F103" i="1"/>
  <c r="J571" i="2"/>
  <c r="G571" i="2"/>
  <c r="F571" i="2"/>
  <c r="D571" i="2"/>
  <c r="E12" i="2"/>
  <c r="E13" i="2"/>
  <c r="E14" i="2"/>
  <c r="E15" i="2"/>
  <c r="F587" i="2"/>
  <c r="F585" i="2"/>
  <c r="F583" i="2"/>
  <c r="F581" i="2"/>
  <c r="F579" i="2"/>
  <c r="F577" i="2"/>
  <c r="F575" i="2"/>
  <c r="F573" i="2"/>
  <c r="F564" i="2"/>
  <c r="F562" i="2"/>
  <c r="F561" i="2"/>
  <c r="F560" i="2" s="1"/>
  <c r="F558" i="2"/>
  <c r="F556" i="2"/>
  <c r="F554" i="2"/>
  <c r="F553" i="2" s="1"/>
  <c r="F549" i="2"/>
  <c r="F546" i="2"/>
  <c r="F544" i="2"/>
  <c r="F543" i="2" s="1"/>
  <c r="F541" i="2"/>
  <c r="F537" i="2"/>
  <c r="F536" i="2" s="1"/>
  <c r="F533" i="2"/>
  <c r="F532" i="2" s="1"/>
  <c r="F530" i="2"/>
  <c r="F515" i="2"/>
  <c r="F514" i="2" s="1"/>
  <c r="F512" i="2"/>
  <c r="F511" i="2"/>
  <c r="F507" i="2"/>
  <c r="F503" i="2"/>
  <c r="F501" i="2"/>
  <c r="F499" i="2"/>
  <c r="F497" i="2"/>
  <c r="F492" i="2"/>
  <c r="F491" i="2" s="1"/>
  <c r="F490" i="2" s="1"/>
  <c r="F483" i="2" s="1"/>
  <c r="F478" i="2"/>
  <c r="F477" i="2" s="1"/>
  <c r="F476" i="2" s="1"/>
  <c r="F474" i="2"/>
  <c r="F473" i="2" s="1"/>
  <c r="F472" i="2" s="1"/>
  <c r="F464" i="2"/>
  <c r="F463" i="2" s="1"/>
  <c r="F460" i="2"/>
  <c r="F459" i="2" s="1"/>
  <c r="F456" i="2"/>
  <c r="F455" i="2" s="1"/>
  <c r="F450" i="2"/>
  <c r="F449" i="2" s="1"/>
  <c r="F445" i="2"/>
  <c r="F444" i="2" s="1"/>
  <c r="F434" i="2"/>
  <c r="F433" i="2" s="1"/>
  <c r="F431" i="2"/>
  <c r="F429" i="2"/>
  <c r="F427" i="2"/>
  <c r="F425" i="2"/>
  <c r="F422" i="2"/>
  <c r="F410" i="2"/>
  <c r="F409" i="2" s="1"/>
  <c r="F408" i="2"/>
  <c r="F407" i="2" s="1"/>
  <c r="F406" i="2" s="1"/>
  <c r="F404" i="2"/>
  <c r="F403" i="2" s="1"/>
  <c r="F401" i="2"/>
  <c r="F399" i="2"/>
  <c r="F396" i="2"/>
  <c r="F394" i="2"/>
  <c r="F392" i="2"/>
  <c r="F390" i="2"/>
  <c r="F381" i="2"/>
  <c r="F380" i="2" s="1"/>
  <c r="F385" i="2"/>
  <c r="F376" i="2"/>
  <c r="F374" i="2"/>
  <c r="F372" i="2"/>
  <c r="F369" i="2"/>
  <c r="F368" i="2" s="1"/>
  <c r="F362" i="2"/>
  <c r="F361" i="2" s="1"/>
  <c r="F360" i="2" s="1"/>
  <c r="F359" i="2" s="1"/>
  <c r="F356" i="2"/>
  <c r="F354" i="2"/>
  <c r="F352" i="2"/>
  <c r="F350" i="2"/>
  <c r="F347" i="2"/>
  <c r="F346" i="2" s="1"/>
  <c r="F339" i="2"/>
  <c r="F338" i="2" s="1"/>
  <c r="F336" i="2"/>
  <c r="F334" i="2"/>
  <c r="F329" i="2"/>
  <c r="F326" i="2"/>
  <c r="F322" i="2"/>
  <c r="F321" i="2" s="1"/>
  <c r="F317" i="2"/>
  <c r="F315" i="2"/>
  <c r="F310" i="2"/>
  <c r="F307" i="2"/>
  <c r="F306" i="2" s="1"/>
  <c r="F303" i="2"/>
  <c r="F301" i="2"/>
  <c r="F300" i="2" s="1"/>
  <c r="F299" i="2"/>
  <c r="F298" i="2" s="1"/>
  <c r="F294" i="2"/>
  <c r="F293" i="2" s="1"/>
  <c r="F292" i="2" s="1"/>
  <c r="F289" i="2"/>
  <c r="F288" i="2" s="1"/>
  <c r="F286" i="2"/>
  <c r="F282" i="2"/>
  <c r="F281" i="2" s="1"/>
  <c r="F279" i="2"/>
  <c r="F278" i="2" s="1"/>
  <c r="F265" i="2"/>
  <c r="F264" i="2" s="1"/>
  <c r="F262" i="2"/>
  <c r="F257" i="2"/>
  <c r="F256" i="2" s="1"/>
  <c r="F250" i="2"/>
  <c r="F248" i="2"/>
  <c r="F246" i="2"/>
  <c r="F243" i="2"/>
  <c r="F242" i="2" s="1"/>
  <c r="F240" i="2"/>
  <c r="F239" i="2" s="1"/>
  <c r="F238" i="2"/>
  <c r="F237" i="2" s="1"/>
  <c r="F235" i="2"/>
  <c r="F232" i="2"/>
  <c r="F231" i="2" s="1"/>
  <c r="F227" i="2"/>
  <c r="F226" i="2" s="1"/>
  <c r="F223" i="2"/>
  <c r="F222" i="2" s="1"/>
  <c r="F218" i="2"/>
  <c r="F216" i="2"/>
  <c r="F213" i="2"/>
  <c r="F211" i="2"/>
  <c r="F202" i="2"/>
  <c r="F201" i="2" s="1"/>
  <c r="F200" i="2" s="1"/>
  <c r="F197" i="2"/>
  <c r="F195" i="2"/>
  <c r="F193" i="2"/>
  <c r="F188" i="2"/>
  <c r="F187" i="2" s="1"/>
  <c r="F185" i="2"/>
  <c r="F181" i="2"/>
  <c r="F180" i="2" s="1"/>
  <c r="F179" i="2" s="1"/>
  <c r="F152" i="2"/>
  <c r="F149" i="2"/>
  <c r="F146" i="2"/>
  <c r="F144" i="2"/>
  <c r="F138" i="2"/>
  <c r="F136" i="2"/>
  <c r="F134" i="2"/>
  <c r="F130" i="2"/>
  <c r="F128" i="2"/>
  <c r="F126" i="2"/>
  <c r="F124" i="2"/>
  <c r="F122" i="2"/>
  <c r="F120" i="2"/>
  <c r="F111" i="2"/>
  <c r="F110" i="2" s="1"/>
  <c r="F108" i="2"/>
  <c r="F106" i="2"/>
  <c r="F104" i="2"/>
  <c r="F102" i="2"/>
  <c r="F100" i="2"/>
  <c r="F98" i="2"/>
  <c r="F97" i="2"/>
  <c r="F96" i="2" s="1"/>
  <c r="F94" i="2"/>
  <c r="F90" i="2"/>
  <c r="F89" i="2" s="1"/>
  <c r="F87" i="2"/>
  <c r="F85" i="2"/>
  <c r="F80" i="2"/>
  <c r="F79" i="2" s="1"/>
  <c r="F77" i="2"/>
  <c r="F75" i="2"/>
  <c r="F73" i="2"/>
  <c r="F70" i="2"/>
  <c r="F68" i="2"/>
  <c r="F64" i="2"/>
  <c r="F63" i="2" s="1"/>
  <c r="F62" i="2"/>
  <c r="F61" i="2" s="1"/>
  <c r="F58" i="2"/>
  <c r="F56" i="2" s="1"/>
  <c r="F53" i="2"/>
  <c r="F51" i="2"/>
  <c r="F49" i="2"/>
  <c r="F46" i="2"/>
  <c r="F43" i="2"/>
  <c r="F41" i="2"/>
  <c r="F38" i="2"/>
  <c r="F35" i="2"/>
  <c r="F32" i="2"/>
  <c r="F31" i="2" s="1"/>
  <c r="F29" i="2"/>
  <c r="F27" i="2" s="1"/>
  <c r="F26" i="2"/>
  <c r="F25" i="2" s="1"/>
  <c r="F21" i="2"/>
  <c r="F19" i="2"/>
  <c r="F15" i="2"/>
  <c r="F208" i="2" l="1"/>
  <c r="F548" i="2"/>
  <c r="H57" i="1"/>
  <c r="H56" i="1" s="1"/>
  <c r="H739" i="1"/>
  <c r="F259" i="2"/>
  <c r="H29" i="1"/>
  <c r="H28" i="1" s="1"/>
  <c r="H27" i="1" s="1"/>
  <c r="F367" i="2"/>
  <c r="H473" i="1"/>
  <c r="H472" i="1" s="1"/>
  <c r="H363" i="1"/>
  <c r="F421" i="2"/>
  <c r="F420" i="2" s="1"/>
  <c r="H324" i="1"/>
  <c r="H323" i="1" s="1"/>
  <c r="H318" i="1" s="1"/>
  <c r="H317" i="1" s="1"/>
  <c r="H316" i="1" s="1"/>
  <c r="H393" i="1"/>
  <c r="F389" i="2"/>
  <c r="F84" i="2"/>
  <c r="H766" i="1"/>
  <c r="H765" i="1" s="1"/>
  <c r="H764" i="1" s="1"/>
  <c r="H757" i="1" s="1"/>
  <c r="H756" i="1" s="1"/>
  <c r="H258" i="1"/>
  <c r="H257" i="1" s="1"/>
  <c r="H256" i="1" s="1"/>
  <c r="H811" i="1"/>
  <c r="H810" i="1" s="1"/>
  <c r="H809" i="1" s="1"/>
  <c r="H808" i="1" s="1"/>
  <c r="H807" i="1" s="1"/>
  <c r="F143" i="2"/>
  <c r="F245" i="2"/>
  <c r="F18" i="2"/>
  <c r="F17" i="2" s="1"/>
  <c r="F305" i="2"/>
  <c r="F333" i="2"/>
  <c r="F332" i="2" s="1"/>
  <c r="F184" i="2"/>
  <c r="F148" i="2"/>
  <c r="F314" i="2"/>
  <c r="F313" i="2" s="1"/>
  <c r="F133" i="2"/>
  <c r="F132" i="2" s="1"/>
  <c r="H630" i="1"/>
  <c r="H629" i="1" s="1"/>
  <c r="F496" i="2"/>
  <c r="H709" i="1"/>
  <c r="H708" i="1" s="1"/>
  <c r="H707" i="1" s="1"/>
  <c r="H706" i="1" s="1"/>
  <c r="H705" i="1" s="1"/>
  <c r="H693" i="1" s="1"/>
  <c r="F529" i="2"/>
  <c r="F528" i="2" s="1"/>
  <c r="H529" i="1"/>
  <c r="F540" i="2"/>
  <c r="H593" i="1"/>
  <c r="H592" i="1" s="1"/>
  <c r="H591" i="1" s="1"/>
  <c r="H590" i="1" s="1"/>
  <c r="H589" i="1" s="1"/>
  <c r="H585" i="1" s="1"/>
  <c r="H652" i="1"/>
  <c r="H651" i="1" s="1"/>
  <c r="F320" i="2"/>
  <c r="F319" i="2" s="1"/>
  <c r="E539" i="2"/>
  <c r="H158" i="1"/>
  <c r="H157" i="1" s="1"/>
  <c r="H156" i="1" s="1"/>
  <c r="H247" i="1"/>
  <c r="H423" i="1"/>
  <c r="H422" i="1" s="1"/>
  <c r="H421" i="1" s="1"/>
  <c r="H420" i="1" s="1"/>
  <c r="H419" i="1" s="1"/>
  <c r="H418" i="1" s="1"/>
  <c r="H429" i="1"/>
  <c r="H428" i="1" s="1"/>
  <c r="H843" i="1"/>
  <c r="H842" i="1" s="1"/>
  <c r="H841" i="1" s="1"/>
  <c r="H96" i="1"/>
  <c r="H95" i="1" s="1"/>
  <c r="H271" i="1"/>
  <c r="H270" i="1" s="1"/>
  <c r="H608" i="1"/>
  <c r="H607" i="1" s="1"/>
  <c r="H660" i="1"/>
  <c r="H659" i="1" s="1"/>
  <c r="H151" i="1"/>
  <c r="H150" i="1" s="1"/>
  <c r="H297" i="1"/>
  <c r="H296" i="1" s="1"/>
  <c r="H289" i="1" s="1"/>
  <c r="H288" i="1" s="1"/>
  <c r="H749" i="1"/>
  <c r="H486" i="1"/>
  <c r="H485" i="1" s="1"/>
  <c r="H484" i="1" s="1"/>
  <c r="H483" i="1" s="1"/>
  <c r="H73" i="1"/>
  <c r="H72" i="1" s="1"/>
  <c r="H181" i="1"/>
  <c r="H177" i="1" s="1"/>
  <c r="H176" i="1" s="1"/>
  <c r="H175" i="1" s="1"/>
  <c r="H174" i="1" s="1"/>
  <c r="H538" i="1"/>
  <c r="H620" i="1"/>
  <c r="H619" i="1" s="1"/>
  <c r="H34" i="1"/>
  <c r="H33" i="1" s="1"/>
  <c r="H509" i="1"/>
  <c r="H508" i="1" s="1"/>
  <c r="H507" i="1" s="1"/>
  <c r="H506" i="1" s="1"/>
  <c r="H505" i="1" s="1"/>
  <c r="H84" i="1"/>
  <c r="H83" i="1" s="1"/>
  <c r="H126" i="1"/>
  <c r="H125" i="1" s="1"/>
  <c r="H124" i="1" s="1"/>
  <c r="H123" i="1" s="1"/>
  <c r="H556" i="1"/>
  <c r="F155" i="2"/>
  <c r="H677" i="1"/>
  <c r="H676" i="1" s="1"/>
  <c r="H675" i="1" s="1"/>
  <c r="H674" i="1" s="1"/>
  <c r="H673" i="1" s="1"/>
  <c r="H826" i="1"/>
  <c r="H825" i="1"/>
  <c r="H824" i="1" s="1"/>
  <c r="H200" i="1"/>
  <c r="H199" i="1"/>
  <c r="F285" i="2"/>
  <c r="F284" i="2" s="1"/>
  <c r="F60" i="2"/>
  <c r="F59" i="2" s="1"/>
  <c r="F117" i="2"/>
  <c r="F116" i="2" s="1"/>
  <c r="F297" i="2"/>
  <c r="F192" i="2"/>
  <c r="F13" i="2"/>
  <c r="F93" i="2"/>
  <c r="F234" i="2"/>
  <c r="F349" i="2"/>
  <c r="F345" i="2" s="1"/>
  <c r="F277" i="2"/>
  <c r="F12" i="2"/>
  <c r="E16" i="2"/>
  <c r="E11" i="2" s="1"/>
  <c r="F67" i="2"/>
  <c r="F66" i="2" s="1"/>
  <c r="F207" i="2"/>
  <c r="F24" i="2"/>
  <c r="F23" i="2" s="1"/>
  <c r="F34" i="2"/>
  <c r="F33" i="2" s="1"/>
  <c r="F679" i="1"/>
  <c r="D299" i="2"/>
  <c r="H26" i="1" l="1"/>
  <c r="H25" i="1" s="1"/>
  <c r="H24" i="1" s="1"/>
  <c r="H362" i="1"/>
  <c r="H355" i="1" s="1"/>
  <c r="H354" i="1" s="1"/>
  <c r="H353" i="1" s="1"/>
  <c r="H287" i="1" s="1"/>
  <c r="F83" i="2"/>
  <c r="H464" i="1"/>
  <c r="H528" i="1"/>
  <c r="H527" i="1" s="1"/>
  <c r="H526" i="1" s="1"/>
  <c r="F230" i="2"/>
  <c r="F229" i="2" s="1"/>
  <c r="H606" i="1"/>
  <c r="H599" i="1" s="1"/>
  <c r="H598" i="1" s="1"/>
  <c r="H646" i="1"/>
  <c r="H645" i="1" s="1"/>
  <c r="H644" i="1" s="1"/>
  <c r="H643" i="1" s="1"/>
  <c r="H447" i="1"/>
  <c r="H446" i="1" s="1"/>
  <c r="H445" i="1" s="1"/>
  <c r="H444" i="1" s="1"/>
  <c r="H443" i="1" s="1"/>
  <c r="H246" i="1"/>
  <c r="H245" i="1" s="1"/>
  <c r="F142" i="2"/>
  <c r="F366" i="2"/>
  <c r="F358" i="2" s="1"/>
  <c r="F312" i="2"/>
  <c r="F296" i="2"/>
  <c r="F183" i="2"/>
  <c r="F539" i="2"/>
  <c r="H823" i="1"/>
  <c r="H822" i="1" s="1"/>
  <c r="H71" i="1"/>
  <c r="H70" i="1" s="1"/>
  <c r="H69" i="1" s="1"/>
  <c r="H149" i="1"/>
  <c r="H148" i="1" s="1"/>
  <c r="H147" i="1" s="1"/>
  <c r="H727" i="1"/>
  <c r="H726" i="1" s="1"/>
  <c r="H725" i="1" s="1"/>
  <c r="H724" i="1" s="1"/>
  <c r="H723" i="1" s="1"/>
  <c r="H692" i="1" s="1"/>
  <c r="G11" i="1"/>
  <c r="F331" i="2"/>
  <c r="F16" i="2"/>
  <c r="E10" i="2"/>
  <c r="E598" i="2"/>
  <c r="D250" i="2"/>
  <c r="H12" i="1" l="1"/>
  <c r="F65" i="2"/>
  <c r="H525" i="1"/>
  <c r="H504" i="1" s="1"/>
  <c r="H503" i="1" s="1"/>
  <c r="G855" i="1"/>
  <c r="M231" i="2"/>
  <c r="M187" i="2"/>
  <c r="M185" i="2"/>
  <c r="F52" i="8" l="1"/>
  <c r="C52" i="8" s="1"/>
  <c r="C66" i="8"/>
  <c r="C67" i="8"/>
  <c r="C86" i="8"/>
  <c r="C87" i="8"/>
  <c r="C92" i="8"/>
  <c r="C93" i="8"/>
  <c r="C94" i="8"/>
  <c r="F336" i="1"/>
  <c r="D434" i="2" l="1"/>
  <c r="L31" i="1" l="1"/>
  <c r="F31" i="1"/>
  <c r="J29" i="2"/>
  <c r="D29" i="2"/>
  <c r="L98" i="1" l="1"/>
  <c r="I98" i="1"/>
  <c r="J565" i="2"/>
  <c r="G565" i="2"/>
  <c r="I293" i="1"/>
  <c r="I292" i="1" s="1"/>
  <c r="I291" i="1" s="1"/>
  <c r="I290" i="1" s="1"/>
  <c r="F19" i="1"/>
  <c r="L19" i="1"/>
  <c r="I19" i="1"/>
  <c r="L604" i="1"/>
  <c r="I604" i="1"/>
  <c r="F604" i="1"/>
  <c r="L762" i="1"/>
  <c r="I762" i="1"/>
  <c r="F762" i="1"/>
  <c r="L815" i="1"/>
  <c r="I815" i="1"/>
  <c r="F815" i="1"/>
  <c r="L438" i="1"/>
  <c r="I438" i="1"/>
  <c r="F438" i="1"/>
  <c r="D587" i="2"/>
  <c r="F437" i="1" l="1"/>
  <c r="F436" i="1" s="1"/>
  <c r="L437" i="1"/>
  <c r="L436" i="1" s="1"/>
  <c r="I437" i="1"/>
  <c r="I436" i="1" s="1"/>
  <c r="J544" i="2"/>
  <c r="G544" i="2"/>
  <c r="D544" i="2"/>
  <c r="J26" i="2"/>
  <c r="G26" i="2"/>
  <c r="D26" i="2"/>
  <c r="F226" i="1"/>
  <c r="F225" i="1" s="1"/>
  <c r="F228" i="1"/>
  <c r="H228" i="1" s="1"/>
  <c r="H227" i="1" s="1"/>
  <c r="H220" i="1" s="1"/>
  <c r="H209" i="1" s="1"/>
  <c r="H208" i="1" s="1"/>
  <c r="H207" i="1" s="1"/>
  <c r="H206" i="1" s="1"/>
  <c r="H173" i="1" s="1"/>
  <c r="D460" i="2"/>
  <c r="D462" i="2"/>
  <c r="F462" i="2" s="1"/>
  <c r="F461" i="2" l="1"/>
  <c r="F454" i="2" s="1"/>
  <c r="F443" i="2" s="1"/>
  <c r="F442" i="2" s="1"/>
  <c r="L461" i="1"/>
  <c r="L460" i="1" s="1"/>
  <c r="L459" i="1" s="1"/>
  <c r="L458" i="1" s="1"/>
  <c r="L457" i="1" s="1"/>
  <c r="I461" i="1"/>
  <c r="I460" i="1" s="1"/>
  <c r="I459" i="1" s="1"/>
  <c r="I458" i="1" s="1"/>
  <c r="I457" i="1" s="1"/>
  <c r="F462" i="1"/>
  <c r="F461" i="1" s="1"/>
  <c r="F460" i="1" s="1"/>
  <c r="F86" i="1"/>
  <c r="D62" i="2"/>
  <c r="G202" i="2" l="1"/>
  <c r="G201" i="2" s="1"/>
  <c r="G200" i="2" s="1"/>
  <c r="F683" i="1"/>
  <c r="D303" i="2"/>
  <c r="J511" i="2" l="1"/>
  <c r="G511" i="2"/>
  <c r="D511" i="2"/>
  <c r="J510" i="2"/>
  <c r="G510" i="2"/>
  <c r="D510" i="2"/>
  <c r="F510" i="2" s="1"/>
  <c r="F509" i="2" s="1"/>
  <c r="L143" i="1"/>
  <c r="L144" i="1"/>
  <c r="I143" i="1"/>
  <c r="I144" i="1"/>
  <c r="F143" i="1"/>
  <c r="H143" i="1" s="1"/>
  <c r="H142" i="1" s="1"/>
  <c r="H139" i="1" s="1"/>
  <c r="H138" i="1" s="1"/>
  <c r="H137" i="1" s="1"/>
  <c r="H136" i="1" s="1"/>
  <c r="H122" i="1" s="1"/>
  <c r="H11" i="1" s="1"/>
  <c r="H855" i="1" s="1"/>
  <c r="F144" i="1"/>
  <c r="F506" i="2" l="1"/>
  <c r="F495" i="2" s="1"/>
  <c r="F11" i="2" s="1"/>
  <c r="F14" i="2"/>
  <c r="F111" i="1"/>
  <c r="D585" i="2"/>
  <c r="F10" i="2" l="1"/>
  <c r="F598" i="2"/>
  <c r="L121" i="1"/>
  <c r="I121" i="1"/>
  <c r="F121" i="1"/>
  <c r="J58" i="2"/>
  <c r="G58" i="2"/>
  <c r="D58" i="2"/>
  <c r="L481" i="1"/>
  <c r="L480" i="1" s="1"/>
  <c r="L479" i="1" s="1"/>
  <c r="L478" i="1" s="1"/>
  <c r="I481" i="1"/>
  <c r="I480" i="1" s="1"/>
  <c r="I479" i="1" s="1"/>
  <c r="I478" i="1" s="1"/>
  <c r="J524" i="2"/>
  <c r="G524" i="2"/>
  <c r="D530" i="2"/>
  <c r="G530" i="2"/>
  <c r="J530" i="2"/>
  <c r="C16" i="9" l="1"/>
  <c r="C19" i="9"/>
  <c r="L381" i="1"/>
  <c r="I381" i="1"/>
  <c r="F381" i="1"/>
  <c r="D376" i="2"/>
  <c r="J376" i="2"/>
  <c r="G376" i="2"/>
  <c r="K38" i="8" l="1"/>
  <c r="G38" i="8"/>
  <c r="C85" i="8"/>
  <c r="C84" i="8"/>
  <c r="C83" i="8"/>
  <c r="C82" i="8"/>
  <c r="C81" i="8"/>
  <c r="C80" i="8"/>
  <c r="C79" i="8"/>
  <c r="C78" i="8"/>
  <c r="C77" i="8"/>
  <c r="C76" i="8"/>
  <c r="C75" i="8"/>
  <c r="C74" i="8"/>
  <c r="C73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L88" i="1" l="1"/>
  <c r="I88" i="1"/>
  <c r="F88" i="1"/>
  <c r="L76" i="1"/>
  <c r="I76" i="1"/>
  <c r="F76" i="1"/>
  <c r="J64" i="2"/>
  <c r="G64" i="2"/>
  <c r="D64" i="2"/>
  <c r="J21" i="2"/>
  <c r="G21" i="2"/>
  <c r="D21" i="2"/>
  <c r="C34" i="8" l="1"/>
  <c r="C33" i="8" s="1"/>
  <c r="F33" i="8"/>
  <c r="F845" i="1" l="1"/>
  <c r="D554" i="2"/>
  <c r="J32" i="2" l="1"/>
  <c r="G32" i="2"/>
  <c r="D32" i="2"/>
  <c r="L471" i="1"/>
  <c r="I471" i="1"/>
  <c r="F471" i="1"/>
  <c r="F817" i="1"/>
  <c r="D546" i="2"/>
  <c r="L658" i="1" l="1"/>
  <c r="I658" i="1"/>
  <c r="F658" i="1"/>
  <c r="J97" i="2"/>
  <c r="G97" i="2"/>
  <c r="D97" i="2"/>
  <c r="J492" i="2" l="1"/>
  <c r="J491" i="2" s="1"/>
  <c r="J490" i="2" s="1"/>
  <c r="J483" i="2" s="1"/>
  <c r="E14" i="9" l="1"/>
  <c r="E13" i="9" s="1"/>
  <c r="E12" i="9" s="1"/>
  <c r="D14" i="9"/>
  <c r="D13" i="9" s="1"/>
  <c r="D12" i="9" s="1"/>
  <c r="C14" i="9"/>
  <c r="C13" i="9" s="1"/>
  <c r="C12" i="9" s="1"/>
  <c r="G104" i="8"/>
  <c r="F103" i="8"/>
  <c r="F102" i="8" s="1"/>
  <c r="C103" i="8"/>
  <c r="C102" i="8" s="1"/>
  <c r="M102" i="8"/>
  <c r="K102" i="8"/>
  <c r="G102" i="8"/>
  <c r="K101" i="8"/>
  <c r="H100" i="8"/>
  <c r="D100" i="8"/>
  <c r="M100" i="8"/>
  <c r="K100" i="8" s="1"/>
  <c r="J100" i="8"/>
  <c r="F100" i="8"/>
  <c r="K99" i="8"/>
  <c r="G99" i="8"/>
  <c r="C99" i="8"/>
  <c r="M98" i="8"/>
  <c r="K98" i="8" s="1"/>
  <c r="J98" i="8"/>
  <c r="G98" i="8" s="1"/>
  <c r="F98" i="8"/>
  <c r="C98" i="8" s="1"/>
  <c r="K37" i="8"/>
  <c r="K36" i="8" s="1"/>
  <c r="G37" i="8"/>
  <c r="C37" i="8"/>
  <c r="M36" i="8"/>
  <c r="L36" i="8"/>
  <c r="J36" i="8"/>
  <c r="I36" i="8"/>
  <c r="F36" i="8"/>
  <c r="E36" i="8"/>
  <c r="K31" i="8"/>
  <c r="K30" i="8" s="1"/>
  <c r="G31" i="8"/>
  <c r="G30" i="8" s="1"/>
  <c r="C31" i="8"/>
  <c r="C30" i="8" s="1"/>
  <c r="L20" i="8"/>
  <c r="K19" i="8"/>
  <c r="G19" i="8"/>
  <c r="C19" i="8"/>
  <c r="M18" i="8"/>
  <c r="K18" i="8" s="1"/>
  <c r="G18" i="8"/>
  <c r="C18" i="8"/>
  <c r="L17" i="8"/>
  <c r="K17" i="8" s="1"/>
  <c r="G17" i="8"/>
  <c r="C17" i="8"/>
  <c r="I15" i="8"/>
  <c r="H15" i="8"/>
  <c r="E15" i="8"/>
  <c r="D15" i="8"/>
  <c r="D29" i="8" l="1"/>
  <c r="D28" i="8" s="1"/>
  <c r="J29" i="8"/>
  <c r="L29" i="8"/>
  <c r="L28" i="8" s="1"/>
  <c r="H29" i="8"/>
  <c r="H28" i="8" s="1"/>
  <c r="K29" i="8"/>
  <c r="K28" i="8" s="1"/>
  <c r="F29" i="8"/>
  <c r="F28" i="8" s="1"/>
  <c r="M29" i="8"/>
  <c r="M28" i="8" s="1"/>
  <c r="M20" i="8" s="1"/>
  <c r="M15" i="8" s="1"/>
  <c r="G36" i="8"/>
  <c r="C36" i="8"/>
  <c r="J28" i="8"/>
  <c r="J20" i="8" s="1"/>
  <c r="C101" i="8"/>
  <c r="G101" i="8"/>
  <c r="L15" i="8"/>
  <c r="E100" i="8"/>
  <c r="E29" i="8" s="1"/>
  <c r="I100" i="8"/>
  <c r="G100" i="8" s="1"/>
  <c r="F20" i="8" l="1"/>
  <c r="C20" i="8" s="1"/>
  <c r="C15" i="8" s="1"/>
  <c r="I29" i="8"/>
  <c r="I28" i="8" s="1"/>
  <c r="G29" i="8"/>
  <c r="G28" i="8" s="1"/>
  <c r="G20" i="8"/>
  <c r="G15" i="8" s="1"/>
  <c r="J15" i="8"/>
  <c r="K20" i="8"/>
  <c r="K15" i="8" s="1"/>
  <c r="E28" i="8"/>
  <c r="C100" i="8"/>
  <c r="C29" i="8" s="1"/>
  <c r="F15" i="8" l="1"/>
  <c r="C28" i="8"/>
  <c r="J583" i="2" l="1"/>
  <c r="G583" i="2"/>
  <c r="D583" i="2"/>
  <c r="J581" i="2"/>
  <c r="G581" i="2"/>
  <c r="D581" i="2"/>
  <c r="J579" i="2"/>
  <c r="G579" i="2"/>
  <c r="D579" i="2"/>
  <c r="J577" i="2"/>
  <c r="G577" i="2"/>
  <c r="D577" i="2"/>
  <c r="J575" i="2"/>
  <c r="G575" i="2"/>
  <c r="D575" i="2"/>
  <c r="J573" i="2"/>
  <c r="G573" i="2"/>
  <c r="D573" i="2"/>
  <c r="J564" i="2"/>
  <c r="D564" i="2"/>
  <c r="G564" i="2"/>
  <c r="J562" i="2"/>
  <c r="G562" i="2"/>
  <c r="D562" i="2"/>
  <c r="J561" i="2"/>
  <c r="J560" i="2" s="1"/>
  <c r="G561" i="2"/>
  <c r="G560" i="2" s="1"/>
  <c r="D561" i="2"/>
  <c r="D560" i="2" s="1"/>
  <c r="J558" i="2"/>
  <c r="G558" i="2"/>
  <c r="D558" i="2"/>
  <c r="J556" i="2"/>
  <c r="G556" i="2"/>
  <c r="D556" i="2"/>
  <c r="J553" i="2"/>
  <c r="G553" i="2"/>
  <c r="D553" i="2"/>
  <c r="J549" i="2"/>
  <c r="G549" i="2"/>
  <c r="D549" i="2"/>
  <c r="J543" i="2"/>
  <c r="G543" i="2"/>
  <c r="D543" i="2"/>
  <c r="J541" i="2"/>
  <c r="G541" i="2"/>
  <c r="D541" i="2"/>
  <c r="J537" i="2"/>
  <c r="J536" i="2" s="1"/>
  <c r="G537" i="2"/>
  <c r="G536" i="2" s="1"/>
  <c r="D537" i="2"/>
  <c r="D536" i="2" s="1"/>
  <c r="J533" i="2"/>
  <c r="J532" i="2" s="1"/>
  <c r="J529" i="2" s="1"/>
  <c r="G533" i="2"/>
  <c r="G532" i="2" s="1"/>
  <c r="G529" i="2" s="1"/>
  <c r="D533" i="2"/>
  <c r="D532" i="2" s="1"/>
  <c r="D529" i="2" s="1"/>
  <c r="J520" i="2"/>
  <c r="J519" i="2" s="1"/>
  <c r="J518" i="2" s="1"/>
  <c r="G520" i="2"/>
  <c r="G519" i="2" s="1"/>
  <c r="J515" i="2"/>
  <c r="J514" i="2" s="1"/>
  <c r="G515" i="2"/>
  <c r="G514" i="2" s="1"/>
  <c r="D515" i="2"/>
  <c r="D514" i="2" s="1"/>
  <c r="J512" i="2"/>
  <c r="G512" i="2"/>
  <c r="D512" i="2"/>
  <c r="J509" i="2"/>
  <c r="G509" i="2"/>
  <c r="D509" i="2"/>
  <c r="J508" i="2"/>
  <c r="J507" i="2" s="1"/>
  <c r="G508" i="2"/>
  <c r="G507" i="2" s="1"/>
  <c r="D508" i="2"/>
  <c r="D507" i="2" s="1"/>
  <c r="J503" i="2"/>
  <c r="G503" i="2"/>
  <c r="D503" i="2"/>
  <c r="J501" i="2"/>
  <c r="G501" i="2"/>
  <c r="D501" i="2"/>
  <c r="D500" i="2"/>
  <c r="D499" i="2" s="1"/>
  <c r="J499" i="2"/>
  <c r="G499" i="2"/>
  <c r="J497" i="2"/>
  <c r="G497" i="2"/>
  <c r="D497" i="2"/>
  <c r="G492" i="2"/>
  <c r="G491" i="2" s="1"/>
  <c r="G490" i="2" s="1"/>
  <c r="G483" i="2" s="1"/>
  <c r="D492" i="2"/>
  <c r="D491" i="2" s="1"/>
  <c r="D490" i="2" s="1"/>
  <c r="D483" i="2" s="1"/>
  <c r="D478" i="2"/>
  <c r="D477" i="2" s="1"/>
  <c r="D476" i="2" s="1"/>
  <c r="J474" i="2"/>
  <c r="J473" i="2" s="1"/>
  <c r="J472" i="2" s="1"/>
  <c r="G474" i="2"/>
  <c r="G473" i="2" s="1"/>
  <c r="G472" i="2" s="1"/>
  <c r="D474" i="2"/>
  <c r="D473" i="2" s="1"/>
  <c r="D472" i="2" s="1"/>
  <c r="J464" i="2"/>
  <c r="J463" i="2" s="1"/>
  <c r="G464" i="2"/>
  <c r="G463" i="2" s="1"/>
  <c r="D464" i="2"/>
  <c r="D463" i="2" s="1"/>
  <c r="J461" i="2"/>
  <c r="G461" i="2"/>
  <c r="D461" i="2"/>
  <c r="J459" i="2"/>
  <c r="G459" i="2"/>
  <c r="D459" i="2"/>
  <c r="J456" i="2"/>
  <c r="J455" i="2" s="1"/>
  <c r="J454" i="2" s="1"/>
  <c r="G456" i="2"/>
  <c r="G455" i="2" s="1"/>
  <c r="D456" i="2"/>
  <c r="D455" i="2" s="1"/>
  <c r="D450" i="2"/>
  <c r="D449" i="2" s="1"/>
  <c r="J445" i="2"/>
  <c r="J444" i="2" s="1"/>
  <c r="G445" i="2"/>
  <c r="G444" i="2" s="1"/>
  <c r="D445" i="2"/>
  <c r="D444" i="2" s="1"/>
  <c r="D435" i="2"/>
  <c r="J433" i="2"/>
  <c r="G433" i="2"/>
  <c r="D433" i="2"/>
  <c r="J431" i="2"/>
  <c r="G431" i="2"/>
  <c r="D431" i="2"/>
  <c r="D429" i="2"/>
  <c r="J427" i="2"/>
  <c r="G427" i="2"/>
  <c r="D427" i="2"/>
  <c r="J425" i="2"/>
  <c r="G425" i="2"/>
  <c r="D425" i="2"/>
  <c r="D422" i="2"/>
  <c r="J422" i="2"/>
  <c r="G422" i="2"/>
  <c r="J410" i="2"/>
  <c r="J409" i="2" s="1"/>
  <c r="G410" i="2"/>
  <c r="G409" i="2" s="1"/>
  <c r="D410" i="2"/>
  <c r="D409" i="2" s="1"/>
  <c r="J408" i="2"/>
  <c r="J407" i="2" s="1"/>
  <c r="J406" i="2" s="1"/>
  <c r="G408" i="2"/>
  <c r="G407" i="2" s="1"/>
  <c r="G406" i="2" s="1"/>
  <c r="D408" i="2"/>
  <c r="D407" i="2" s="1"/>
  <c r="D406" i="2" s="1"/>
  <c r="D404" i="2"/>
  <c r="D403" i="2" s="1"/>
  <c r="J401" i="2"/>
  <c r="G401" i="2"/>
  <c r="D401" i="2"/>
  <c r="J399" i="2"/>
  <c r="G399" i="2"/>
  <c r="D399" i="2"/>
  <c r="J396" i="2"/>
  <c r="D396" i="2"/>
  <c r="J394" i="2"/>
  <c r="G394" i="2"/>
  <c r="D394" i="2"/>
  <c r="J392" i="2"/>
  <c r="G392" i="2"/>
  <c r="D392" i="2"/>
  <c r="J390" i="2"/>
  <c r="G390" i="2"/>
  <c r="D390" i="2"/>
  <c r="D381" i="2"/>
  <c r="D380" i="2" s="1"/>
  <c r="D385" i="2"/>
  <c r="J375" i="2"/>
  <c r="J374" i="2" s="1"/>
  <c r="G375" i="2"/>
  <c r="G374" i="2" s="1"/>
  <c r="D374" i="2"/>
  <c r="J373" i="2"/>
  <c r="J372" i="2" s="1"/>
  <c r="G373" i="2"/>
  <c r="G372" i="2" s="1"/>
  <c r="D372" i="2"/>
  <c r="D369" i="2"/>
  <c r="D368" i="2" s="1"/>
  <c r="J362" i="2"/>
  <c r="J361" i="2" s="1"/>
  <c r="J360" i="2" s="1"/>
  <c r="J359" i="2" s="1"/>
  <c r="G362" i="2"/>
  <c r="G361" i="2" s="1"/>
  <c r="G360" i="2" s="1"/>
  <c r="G359" i="2" s="1"/>
  <c r="D362" i="2"/>
  <c r="D361" i="2" s="1"/>
  <c r="D360" i="2" s="1"/>
  <c r="D359" i="2" s="1"/>
  <c r="J356" i="2"/>
  <c r="G356" i="2"/>
  <c r="D356" i="2"/>
  <c r="J354" i="2"/>
  <c r="G354" i="2"/>
  <c r="D354" i="2"/>
  <c r="J352" i="2"/>
  <c r="G352" i="2"/>
  <c r="D352" i="2"/>
  <c r="J350" i="2"/>
  <c r="G350" i="2"/>
  <c r="D350" i="2"/>
  <c r="J347" i="2"/>
  <c r="J346" i="2" s="1"/>
  <c r="G347" i="2"/>
  <c r="G346" i="2" s="1"/>
  <c r="D347" i="2"/>
  <c r="D346" i="2" s="1"/>
  <c r="J339" i="2"/>
  <c r="J338" i="2" s="1"/>
  <c r="G339" i="2"/>
  <c r="G338" i="2" s="1"/>
  <c r="D339" i="2"/>
  <c r="D338" i="2" s="1"/>
  <c r="J336" i="2"/>
  <c r="G336" i="2"/>
  <c r="D336" i="2"/>
  <c r="J334" i="2"/>
  <c r="G334" i="2"/>
  <c r="D334" i="2"/>
  <c r="J329" i="2"/>
  <c r="G329" i="2"/>
  <c r="D329" i="2"/>
  <c r="J326" i="2"/>
  <c r="G326" i="2"/>
  <c r="D326" i="2"/>
  <c r="J322" i="2"/>
  <c r="J321" i="2" s="1"/>
  <c r="G322" i="2"/>
  <c r="G321" i="2" s="1"/>
  <c r="D322" i="2"/>
  <c r="D321" i="2" s="1"/>
  <c r="J317" i="2"/>
  <c r="G317" i="2"/>
  <c r="D317" i="2"/>
  <c r="J315" i="2"/>
  <c r="G315" i="2"/>
  <c r="D315" i="2"/>
  <c r="J310" i="2"/>
  <c r="G310" i="2"/>
  <c r="D310" i="2"/>
  <c r="J307" i="2"/>
  <c r="J306" i="2" s="1"/>
  <c r="G307" i="2"/>
  <c r="G306" i="2" s="1"/>
  <c r="D307" i="2"/>
  <c r="D306" i="2" s="1"/>
  <c r="J301" i="2"/>
  <c r="J300" i="2" s="1"/>
  <c r="G301" i="2"/>
  <c r="G300" i="2" s="1"/>
  <c r="D301" i="2"/>
  <c r="D300" i="2" s="1"/>
  <c r="J298" i="2"/>
  <c r="G299" i="2"/>
  <c r="G298" i="2" s="1"/>
  <c r="D298" i="2"/>
  <c r="J294" i="2"/>
  <c r="J293" i="2" s="1"/>
  <c r="J292" i="2" s="1"/>
  <c r="G294" i="2"/>
  <c r="G293" i="2" s="1"/>
  <c r="G292" i="2" s="1"/>
  <c r="D294" i="2"/>
  <c r="D293" i="2" s="1"/>
  <c r="D292" i="2" s="1"/>
  <c r="J289" i="2"/>
  <c r="J288" i="2" s="1"/>
  <c r="G289" i="2"/>
  <c r="G288" i="2" s="1"/>
  <c r="D289" i="2"/>
  <c r="D288" i="2" s="1"/>
  <c r="G287" i="2"/>
  <c r="G286" i="2" s="1"/>
  <c r="J286" i="2"/>
  <c r="D286" i="2"/>
  <c r="J283" i="2"/>
  <c r="J282" i="2" s="1"/>
  <c r="J281" i="2" s="1"/>
  <c r="G282" i="2"/>
  <c r="G281" i="2" s="1"/>
  <c r="D282" i="2"/>
  <c r="D281" i="2" s="1"/>
  <c r="J280" i="2"/>
  <c r="J279" i="2" s="1"/>
  <c r="J278" i="2" s="1"/>
  <c r="G279" i="2"/>
  <c r="G278" i="2" s="1"/>
  <c r="D279" i="2"/>
  <c r="D278" i="2" s="1"/>
  <c r="D267" i="2"/>
  <c r="D265" i="2"/>
  <c r="D264" i="2" s="1"/>
  <c r="D262" i="2"/>
  <c r="G259" i="2"/>
  <c r="J257" i="2"/>
  <c r="J256" i="2" s="1"/>
  <c r="J253" i="2" s="1"/>
  <c r="G257" i="2"/>
  <c r="G256" i="2" s="1"/>
  <c r="G253" i="2" s="1"/>
  <c r="D257" i="2"/>
  <c r="D256" i="2" s="1"/>
  <c r="J250" i="2"/>
  <c r="G250" i="2"/>
  <c r="G249" i="2"/>
  <c r="G248" i="2" s="1"/>
  <c r="J248" i="2"/>
  <c r="D248" i="2"/>
  <c r="G247" i="2"/>
  <c r="G246" i="2" s="1"/>
  <c r="J246" i="2"/>
  <c r="D246" i="2"/>
  <c r="J243" i="2"/>
  <c r="J242" i="2" s="1"/>
  <c r="G243" i="2"/>
  <c r="G242" i="2" s="1"/>
  <c r="D243" i="2"/>
  <c r="D242" i="2" s="1"/>
  <c r="J240" i="2"/>
  <c r="J239" i="2" s="1"/>
  <c r="G240" i="2"/>
  <c r="G239" i="2" s="1"/>
  <c r="D240" i="2"/>
  <c r="D239" i="2" s="1"/>
  <c r="J238" i="2"/>
  <c r="J237" i="2" s="1"/>
  <c r="G238" i="2"/>
  <c r="G237" i="2" s="1"/>
  <c r="D238" i="2"/>
  <c r="D237" i="2" s="1"/>
  <c r="J235" i="2"/>
  <c r="G235" i="2"/>
  <c r="D235" i="2"/>
  <c r="J233" i="2"/>
  <c r="J232" i="2" s="1"/>
  <c r="G233" i="2"/>
  <c r="G232" i="2" s="1"/>
  <c r="D232" i="2"/>
  <c r="J227" i="2"/>
  <c r="J226" i="2" s="1"/>
  <c r="G227" i="2"/>
  <c r="G226" i="2" s="1"/>
  <c r="D227" i="2"/>
  <c r="D226" i="2" s="1"/>
  <c r="J223" i="2"/>
  <c r="J222" i="2" s="1"/>
  <c r="G223" i="2"/>
  <c r="G222" i="2" s="1"/>
  <c r="D223" i="2"/>
  <c r="D222" i="2" s="1"/>
  <c r="G219" i="2"/>
  <c r="G218" i="2" s="1"/>
  <c r="J218" i="2"/>
  <c r="D218" i="2"/>
  <c r="J216" i="2"/>
  <c r="G216" i="2"/>
  <c r="D216" i="2"/>
  <c r="G214" i="2"/>
  <c r="G213" i="2" s="1"/>
  <c r="J213" i="2"/>
  <c r="D213" i="2"/>
  <c r="J211" i="2"/>
  <c r="G211" i="2"/>
  <c r="D211" i="2"/>
  <c r="J209" i="2"/>
  <c r="G209" i="2"/>
  <c r="D202" i="2"/>
  <c r="D201" i="2" s="1"/>
  <c r="D200" i="2" s="1"/>
  <c r="J200" i="2"/>
  <c r="J197" i="2"/>
  <c r="G197" i="2"/>
  <c r="D197" i="2"/>
  <c r="J195" i="2"/>
  <c r="G195" i="2"/>
  <c r="D195" i="2"/>
  <c r="J193" i="2"/>
  <c r="G193" i="2"/>
  <c r="D193" i="2"/>
  <c r="J188" i="2"/>
  <c r="J187" i="2" s="1"/>
  <c r="G188" i="2"/>
  <c r="G187" i="2" s="1"/>
  <c r="D188" i="2"/>
  <c r="D187" i="2" s="1"/>
  <c r="J185" i="2"/>
  <c r="G185" i="2"/>
  <c r="D185" i="2"/>
  <c r="J181" i="2"/>
  <c r="J180" i="2" s="1"/>
  <c r="J179" i="2" s="1"/>
  <c r="G181" i="2"/>
  <c r="G180" i="2" s="1"/>
  <c r="G179" i="2" s="1"/>
  <c r="D181" i="2"/>
  <c r="D180" i="2" s="1"/>
  <c r="D179" i="2" s="1"/>
  <c r="J152" i="2"/>
  <c r="G152" i="2"/>
  <c r="D152" i="2"/>
  <c r="J149" i="2"/>
  <c r="G149" i="2"/>
  <c r="D149" i="2"/>
  <c r="J146" i="2"/>
  <c r="G146" i="2"/>
  <c r="D146" i="2"/>
  <c r="J144" i="2"/>
  <c r="G144" i="2"/>
  <c r="D144" i="2"/>
  <c r="J138" i="2"/>
  <c r="G138" i="2"/>
  <c r="D138" i="2"/>
  <c r="J136" i="2"/>
  <c r="G136" i="2"/>
  <c r="D136" i="2"/>
  <c r="J134" i="2"/>
  <c r="G134" i="2"/>
  <c r="D134" i="2"/>
  <c r="J130" i="2"/>
  <c r="G130" i="2"/>
  <c r="D130" i="2"/>
  <c r="J128" i="2"/>
  <c r="G128" i="2"/>
  <c r="D128" i="2"/>
  <c r="J126" i="2"/>
  <c r="G126" i="2"/>
  <c r="D126" i="2"/>
  <c r="J124" i="2"/>
  <c r="G124" i="2"/>
  <c r="D124" i="2"/>
  <c r="J122" i="2"/>
  <c r="G122" i="2"/>
  <c r="D122" i="2"/>
  <c r="J120" i="2"/>
  <c r="G120" i="2"/>
  <c r="D120" i="2"/>
  <c r="J119" i="2"/>
  <c r="J118" i="2" s="1"/>
  <c r="G119" i="2"/>
  <c r="G118" i="2" s="1"/>
  <c r="D118" i="2"/>
  <c r="J111" i="2"/>
  <c r="J110" i="2" s="1"/>
  <c r="G111" i="2"/>
  <c r="G110" i="2" s="1"/>
  <c r="D111" i="2"/>
  <c r="D110" i="2" s="1"/>
  <c r="D80" i="2"/>
  <c r="D79" i="2" s="1"/>
  <c r="J108" i="2"/>
  <c r="G108" i="2"/>
  <c r="D108" i="2"/>
  <c r="J106" i="2"/>
  <c r="G106" i="2"/>
  <c r="D106" i="2"/>
  <c r="J104" i="2"/>
  <c r="G104" i="2"/>
  <c r="D104" i="2"/>
  <c r="J102" i="2"/>
  <c r="G102" i="2"/>
  <c r="D102" i="2"/>
  <c r="J100" i="2"/>
  <c r="G100" i="2"/>
  <c r="D100" i="2"/>
  <c r="J98" i="2"/>
  <c r="G98" i="2"/>
  <c r="D98" i="2"/>
  <c r="J96" i="2"/>
  <c r="G96" i="2"/>
  <c r="D96" i="2"/>
  <c r="J94" i="2"/>
  <c r="G94" i="2"/>
  <c r="D94" i="2"/>
  <c r="J90" i="2"/>
  <c r="J89" i="2" s="1"/>
  <c r="G90" i="2"/>
  <c r="G89" i="2" s="1"/>
  <c r="D90" i="2"/>
  <c r="D89" i="2" s="1"/>
  <c r="J87" i="2"/>
  <c r="G87" i="2"/>
  <c r="D87" i="2"/>
  <c r="J85" i="2"/>
  <c r="G85" i="2"/>
  <c r="D85" i="2"/>
  <c r="J77" i="2"/>
  <c r="G77" i="2"/>
  <c r="D77" i="2"/>
  <c r="J75" i="2"/>
  <c r="G75" i="2"/>
  <c r="D75" i="2"/>
  <c r="J73" i="2"/>
  <c r="G73" i="2"/>
  <c r="D73" i="2"/>
  <c r="J70" i="2"/>
  <c r="G70" i="2"/>
  <c r="D70" i="2"/>
  <c r="J68" i="2"/>
  <c r="G68" i="2"/>
  <c r="D68" i="2"/>
  <c r="J63" i="2"/>
  <c r="G63" i="2"/>
  <c r="D63" i="2"/>
  <c r="J61" i="2"/>
  <c r="G61" i="2"/>
  <c r="D61" i="2"/>
  <c r="J56" i="2"/>
  <c r="G56" i="2"/>
  <c r="D56" i="2"/>
  <c r="J53" i="2"/>
  <c r="G53" i="2"/>
  <c r="D53" i="2"/>
  <c r="J51" i="2"/>
  <c r="G51" i="2"/>
  <c r="D51" i="2"/>
  <c r="J49" i="2"/>
  <c r="G49" i="2"/>
  <c r="D49" i="2"/>
  <c r="J46" i="2"/>
  <c r="G46" i="2"/>
  <c r="D46" i="2"/>
  <c r="J43" i="2"/>
  <c r="G43" i="2"/>
  <c r="D43" i="2"/>
  <c r="J41" i="2"/>
  <c r="G41" i="2"/>
  <c r="D41" i="2"/>
  <c r="J38" i="2"/>
  <c r="G38" i="2"/>
  <c r="D38" i="2"/>
  <c r="J35" i="2"/>
  <c r="G35" i="2"/>
  <c r="D35" i="2"/>
  <c r="J31" i="2"/>
  <c r="G31" i="2"/>
  <c r="D31" i="2"/>
  <c r="J27" i="2"/>
  <c r="G27" i="2"/>
  <c r="J25" i="2"/>
  <c r="G25" i="2"/>
  <c r="D25" i="2"/>
  <c r="G20" i="2"/>
  <c r="G19" i="2" s="1"/>
  <c r="J19" i="2"/>
  <c r="D19" i="2"/>
  <c r="J15" i="2"/>
  <c r="G15" i="2"/>
  <c r="D15" i="2"/>
  <c r="L730" i="1"/>
  <c r="I730" i="1"/>
  <c r="F119" i="1"/>
  <c r="D208" i="2" l="1"/>
  <c r="D548" i="2"/>
  <c r="G454" i="2"/>
  <c r="G443" i="2" s="1"/>
  <c r="G442" i="2" s="1"/>
  <c r="D259" i="2"/>
  <c r="G421" i="2"/>
  <c r="G420" i="2" s="1"/>
  <c r="D367" i="2"/>
  <c r="J443" i="2"/>
  <c r="J421" i="2"/>
  <c r="J420" i="2" s="1"/>
  <c r="J389" i="2"/>
  <c r="D421" i="2"/>
  <c r="D420" i="2" s="1"/>
  <c r="G389" i="2"/>
  <c r="D389" i="2"/>
  <c r="D245" i="2"/>
  <c r="G297" i="2"/>
  <c r="M19" i="2"/>
  <c r="D297" i="2"/>
  <c r="G548" i="2"/>
  <c r="J548" i="2"/>
  <c r="D67" i="2"/>
  <c r="D66" i="2" s="1"/>
  <c r="D93" i="2"/>
  <c r="M186" i="2"/>
  <c r="M184" i="2" s="1"/>
  <c r="M18" i="2"/>
  <c r="M17" i="2"/>
  <c r="G14" i="2"/>
  <c r="D231" i="2"/>
  <c r="J231" i="2"/>
  <c r="M230" i="2"/>
  <c r="M229" i="2" s="1"/>
  <c r="J297" i="2"/>
  <c r="D84" i="2"/>
  <c r="D13" i="2"/>
  <c r="J14" i="2"/>
  <c r="D528" i="2"/>
  <c r="G12" i="2"/>
  <c r="D60" i="2"/>
  <c r="D59" i="2" s="1"/>
  <c r="G13" i="2"/>
  <c r="J528" i="2"/>
  <c r="J13" i="2"/>
  <c r="D12" i="2"/>
  <c r="J12" i="2"/>
  <c r="G528" i="2"/>
  <c r="D18" i="2"/>
  <c r="D17" i="2" s="1"/>
  <c r="G18" i="2"/>
  <c r="G17" i="2" s="1"/>
  <c r="J18" i="2"/>
  <c r="J17" i="2" s="1"/>
  <c r="D540" i="2"/>
  <c r="G517" i="2"/>
  <c r="G518" i="2"/>
  <c r="J517" i="2"/>
  <c r="D305" i="2"/>
  <c r="D27" i="2"/>
  <c r="G60" i="2"/>
  <c r="G59" i="2" s="1"/>
  <c r="J245" i="2"/>
  <c r="J155" i="2"/>
  <c r="D454" i="2"/>
  <c r="D443" i="2" s="1"/>
  <c r="D442" i="2" s="1"/>
  <c r="J60" i="2"/>
  <c r="J59" i="2" s="1"/>
  <c r="J67" i="2"/>
  <c r="J66" i="2" s="1"/>
  <c r="J305" i="2"/>
  <c r="G320" i="2"/>
  <c r="G319" i="2" s="1"/>
  <c r="J540" i="2"/>
  <c r="J24" i="2"/>
  <c r="J23" i="2" s="1"/>
  <c r="G184" i="2"/>
  <c r="D314" i="2"/>
  <c r="D313" i="2" s="1"/>
  <c r="J506" i="2"/>
  <c r="G314" i="2"/>
  <c r="G313" i="2" s="1"/>
  <c r="J320" i="2"/>
  <c r="J319" i="2" s="1"/>
  <c r="J333" i="2"/>
  <c r="J332" i="2" s="1"/>
  <c r="G67" i="2"/>
  <c r="G66" i="2" s="1"/>
  <c r="J234" i="2"/>
  <c r="J496" i="2"/>
  <c r="G24" i="2"/>
  <c r="G23" i="2" s="1"/>
  <c r="D506" i="2"/>
  <c r="J143" i="2"/>
  <c r="G192" i="2"/>
  <c r="D234" i="2"/>
  <c r="D320" i="2"/>
  <c r="D319" i="2" s="1"/>
  <c r="G333" i="2"/>
  <c r="G332" i="2" s="1"/>
  <c r="G367" i="2"/>
  <c r="G506" i="2"/>
  <c r="J442" i="2"/>
  <c r="D117" i="2"/>
  <c r="D116" i="2" s="1"/>
  <c r="D143" i="2"/>
  <c r="G208" i="2"/>
  <c r="G207" i="2" s="1"/>
  <c r="G277" i="2"/>
  <c r="J285" i="2"/>
  <c r="J284" i="2" s="1"/>
  <c r="G285" i="2"/>
  <c r="G284" i="2" s="1"/>
  <c r="G305" i="2"/>
  <c r="J314" i="2"/>
  <c r="J313" i="2" s="1"/>
  <c r="J367" i="2"/>
  <c r="D34" i="2"/>
  <c r="D33" i="2" s="1"/>
  <c r="G34" i="2"/>
  <c r="G33" i="2" s="1"/>
  <c r="J133" i="2"/>
  <c r="J132" i="2" s="1"/>
  <c r="G148" i="2"/>
  <c r="J148" i="2"/>
  <c r="G155" i="2"/>
  <c r="G245" i="2"/>
  <c r="D285" i="2"/>
  <c r="D284" i="2" s="1"/>
  <c r="J34" i="2"/>
  <c r="J33" i="2" s="1"/>
  <c r="J84" i="2"/>
  <c r="D133" i="2"/>
  <c r="D132" i="2" s="1"/>
  <c r="G133" i="2"/>
  <c r="G132" i="2" s="1"/>
  <c r="G143" i="2"/>
  <c r="D184" i="2"/>
  <c r="G234" i="2"/>
  <c r="D277" i="2"/>
  <c r="G540" i="2"/>
  <c r="G93" i="2"/>
  <c r="J93" i="2"/>
  <c r="D148" i="2"/>
  <c r="D207" i="2"/>
  <c r="D496" i="2"/>
  <c r="G496" i="2"/>
  <c r="G84" i="2"/>
  <c r="G117" i="2"/>
  <c r="G116" i="2" s="1"/>
  <c r="J184" i="2"/>
  <c r="J192" i="2"/>
  <c r="D192" i="2"/>
  <c r="D333" i="2"/>
  <c r="D332" i="2" s="1"/>
  <c r="D349" i="2"/>
  <c r="D345" i="2" s="1"/>
  <c r="G349" i="2"/>
  <c r="G345" i="2" s="1"/>
  <c r="J349" i="2"/>
  <c r="J345" i="2" s="1"/>
  <c r="J117" i="2"/>
  <c r="J116" i="2" s="1"/>
  <c r="G231" i="2"/>
  <c r="J208" i="2"/>
  <c r="J207" i="2" s="1"/>
  <c r="J277" i="2"/>
  <c r="J83" i="2" l="1"/>
  <c r="D83" i="2"/>
  <c r="G83" i="2"/>
  <c r="D366" i="2"/>
  <c r="D230" i="2"/>
  <c r="D229" i="2" s="1"/>
  <c r="J366" i="2"/>
  <c r="G366" i="2"/>
  <c r="G358" i="2" s="1"/>
  <c r="M16" i="2"/>
  <c r="G183" i="2"/>
  <c r="D24" i="2"/>
  <c r="D23" i="2" s="1"/>
  <c r="D16" i="2" s="1"/>
  <c r="D14" i="2"/>
  <c r="G495" i="2"/>
  <c r="D539" i="2"/>
  <c r="J539" i="2"/>
  <c r="D312" i="2"/>
  <c r="G142" i="2"/>
  <c r="D296" i="2"/>
  <c r="J331" i="2"/>
  <c r="J312" i="2"/>
  <c r="G312" i="2"/>
  <c r="G230" i="2"/>
  <c r="G229" i="2" s="1"/>
  <c r="J296" i="2"/>
  <c r="G539" i="2"/>
  <c r="G16" i="2"/>
  <c r="J183" i="2"/>
  <c r="D183" i="2"/>
  <c r="J495" i="2"/>
  <c r="J16" i="2"/>
  <c r="J142" i="2"/>
  <c r="D331" i="2"/>
  <c r="G331" i="2"/>
  <c r="J230" i="2"/>
  <c r="J229" i="2" s="1"/>
  <c r="D495" i="2"/>
  <c r="D142" i="2"/>
  <c r="D65" i="2" s="1"/>
  <c r="G296" i="2"/>
  <c r="G65" i="2" l="1"/>
  <c r="G11" i="2" s="1"/>
  <c r="G10" i="2" s="1"/>
  <c r="D358" i="2"/>
  <c r="J358" i="2"/>
  <c r="J65" i="2"/>
  <c r="D11" i="2" l="1"/>
  <c r="D10" i="2" s="1"/>
  <c r="J11" i="2"/>
  <c r="G598" i="2"/>
  <c r="L80" i="1"/>
  <c r="I80" i="1"/>
  <c r="F80" i="1"/>
  <c r="D16" i="9" l="1"/>
  <c r="D11" i="9" s="1"/>
  <c r="D10" i="9" s="1"/>
  <c r="D20" i="9" s="1"/>
  <c r="J598" i="2"/>
  <c r="J10" i="2"/>
  <c r="D598" i="2"/>
  <c r="L663" i="1"/>
  <c r="I663" i="1"/>
  <c r="F663" i="1"/>
  <c r="L433" i="1"/>
  <c r="C18" i="9" l="1"/>
  <c r="C17" i="9" s="1"/>
  <c r="C11" i="9" s="1"/>
  <c r="C10" i="9" s="1"/>
  <c r="C20" i="9" s="1"/>
  <c r="D18" i="9"/>
  <c r="E17" i="9"/>
  <c r="D17" i="9"/>
  <c r="I415" i="1"/>
  <c r="I414" i="1"/>
  <c r="L681" i="1"/>
  <c r="L680" i="1" s="1"/>
  <c r="I681" i="1"/>
  <c r="I680" i="1" s="1"/>
  <c r="L92" i="1"/>
  <c r="L91" i="1" s="1"/>
  <c r="L304" i="1"/>
  <c r="I304" i="1"/>
  <c r="F304" i="1"/>
  <c r="I613" i="1"/>
  <c r="F613" i="1"/>
  <c r="E18" i="9" l="1"/>
  <c r="E16" i="9"/>
  <c r="E11" i="9" s="1"/>
  <c r="E10" i="9" s="1"/>
  <c r="E20" i="9" s="1"/>
  <c r="F449" i="1"/>
  <c r="F747" i="1"/>
  <c r="F746" i="1" s="1"/>
  <c r="F293" i="1"/>
  <c r="F292" i="1" s="1"/>
  <c r="F291" i="1" s="1"/>
  <c r="F290" i="1" s="1"/>
  <c r="L300" i="1" l="1"/>
  <c r="I300" i="1"/>
  <c r="F300" i="1"/>
  <c r="F401" i="1"/>
  <c r="F400" i="1" s="1"/>
  <c r="F227" i="1"/>
  <c r="L230" i="1"/>
  <c r="I230" i="1"/>
  <c r="F230" i="1"/>
  <c r="L109" i="1"/>
  <c r="I109" i="1"/>
  <c r="F109" i="1"/>
  <c r="F771" i="1" l="1"/>
  <c r="F754" i="1"/>
  <c r="F742" i="1"/>
  <c r="F739" i="1" s="1"/>
  <c r="I686" i="1" l="1"/>
  <c r="I685" i="1" s="1"/>
  <c r="L686" i="1"/>
  <c r="L545" i="1"/>
  <c r="I545" i="1"/>
  <c r="F545" i="1"/>
  <c r="I490" i="1"/>
  <c r="I489" i="1" s="1"/>
  <c r="F434" i="1"/>
  <c r="F433" i="1" s="1"/>
  <c r="F337" i="1"/>
  <c r="F426" i="1"/>
  <c r="L398" i="1"/>
  <c r="I398" i="1"/>
  <c r="F398" i="1"/>
  <c r="I396" i="1"/>
  <c r="F379" i="1"/>
  <c r="F378" i="1" s="1"/>
  <c r="F374" i="1"/>
  <c r="F335" i="1"/>
  <c r="F327" i="1"/>
  <c r="F307" i="1"/>
  <c r="F306" i="1" s="1"/>
  <c r="F264" i="1"/>
  <c r="F263" i="1" s="1"/>
  <c r="L159" i="1"/>
  <c r="I159" i="1"/>
  <c r="L162" i="1"/>
  <c r="I162" i="1"/>
  <c r="F162" i="1"/>
  <c r="L131" i="1"/>
  <c r="I131" i="1"/>
  <c r="F131" i="1"/>
  <c r="I158" i="1" l="1"/>
  <c r="L158" i="1"/>
  <c r="L87" i="1" l="1"/>
  <c r="L85" i="1"/>
  <c r="L49" i="1"/>
  <c r="I49" i="1"/>
  <c r="F49" i="1"/>
  <c r="F35" i="1"/>
  <c r="I35" i="1"/>
  <c r="L35" i="1"/>
  <c r="F18" i="1" l="1"/>
  <c r="F17" i="1" s="1"/>
  <c r="F16" i="1" s="1"/>
  <c r="F15" i="1" s="1"/>
  <c r="F14" i="1" s="1"/>
  <c r="F13" i="1" s="1"/>
  <c r="I18" i="1"/>
  <c r="I17" i="1" s="1"/>
  <c r="I16" i="1" s="1"/>
  <c r="I15" i="1" s="1"/>
  <c r="I14" i="1" s="1"/>
  <c r="I13" i="1" s="1"/>
  <c r="L18" i="1"/>
  <c r="L17" i="1" s="1"/>
  <c r="L16" i="1" s="1"/>
  <c r="L15" i="1" s="1"/>
  <c r="L14" i="1" s="1"/>
  <c r="L13" i="1" s="1"/>
  <c r="F29" i="1"/>
  <c r="F28" i="1" s="1"/>
  <c r="F27" i="1" s="1"/>
  <c r="I29" i="1"/>
  <c r="I28" i="1" s="1"/>
  <c r="I27" i="1" s="1"/>
  <c r="L29" i="1"/>
  <c r="L28" i="1" s="1"/>
  <c r="L27" i="1" s="1"/>
  <c r="F38" i="1"/>
  <c r="I38" i="1"/>
  <c r="L38" i="1"/>
  <c r="F41" i="1"/>
  <c r="I41" i="1"/>
  <c r="L41" i="1"/>
  <c r="F43" i="1"/>
  <c r="I43" i="1"/>
  <c r="L43" i="1"/>
  <c r="F46" i="1"/>
  <c r="I46" i="1"/>
  <c r="L46" i="1"/>
  <c r="F53" i="1"/>
  <c r="F52" i="1" s="1"/>
  <c r="F51" i="1" s="1"/>
  <c r="I53" i="1"/>
  <c r="I52" i="1" s="1"/>
  <c r="I51" i="1" s="1"/>
  <c r="L53" i="1"/>
  <c r="L52" i="1" s="1"/>
  <c r="L51" i="1" s="1"/>
  <c r="F58" i="1"/>
  <c r="F57" i="1" s="1"/>
  <c r="I58" i="1"/>
  <c r="L58" i="1"/>
  <c r="F67" i="1"/>
  <c r="F66" i="1" s="1"/>
  <c r="F65" i="1" s="1"/>
  <c r="F64" i="1" s="1"/>
  <c r="F63" i="1" s="1"/>
  <c r="F62" i="1" s="1"/>
  <c r="I67" i="1"/>
  <c r="I66" i="1" s="1"/>
  <c r="I65" i="1" s="1"/>
  <c r="I64" i="1" s="1"/>
  <c r="I63" i="1" s="1"/>
  <c r="I62" i="1" s="1"/>
  <c r="L67" i="1"/>
  <c r="L66" i="1" s="1"/>
  <c r="L65" i="1" s="1"/>
  <c r="L64" i="1" s="1"/>
  <c r="L63" i="1" s="1"/>
  <c r="L62" i="1" s="1"/>
  <c r="F74" i="1"/>
  <c r="F73" i="1" s="1"/>
  <c r="F72" i="1" s="1"/>
  <c r="L74" i="1"/>
  <c r="L73" i="1" s="1"/>
  <c r="L72" i="1" s="1"/>
  <c r="I74" i="1"/>
  <c r="I73" i="1" s="1"/>
  <c r="I72" i="1" s="1"/>
  <c r="F79" i="1"/>
  <c r="F78" i="1" s="1"/>
  <c r="I79" i="1"/>
  <c r="I78" i="1" s="1"/>
  <c r="L79" i="1"/>
  <c r="L78" i="1" s="1"/>
  <c r="L84" i="1"/>
  <c r="L83" i="1" s="1"/>
  <c r="F85" i="1"/>
  <c r="I85" i="1"/>
  <c r="F87" i="1"/>
  <c r="I87" i="1"/>
  <c r="L90" i="1"/>
  <c r="L89" i="1" s="1"/>
  <c r="F92" i="1"/>
  <c r="F91" i="1" s="1"/>
  <c r="F90" i="1" s="1"/>
  <c r="F89" i="1" s="1"/>
  <c r="I92" i="1"/>
  <c r="I91" i="1" s="1"/>
  <c r="I90" i="1" s="1"/>
  <c r="I89" i="1" s="1"/>
  <c r="F97" i="1"/>
  <c r="I97" i="1"/>
  <c r="L97" i="1"/>
  <c r="F101" i="1"/>
  <c r="I102" i="1"/>
  <c r="L102" i="1"/>
  <c r="F105" i="1"/>
  <c r="I105" i="1"/>
  <c r="L105" i="1"/>
  <c r="F107" i="1"/>
  <c r="I107" i="1"/>
  <c r="L107" i="1"/>
  <c r="F118" i="1"/>
  <c r="F117" i="1" s="1"/>
  <c r="F116" i="1" s="1"/>
  <c r="F115" i="1" s="1"/>
  <c r="F114" i="1" s="1"/>
  <c r="F113" i="1" s="1"/>
  <c r="I119" i="1"/>
  <c r="I118" i="1" s="1"/>
  <c r="I117" i="1" s="1"/>
  <c r="I116" i="1" s="1"/>
  <c r="I115" i="1" s="1"/>
  <c r="I114" i="1" s="1"/>
  <c r="I113" i="1" s="1"/>
  <c r="L119" i="1"/>
  <c r="L118" i="1" s="1"/>
  <c r="L117" i="1" s="1"/>
  <c r="L116" i="1" s="1"/>
  <c r="L115" i="1" s="1"/>
  <c r="L114" i="1" s="1"/>
  <c r="L113" i="1" s="1"/>
  <c r="F127" i="1"/>
  <c r="I127" i="1"/>
  <c r="L127" i="1"/>
  <c r="F129" i="1"/>
  <c r="I129" i="1"/>
  <c r="L129" i="1"/>
  <c r="F133" i="1"/>
  <c r="I133" i="1"/>
  <c r="L133" i="1"/>
  <c r="F140" i="1"/>
  <c r="I140" i="1"/>
  <c r="L140" i="1"/>
  <c r="F142" i="1"/>
  <c r="I142" i="1"/>
  <c r="L142" i="1"/>
  <c r="F145" i="1"/>
  <c r="I145" i="1"/>
  <c r="L145" i="1"/>
  <c r="F152" i="1"/>
  <c r="I152" i="1"/>
  <c r="L152" i="1"/>
  <c r="F154" i="1"/>
  <c r="I154" i="1"/>
  <c r="L154" i="1"/>
  <c r="F159" i="1"/>
  <c r="F158" i="1" s="1"/>
  <c r="F164" i="1"/>
  <c r="I164" i="1"/>
  <c r="L164" i="1"/>
  <c r="F167" i="1"/>
  <c r="I167" i="1"/>
  <c r="L167" i="1"/>
  <c r="F171" i="1"/>
  <c r="F170" i="1" s="1"/>
  <c r="F169" i="1" s="1"/>
  <c r="I171" i="1"/>
  <c r="I170" i="1" s="1"/>
  <c r="I169" i="1" s="1"/>
  <c r="L171" i="1"/>
  <c r="L170" i="1" s="1"/>
  <c r="L169" i="1" s="1"/>
  <c r="F179" i="1"/>
  <c r="F178" i="1" s="1"/>
  <c r="I179" i="1"/>
  <c r="I178" i="1" s="1"/>
  <c r="L179" i="1"/>
  <c r="L178" i="1" s="1"/>
  <c r="F182" i="1"/>
  <c r="I182" i="1"/>
  <c r="L182" i="1"/>
  <c r="F184" i="1"/>
  <c r="I184" i="1"/>
  <c r="L184" i="1"/>
  <c r="F186" i="1"/>
  <c r="I186" i="1"/>
  <c r="L186" i="1"/>
  <c r="F188" i="1"/>
  <c r="I188" i="1"/>
  <c r="L188" i="1"/>
  <c r="F193" i="1"/>
  <c r="F192" i="1" s="1"/>
  <c r="F191" i="1" s="1"/>
  <c r="F190" i="1" s="1"/>
  <c r="I193" i="1"/>
  <c r="I192" i="1" s="1"/>
  <c r="I191" i="1" s="1"/>
  <c r="I190" i="1" s="1"/>
  <c r="L193" i="1"/>
  <c r="L192" i="1" s="1"/>
  <c r="L191" i="1" s="1"/>
  <c r="L190" i="1" s="1"/>
  <c r="F197" i="1"/>
  <c r="F196" i="1" s="1"/>
  <c r="F195" i="1" s="1"/>
  <c r="I197" i="1"/>
  <c r="I196" i="1" s="1"/>
  <c r="I195" i="1" s="1"/>
  <c r="L197" i="1"/>
  <c r="L196" i="1" s="1"/>
  <c r="L195" i="1" s="1"/>
  <c r="F204" i="1"/>
  <c r="F203" i="1" s="1"/>
  <c r="F202" i="1" s="1"/>
  <c r="F201" i="1" s="1"/>
  <c r="L204" i="1"/>
  <c r="L203" i="1" s="1"/>
  <c r="L202" i="1" s="1"/>
  <c r="L201" i="1" s="1"/>
  <c r="I204" i="1"/>
  <c r="I203" i="1" s="1"/>
  <c r="I202" i="1" s="1"/>
  <c r="I201" i="1" s="1"/>
  <c r="F211" i="1"/>
  <c r="F210" i="1" s="1"/>
  <c r="I211" i="1"/>
  <c r="I210" i="1" s="1"/>
  <c r="L211" i="1"/>
  <c r="L210" i="1" s="1"/>
  <c r="F216" i="1"/>
  <c r="F215" i="1" s="1"/>
  <c r="I216" i="1"/>
  <c r="I215" i="1" s="1"/>
  <c r="L216" i="1"/>
  <c r="L215" i="1" s="1"/>
  <c r="F221" i="1"/>
  <c r="F220" i="1" s="1"/>
  <c r="I221" i="1"/>
  <c r="L221" i="1"/>
  <c r="F222" i="1"/>
  <c r="I222" i="1"/>
  <c r="L222" i="1"/>
  <c r="L225" i="1"/>
  <c r="I227" i="1"/>
  <c r="L227" i="1"/>
  <c r="F229" i="1"/>
  <c r="I229" i="1"/>
  <c r="L229" i="1"/>
  <c r="F240" i="1"/>
  <c r="F239" i="1" s="1"/>
  <c r="F238" i="1" s="1"/>
  <c r="I240" i="1"/>
  <c r="I239" i="1" s="1"/>
  <c r="I238" i="1" s="1"/>
  <c r="L240" i="1"/>
  <c r="L239" i="1" s="1"/>
  <c r="L238" i="1" s="1"/>
  <c r="F249" i="1"/>
  <c r="F248" i="1" s="1"/>
  <c r="I249" i="1"/>
  <c r="I248" i="1" s="1"/>
  <c r="L249" i="1"/>
  <c r="L248" i="1" s="1"/>
  <c r="F254" i="1"/>
  <c r="F253" i="1" s="1"/>
  <c r="I254" i="1"/>
  <c r="I253" i="1" s="1"/>
  <c r="L254" i="1"/>
  <c r="L253" i="1" s="1"/>
  <c r="F259" i="1"/>
  <c r="I259" i="1"/>
  <c r="L259" i="1"/>
  <c r="F261" i="1"/>
  <c r="I261" i="1"/>
  <c r="L261" i="1"/>
  <c r="F272" i="1"/>
  <c r="I272" i="1"/>
  <c r="L272" i="1"/>
  <c r="I274" i="1"/>
  <c r="L274" i="1"/>
  <c r="F275" i="1"/>
  <c r="F274" i="1" s="1"/>
  <c r="I275" i="1"/>
  <c r="L275" i="1"/>
  <c r="I278" i="1"/>
  <c r="L278" i="1"/>
  <c r="F279" i="1"/>
  <c r="F278" i="1" s="1"/>
  <c r="F283" i="1"/>
  <c r="F282" i="1" s="1"/>
  <c r="F281" i="1" s="1"/>
  <c r="I283" i="1"/>
  <c r="I282" i="1" s="1"/>
  <c r="I281" i="1" s="1"/>
  <c r="L283" i="1"/>
  <c r="L282" i="1" s="1"/>
  <c r="L281" i="1" s="1"/>
  <c r="F298" i="1"/>
  <c r="I298" i="1"/>
  <c r="L298" i="1"/>
  <c r="F302" i="1"/>
  <c r="I302" i="1"/>
  <c r="L302" i="1"/>
  <c r="I307" i="1"/>
  <c r="I306" i="1" s="1"/>
  <c r="F312" i="1"/>
  <c r="F311" i="1" s="1"/>
  <c r="F310" i="1" s="1"/>
  <c r="I314" i="1"/>
  <c r="I313" i="1" s="1"/>
  <c r="I312" i="1" s="1"/>
  <c r="I311" i="1" s="1"/>
  <c r="I310" i="1" s="1"/>
  <c r="L314" i="1"/>
  <c r="L313" i="1" s="1"/>
  <c r="L312" i="1" s="1"/>
  <c r="L311" i="1" s="1"/>
  <c r="L310" i="1" s="1"/>
  <c r="L320" i="1"/>
  <c r="L319" i="1" s="1"/>
  <c r="F321" i="1"/>
  <c r="F320" i="1" s="1"/>
  <c r="F319" i="1" s="1"/>
  <c r="I321" i="1"/>
  <c r="I320" i="1" s="1"/>
  <c r="I319" i="1" s="1"/>
  <c r="F325" i="1"/>
  <c r="I327" i="1"/>
  <c r="L327" i="1"/>
  <c r="I329" i="1"/>
  <c r="L329" i="1"/>
  <c r="F329" i="1"/>
  <c r="F331" i="1"/>
  <c r="F333" i="1"/>
  <c r="I333" i="1"/>
  <c r="L333" i="1"/>
  <c r="I335" i="1"/>
  <c r="F357" i="1"/>
  <c r="F356" i="1" s="1"/>
  <c r="I357" i="1"/>
  <c r="I356" i="1" s="1"/>
  <c r="L357" i="1"/>
  <c r="L356" i="1" s="1"/>
  <c r="F358" i="1"/>
  <c r="I358" i="1"/>
  <c r="L358" i="1"/>
  <c r="F365" i="1"/>
  <c r="F364" i="1" s="1"/>
  <c r="I368" i="1"/>
  <c r="L368" i="1"/>
  <c r="F368" i="1"/>
  <c r="I370" i="1"/>
  <c r="L370" i="1"/>
  <c r="F370" i="1"/>
  <c r="F394" i="1"/>
  <c r="I394" i="1"/>
  <c r="I393" i="1" s="1"/>
  <c r="L394" i="1"/>
  <c r="L393" i="1" s="1"/>
  <c r="F396" i="1"/>
  <c r="F404" i="1"/>
  <c r="F403" i="1" s="1"/>
  <c r="I404" i="1"/>
  <c r="I403" i="1" s="1"/>
  <c r="L404" i="1"/>
  <c r="L403" i="1" s="1"/>
  <c r="F414" i="1"/>
  <c r="F413" i="1" s="1"/>
  <c r="F406" i="1" s="1"/>
  <c r="I413" i="1"/>
  <c r="I406" i="1" s="1"/>
  <c r="L414" i="1"/>
  <c r="L413" i="1" s="1"/>
  <c r="L406" i="1" s="1"/>
  <c r="F415" i="1"/>
  <c r="L415" i="1"/>
  <c r="F424" i="1"/>
  <c r="F432" i="1"/>
  <c r="F431" i="1" s="1"/>
  <c r="F430" i="1" s="1"/>
  <c r="F429" i="1" s="1"/>
  <c r="I434" i="1"/>
  <c r="I433" i="1" s="1"/>
  <c r="L447" i="1"/>
  <c r="L446" i="1" s="1"/>
  <c r="L445" i="1" s="1"/>
  <c r="L444" i="1" s="1"/>
  <c r="L443" i="1" s="1"/>
  <c r="I447" i="1"/>
  <c r="I446" i="1" s="1"/>
  <c r="I445" i="1" s="1"/>
  <c r="I444" i="1" s="1"/>
  <c r="I443" i="1" s="1"/>
  <c r="F470" i="1"/>
  <c r="F469" i="1" s="1"/>
  <c r="F468" i="1" s="1"/>
  <c r="F467" i="1" s="1"/>
  <c r="F466" i="1" s="1"/>
  <c r="F465" i="1" s="1"/>
  <c r="I470" i="1"/>
  <c r="I469" i="1" s="1"/>
  <c r="I468" i="1" s="1"/>
  <c r="I467" i="1" s="1"/>
  <c r="I466" i="1" s="1"/>
  <c r="I465" i="1" s="1"/>
  <c r="L470" i="1"/>
  <c r="L469" i="1" s="1"/>
  <c r="L468" i="1" s="1"/>
  <c r="L467" i="1" s="1"/>
  <c r="L466" i="1" s="1"/>
  <c r="L465" i="1" s="1"/>
  <c r="F476" i="1"/>
  <c r="F475" i="1" s="1"/>
  <c r="F474" i="1" s="1"/>
  <c r="F473" i="1" s="1"/>
  <c r="I476" i="1"/>
  <c r="I475" i="1" s="1"/>
  <c r="I474" i="1" s="1"/>
  <c r="I473" i="1" s="1"/>
  <c r="I472" i="1" s="1"/>
  <c r="L476" i="1"/>
  <c r="L475" i="1" s="1"/>
  <c r="L474" i="1" s="1"/>
  <c r="L473" i="1" s="1"/>
  <c r="L472" i="1" s="1"/>
  <c r="F487" i="1"/>
  <c r="I487" i="1"/>
  <c r="I486" i="1" s="1"/>
  <c r="L487" i="1"/>
  <c r="F490" i="1"/>
  <c r="F489" i="1" s="1"/>
  <c r="L490" i="1"/>
  <c r="L489" i="1" s="1"/>
  <c r="F495" i="1"/>
  <c r="F494" i="1" s="1"/>
  <c r="I495" i="1"/>
  <c r="I494" i="1" s="1"/>
  <c r="L495" i="1"/>
  <c r="L494" i="1" s="1"/>
  <c r="F501" i="1"/>
  <c r="F500" i="1" s="1"/>
  <c r="F499" i="1" s="1"/>
  <c r="F498" i="1" s="1"/>
  <c r="F497" i="1" s="1"/>
  <c r="I501" i="1"/>
  <c r="I500" i="1" s="1"/>
  <c r="I499" i="1" s="1"/>
  <c r="I498" i="1" s="1"/>
  <c r="I497" i="1" s="1"/>
  <c r="L501" i="1"/>
  <c r="L500" i="1" s="1"/>
  <c r="L499" i="1" s="1"/>
  <c r="L498" i="1" s="1"/>
  <c r="L497" i="1" s="1"/>
  <c r="F510" i="1"/>
  <c r="I510" i="1"/>
  <c r="L510" i="1"/>
  <c r="F512" i="1"/>
  <c r="I512" i="1"/>
  <c r="L512" i="1"/>
  <c r="F515" i="1"/>
  <c r="I515" i="1"/>
  <c r="L515" i="1"/>
  <c r="F523" i="1"/>
  <c r="F522" i="1" s="1"/>
  <c r="F521" i="1" s="1"/>
  <c r="I523" i="1"/>
  <c r="I522" i="1" s="1"/>
  <c r="I521" i="1" s="1"/>
  <c r="L523" i="1"/>
  <c r="L522" i="1" s="1"/>
  <c r="L521" i="1" s="1"/>
  <c r="F530" i="1"/>
  <c r="I530" i="1"/>
  <c r="L530" i="1"/>
  <c r="F532" i="1"/>
  <c r="I532" i="1"/>
  <c r="L532" i="1"/>
  <c r="F534" i="1"/>
  <c r="I534" i="1"/>
  <c r="L534" i="1"/>
  <c r="F535" i="1"/>
  <c r="I535" i="1"/>
  <c r="L535" i="1"/>
  <c r="F539" i="1"/>
  <c r="I539" i="1"/>
  <c r="L539" i="1"/>
  <c r="F541" i="1"/>
  <c r="I541" i="1"/>
  <c r="L541" i="1"/>
  <c r="F543" i="1"/>
  <c r="I543" i="1"/>
  <c r="L543" i="1"/>
  <c r="F547" i="1"/>
  <c r="I547" i="1"/>
  <c r="L547" i="1"/>
  <c r="F518" i="1"/>
  <c r="F517" i="1" s="1"/>
  <c r="I518" i="1"/>
  <c r="I517" i="1" s="1"/>
  <c r="L518" i="1"/>
  <c r="L517" i="1" s="1"/>
  <c r="F554" i="1"/>
  <c r="F553" i="1" s="1"/>
  <c r="F552" i="1" s="1"/>
  <c r="I554" i="1"/>
  <c r="I553" i="1" s="1"/>
  <c r="I552" i="1" s="1"/>
  <c r="L554" i="1"/>
  <c r="L553" i="1" s="1"/>
  <c r="L552" i="1" s="1"/>
  <c r="L556" i="1"/>
  <c r="F594" i="1"/>
  <c r="I594" i="1"/>
  <c r="L594" i="1"/>
  <c r="F596" i="1"/>
  <c r="I596" i="1"/>
  <c r="L596" i="1"/>
  <c r="F603" i="1"/>
  <c r="F602" i="1" s="1"/>
  <c r="F601" i="1" s="1"/>
  <c r="F600" i="1" s="1"/>
  <c r="I603" i="1"/>
  <c r="I602" i="1" s="1"/>
  <c r="I601" i="1" s="1"/>
  <c r="I600" i="1" s="1"/>
  <c r="L603" i="1"/>
  <c r="L602" i="1" s="1"/>
  <c r="L601" i="1" s="1"/>
  <c r="L600" i="1" s="1"/>
  <c r="F609" i="1"/>
  <c r="I609" i="1"/>
  <c r="L609" i="1"/>
  <c r="F611" i="1"/>
  <c r="I611" i="1"/>
  <c r="L611" i="1"/>
  <c r="L613" i="1"/>
  <c r="F615" i="1"/>
  <c r="I615" i="1"/>
  <c r="L615" i="1"/>
  <c r="F617" i="1"/>
  <c r="I617" i="1"/>
  <c r="L617" i="1"/>
  <c r="F621" i="1"/>
  <c r="I621" i="1"/>
  <c r="L621" i="1"/>
  <c r="F623" i="1"/>
  <c r="I623" i="1"/>
  <c r="L623" i="1"/>
  <c r="F625" i="1"/>
  <c r="I625" i="1"/>
  <c r="L625" i="1"/>
  <c r="F631" i="1"/>
  <c r="I631" i="1"/>
  <c r="L631" i="1"/>
  <c r="F633" i="1"/>
  <c r="I633" i="1"/>
  <c r="L633" i="1"/>
  <c r="F637" i="1"/>
  <c r="F636" i="1" s="1"/>
  <c r="F635" i="1" s="1"/>
  <c r="I637" i="1"/>
  <c r="I636" i="1" s="1"/>
  <c r="I635" i="1" s="1"/>
  <c r="L637" i="1"/>
  <c r="L636" i="1" s="1"/>
  <c r="L635" i="1" s="1"/>
  <c r="F649" i="1"/>
  <c r="F648" i="1" s="1"/>
  <c r="F647" i="1" s="1"/>
  <c r="I649" i="1"/>
  <c r="I648" i="1" s="1"/>
  <c r="I647" i="1" s="1"/>
  <c r="L649" i="1"/>
  <c r="L648" i="1" s="1"/>
  <c r="L647" i="1" s="1"/>
  <c r="F653" i="1"/>
  <c r="I653" i="1"/>
  <c r="L653" i="1"/>
  <c r="F655" i="1"/>
  <c r="I655" i="1"/>
  <c r="L655" i="1"/>
  <c r="F657" i="1"/>
  <c r="I657" i="1"/>
  <c r="L657" i="1"/>
  <c r="F661" i="1"/>
  <c r="F660" i="1" s="1"/>
  <c r="I661" i="1"/>
  <c r="I660" i="1" s="1"/>
  <c r="L661" i="1"/>
  <c r="L660" i="1" s="1"/>
  <c r="F671" i="1"/>
  <c r="F670" i="1" s="1"/>
  <c r="F669" i="1" s="1"/>
  <c r="F668" i="1" s="1"/>
  <c r="F667" i="1" s="1"/>
  <c r="F666" i="1" s="1"/>
  <c r="I671" i="1"/>
  <c r="I670" i="1" s="1"/>
  <c r="I669" i="1" s="1"/>
  <c r="I668" i="1" s="1"/>
  <c r="I667" i="1" s="1"/>
  <c r="I666" i="1" s="1"/>
  <c r="L671" i="1"/>
  <c r="L670" i="1" s="1"/>
  <c r="L669" i="1" s="1"/>
  <c r="L668" i="1" s="1"/>
  <c r="L667" i="1" s="1"/>
  <c r="L666" i="1" s="1"/>
  <c r="F678" i="1"/>
  <c r="I678" i="1"/>
  <c r="I677" i="1" s="1"/>
  <c r="I676" i="1" s="1"/>
  <c r="L678" i="1"/>
  <c r="L677" i="1" s="1"/>
  <c r="F681" i="1"/>
  <c r="F680" i="1" s="1"/>
  <c r="F685" i="1"/>
  <c r="L685" i="1"/>
  <c r="F699" i="1"/>
  <c r="F698" i="1" s="1"/>
  <c r="F697" i="1" s="1"/>
  <c r="F696" i="1" s="1"/>
  <c r="F695" i="1" s="1"/>
  <c r="F694" i="1" s="1"/>
  <c r="I699" i="1"/>
  <c r="I698" i="1" s="1"/>
  <c r="I697" i="1" s="1"/>
  <c r="I696" i="1" s="1"/>
  <c r="I695" i="1" s="1"/>
  <c r="I694" i="1" s="1"/>
  <c r="L699" i="1"/>
  <c r="L698" i="1" s="1"/>
  <c r="L697" i="1" s="1"/>
  <c r="L696" i="1" s="1"/>
  <c r="L695" i="1" s="1"/>
  <c r="L694" i="1" s="1"/>
  <c r="L710" i="1"/>
  <c r="F710" i="1"/>
  <c r="I710" i="1"/>
  <c r="L713" i="1"/>
  <c r="L712" i="1" s="1"/>
  <c r="F713" i="1"/>
  <c r="F712" i="1" s="1"/>
  <c r="I713" i="1"/>
  <c r="I712" i="1" s="1"/>
  <c r="F721" i="1"/>
  <c r="F720" i="1" s="1"/>
  <c r="F719" i="1" s="1"/>
  <c r="F718" i="1" s="1"/>
  <c r="F717" i="1" s="1"/>
  <c r="F716" i="1" s="1"/>
  <c r="I721" i="1"/>
  <c r="I720" i="1" s="1"/>
  <c r="I719" i="1" s="1"/>
  <c r="I718" i="1" s="1"/>
  <c r="I717" i="1" s="1"/>
  <c r="I716" i="1" s="1"/>
  <c r="L721" i="1"/>
  <c r="L720" i="1" s="1"/>
  <c r="L719" i="1" s="1"/>
  <c r="L718" i="1" s="1"/>
  <c r="L717" i="1" s="1"/>
  <c r="L716" i="1" s="1"/>
  <c r="F729" i="1"/>
  <c r="F728" i="1" s="1"/>
  <c r="I729" i="1"/>
  <c r="I728" i="1" s="1"/>
  <c r="L729" i="1"/>
  <c r="L728" i="1" s="1"/>
  <c r="F732" i="1"/>
  <c r="F731" i="1" s="1"/>
  <c r="I732" i="1"/>
  <c r="I731" i="1" s="1"/>
  <c r="L732" i="1"/>
  <c r="L731" i="1" s="1"/>
  <c r="F737" i="1"/>
  <c r="F736" i="1" s="1"/>
  <c r="I737" i="1"/>
  <c r="I736" i="1" s="1"/>
  <c r="L737" i="1"/>
  <c r="L736" i="1" s="1"/>
  <c r="F751" i="1"/>
  <c r="F750" i="1" s="1"/>
  <c r="I751" i="1"/>
  <c r="I750" i="1" s="1"/>
  <c r="F753" i="1"/>
  <c r="I754" i="1"/>
  <c r="I753" i="1" s="1"/>
  <c r="F761" i="1"/>
  <c r="F760" i="1" s="1"/>
  <c r="F759" i="1" s="1"/>
  <c r="F758" i="1" s="1"/>
  <c r="I761" i="1"/>
  <c r="I760" i="1" s="1"/>
  <c r="I759" i="1" s="1"/>
  <c r="I758" i="1" s="1"/>
  <c r="L761" i="1"/>
  <c r="L760" i="1" s="1"/>
  <c r="L759" i="1" s="1"/>
  <c r="L758" i="1" s="1"/>
  <c r="F767" i="1"/>
  <c r="I767" i="1"/>
  <c r="L767" i="1"/>
  <c r="L769" i="1"/>
  <c r="F769" i="1"/>
  <c r="I769" i="1"/>
  <c r="F777" i="1"/>
  <c r="F776" i="1" s="1"/>
  <c r="I777" i="1"/>
  <c r="I776" i="1" s="1"/>
  <c r="L777" i="1"/>
  <c r="L776" i="1" s="1"/>
  <c r="F789" i="1"/>
  <c r="I789" i="1"/>
  <c r="I788" i="1" s="1"/>
  <c r="I787" i="1" s="1"/>
  <c r="I786" i="1" s="1"/>
  <c r="I785" i="1" s="1"/>
  <c r="I784" i="1" s="1"/>
  <c r="I783" i="1" s="1"/>
  <c r="L789" i="1"/>
  <c r="L788" i="1" s="1"/>
  <c r="L787" i="1" s="1"/>
  <c r="L786" i="1" s="1"/>
  <c r="L785" i="1" s="1"/>
  <c r="L784" i="1" s="1"/>
  <c r="L783" i="1" s="1"/>
  <c r="F797" i="1"/>
  <c r="F796" i="1" s="1"/>
  <c r="F795" i="1" s="1"/>
  <c r="F794" i="1" s="1"/>
  <c r="F793" i="1" s="1"/>
  <c r="F792" i="1" s="1"/>
  <c r="I797" i="1"/>
  <c r="I796" i="1" s="1"/>
  <c r="I795" i="1" s="1"/>
  <c r="I794" i="1" s="1"/>
  <c r="I793" i="1" s="1"/>
  <c r="I792" i="1" s="1"/>
  <c r="L797" i="1"/>
  <c r="L796" i="1" s="1"/>
  <c r="L795" i="1" s="1"/>
  <c r="L794" i="1" s="1"/>
  <c r="L793" i="1" s="1"/>
  <c r="L792" i="1" s="1"/>
  <c r="F805" i="1"/>
  <c r="F804" i="1" s="1"/>
  <c r="F803" i="1" s="1"/>
  <c r="F802" i="1" s="1"/>
  <c r="F801" i="1" s="1"/>
  <c r="F800" i="1" s="1"/>
  <c r="F799" i="1" s="1"/>
  <c r="I805" i="1"/>
  <c r="I804" i="1" s="1"/>
  <c r="I803" i="1" s="1"/>
  <c r="I802" i="1" s="1"/>
  <c r="I801" i="1" s="1"/>
  <c r="I800" i="1" s="1"/>
  <c r="I799" i="1" s="1"/>
  <c r="L805" i="1"/>
  <c r="L804" i="1" s="1"/>
  <c r="L803" i="1" s="1"/>
  <c r="L802" i="1" s="1"/>
  <c r="L801" i="1" s="1"/>
  <c r="L800" i="1" s="1"/>
  <c r="L799" i="1" s="1"/>
  <c r="L812" i="1"/>
  <c r="F814" i="1"/>
  <c r="F811" i="1" s="1"/>
  <c r="I814" i="1"/>
  <c r="I811" i="1" s="1"/>
  <c r="L814" i="1"/>
  <c r="F820" i="1"/>
  <c r="F819" i="1" s="1"/>
  <c r="I820" i="1"/>
  <c r="I819" i="1" s="1"/>
  <c r="L820" i="1"/>
  <c r="L819" i="1" s="1"/>
  <c r="F829" i="1"/>
  <c r="F828" i="1" s="1"/>
  <c r="F827" i="1" s="1"/>
  <c r="I829" i="1"/>
  <c r="I828" i="1" s="1"/>
  <c r="I827" i="1" s="1"/>
  <c r="L829" i="1"/>
  <c r="L828" i="1" s="1"/>
  <c r="L827" i="1" s="1"/>
  <c r="F839" i="1"/>
  <c r="F838" i="1" s="1"/>
  <c r="F837" i="1" s="1"/>
  <c r="F836" i="1" s="1"/>
  <c r="I839" i="1"/>
  <c r="I838" i="1" s="1"/>
  <c r="I837" i="1" s="1"/>
  <c r="I836" i="1" s="1"/>
  <c r="L839" i="1"/>
  <c r="L838" i="1" s="1"/>
  <c r="L837" i="1" s="1"/>
  <c r="L836" i="1" s="1"/>
  <c r="F844" i="1"/>
  <c r="I844" i="1"/>
  <c r="L844" i="1"/>
  <c r="F847" i="1"/>
  <c r="I847" i="1"/>
  <c r="L847" i="1"/>
  <c r="F849" i="1"/>
  <c r="I849" i="1"/>
  <c r="L849" i="1"/>
  <c r="F851" i="1"/>
  <c r="I851" i="1"/>
  <c r="L851" i="1"/>
  <c r="F853" i="1"/>
  <c r="I853" i="1"/>
  <c r="L853" i="1"/>
  <c r="F324" i="1" l="1"/>
  <c r="F323" i="1" s="1"/>
  <c r="I324" i="1"/>
  <c r="I323" i="1" s="1"/>
  <c r="F363" i="1"/>
  <c r="F766" i="1"/>
  <c r="F765" i="1" s="1"/>
  <c r="F764" i="1" s="1"/>
  <c r="F757" i="1" s="1"/>
  <c r="F756" i="1" s="1"/>
  <c r="F393" i="1"/>
  <c r="L324" i="1"/>
  <c r="L323" i="1" s="1"/>
  <c r="F209" i="1"/>
  <c r="I96" i="1"/>
  <c r="I95" i="1" s="1"/>
  <c r="L96" i="1"/>
  <c r="L95" i="1" s="1"/>
  <c r="F96" i="1"/>
  <c r="F95" i="1" s="1"/>
  <c r="F677" i="1"/>
  <c r="F538" i="1"/>
  <c r="F529" i="1"/>
  <c r="F509" i="1"/>
  <c r="F508" i="1" s="1"/>
  <c r="F507" i="1" s="1"/>
  <c r="F506" i="1" s="1"/>
  <c r="F505" i="1" s="1"/>
  <c r="I363" i="1"/>
  <c r="L363" i="1"/>
  <c r="F34" i="1"/>
  <c r="F33" i="1" s="1"/>
  <c r="F26" i="1" s="1"/>
  <c r="F25" i="1" s="1"/>
  <c r="I139" i="1"/>
  <c r="I138" i="1" s="1"/>
  <c r="I137" i="1" s="1"/>
  <c r="I136" i="1" s="1"/>
  <c r="L139" i="1"/>
  <c r="L138" i="1" s="1"/>
  <c r="L137" i="1" s="1"/>
  <c r="L136" i="1" s="1"/>
  <c r="F139" i="1"/>
  <c r="F138" i="1" s="1"/>
  <c r="F137" i="1" s="1"/>
  <c r="F136" i="1" s="1"/>
  <c r="F297" i="1"/>
  <c r="F296" i="1" s="1"/>
  <c r="F289" i="1" s="1"/>
  <c r="F288" i="1" s="1"/>
  <c r="L297" i="1"/>
  <c r="L296" i="1" s="1"/>
  <c r="L289" i="1" s="1"/>
  <c r="L288" i="1" s="1"/>
  <c r="I297" i="1"/>
  <c r="I296" i="1" s="1"/>
  <c r="I289" i="1" s="1"/>
  <c r="F423" i="1"/>
  <c r="F422" i="1" s="1"/>
  <c r="F421" i="1" s="1"/>
  <c r="F420" i="1" s="1"/>
  <c r="F419" i="1" s="1"/>
  <c r="F418" i="1" s="1"/>
  <c r="F788" i="1"/>
  <c r="F787" i="1" s="1"/>
  <c r="F786" i="1" s="1"/>
  <c r="F785" i="1" s="1"/>
  <c r="F784" i="1" s="1"/>
  <c r="F783" i="1" s="1"/>
  <c r="L676" i="1"/>
  <c r="L675" i="1" s="1"/>
  <c r="L674" i="1" s="1"/>
  <c r="L673" i="1" s="1"/>
  <c r="L432" i="1"/>
  <c r="L431" i="1" s="1"/>
  <c r="L430" i="1" s="1"/>
  <c r="I126" i="1"/>
  <c r="I125" i="1" s="1"/>
  <c r="I124" i="1" s="1"/>
  <c r="I123" i="1" s="1"/>
  <c r="I84" i="1"/>
  <c r="I83" i="1" s="1"/>
  <c r="L126" i="1"/>
  <c r="L125" i="1" s="1"/>
  <c r="L124" i="1" s="1"/>
  <c r="L123" i="1" s="1"/>
  <c r="F630" i="1"/>
  <c r="F629" i="1" s="1"/>
  <c r="L258" i="1"/>
  <c r="L257" i="1" s="1"/>
  <c r="L256" i="1" s="1"/>
  <c r="F126" i="1"/>
  <c r="F125" i="1" s="1"/>
  <c r="F124" i="1" s="1"/>
  <c r="F123" i="1" s="1"/>
  <c r="L630" i="1"/>
  <c r="L629" i="1" s="1"/>
  <c r="F620" i="1"/>
  <c r="F619" i="1" s="1"/>
  <c r="L486" i="1"/>
  <c r="L485" i="1" s="1"/>
  <c r="L484" i="1" s="1"/>
  <c r="L483" i="1" s="1"/>
  <c r="F151" i="1"/>
  <c r="F150" i="1" s="1"/>
  <c r="F271" i="1"/>
  <c r="F270" i="1" s="1"/>
  <c r="L151" i="1"/>
  <c r="L150" i="1" s="1"/>
  <c r="L620" i="1"/>
  <c r="L619" i="1" s="1"/>
  <c r="L766" i="1"/>
  <c r="L765" i="1" s="1"/>
  <c r="L764" i="1" s="1"/>
  <c r="L757" i="1" s="1"/>
  <c r="L756" i="1" s="1"/>
  <c r="I630" i="1"/>
  <c r="I629" i="1" s="1"/>
  <c r="F659" i="1"/>
  <c r="F486" i="1"/>
  <c r="F485" i="1" s="1"/>
  <c r="F484" i="1" s="1"/>
  <c r="F483" i="1" s="1"/>
  <c r="I843" i="1"/>
  <c r="I842" i="1" s="1"/>
  <c r="I841" i="1" s="1"/>
  <c r="I608" i="1"/>
  <c r="I607" i="1" s="1"/>
  <c r="I220" i="1"/>
  <c r="I209" i="1" s="1"/>
  <c r="F56" i="1"/>
  <c r="I57" i="1"/>
  <c r="I56" i="1" s="1"/>
  <c r="F709" i="1"/>
  <c r="F708" i="1" s="1"/>
  <c r="F707" i="1" s="1"/>
  <c r="F706" i="1" s="1"/>
  <c r="F705" i="1" s="1"/>
  <c r="F693" i="1" s="1"/>
  <c r="L529" i="1"/>
  <c r="L509" i="1"/>
  <c r="L508" i="1" s="1"/>
  <c r="L507" i="1" s="1"/>
  <c r="L506" i="1" s="1"/>
  <c r="L505" i="1" s="1"/>
  <c r="L57" i="1"/>
  <c r="L56" i="1" s="1"/>
  <c r="I620" i="1"/>
  <c r="I619" i="1" s="1"/>
  <c r="I556" i="1"/>
  <c r="F258" i="1"/>
  <c r="F257" i="1" s="1"/>
  <c r="L181" i="1"/>
  <c r="L177" i="1" s="1"/>
  <c r="L176" i="1" s="1"/>
  <c r="L175" i="1" s="1"/>
  <c r="L174" i="1" s="1"/>
  <c r="F749" i="1"/>
  <c r="F727" i="1" s="1"/>
  <c r="F726" i="1" s="1"/>
  <c r="F725" i="1" s="1"/>
  <c r="F724" i="1" s="1"/>
  <c r="I675" i="1"/>
  <c r="I674" i="1" s="1"/>
  <c r="I673" i="1" s="1"/>
  <c r="L659" i="1"/>
  <c r="L593" i="1"/>
  <c r="L592" i="1" s="1"/>
  <c r="L591" i="1" s="1"/>
  <c r="L590" i="1" s="1"/>
  <c r="L589" i="1" s="1"/>
  <c r="L585" i="1" s="1"/>
  <c r="I432" i="1"/>
  <c r="I431" i="1" s="1"/>
  <c r="I430" i="1" s="1"/>
  <c r="I258" i="1"/>
  <c r="I257" i="1" s="1"/>
  <c r="I256" i="1" s="1"/>
  <c r="L220" i="1"/>
  <c r="L209" i="1" s="1"/>
  <c r="I181" i="1"/>
  <c r="I177" i="1" s="1"/>
  <c r="I176" i="1" s="1"/>
  <c r="I175" i="1" s="1"/>
  <c r="I174" i="1" s="1"/>
  <c r="I157" i="1"/>
  <c r="I156" i="1" s="1"/>
  <c r="F84" i="1"/>
  <c r="F83" i="1" s="1"/>
  <c r="F843" i="1"/>
  <c r="F842" i="1" s="1"/>
  <c r="F841" i="1" s="1"/>
  <c r="F652" i="1"/>
  <c r="F651" i="1" s="1"/>
  <c r="L608" i="1"/>
  <c r="L607" i="1" s="1"/>
  <c r="L538" i="1"/>
  <c r="I529" i="1"/>
  <c r="I509" i="1"/>
  <c r="I508" i="1" s="1"/>
  <c r="I507" i="1" s="1"/>
  <c r="I506" i="1" s="1"/>
  <c r="I505" i="1" s="1"/>
  <c r="L157" i="1"/>
  <c r="L156" i="1" s="1"/>
  <c r="I652" i="1"/>
  <c r="I651" i="1" s="1"/>
  <c r="I271" i="1"/>
  <c r="I270" i="1" s="1"/>
  <c r="I151" i="1"/>
  <c r="I150" i="1" s="1"/>
  <c r="L71" i="1"/>
  <c r="L843" i="1"/>
  <c r="L842" i="1" s="1"/>
  <c r="L841" i="1" s="1"/>
  <c r="L811" i="1"/>
  <c r="L810" i="1" s="1"/>
  <c r="L809" i="1" s="1"/>
  <c r="L808" i="1" s="1"/>
  <c r="L807" i="1" s="1"/>
  <c r="I659" i="1"/>
  <c r="L652" i="1"/>
  <c r="L651" i="1" s="1"/>
  <c r="F608" i="1"/>
  <c r="F607" i="1" s="1"/>
  <c r="L271" i="1"/>
  <c r="L270" i="1" s="1"/>
  <c r="F181" i="1"/>
  <c r="F177" i="1" s="1"/>
  <c r="F176" i="1" s="1"/>
  <c r="F175" i="1" s="1"/>
  <c r="F174" i="1" s="1"/>
  <c r="F157" i="1"/>
  <c r="F156" i="1" s="1"/>
  <c r="I34" i="1"/>
  <c r="I33" i="1" s="1"/>
  <c r="I26" i="1" s="1"/>
  <c r="I25" i="1" s="1"/>
  <c r="L34" i="1"/>
  <c r="L33" i="1" s="1"/>
  <c r="L26" i="1" s="1"/>
  <c r="L25" i="1" s="1"/>
  <c r="I826" i="1"/>
  <c r="I825" i="1"/>
  <c r="I824" i="1" s="1"/>
  <c r="L825" i="1"/>
  <c r="L824" i="1" s="1"/>
  <c r="L826" i="1"/>
  <c r="I200" i="1"/>
  <c r="I199" i="1"/>
  <c r="I810" i="1"/>
  <c r="I809" i="1" s="1"/>
  <c r="I808" i="1" s="1"/>
  <c r="I807" i="1" s="1"/>
  <c r="I749" i="1"/>
  <c r="I745" i="1" s="1"/>
  <c r="I744" i="1" s="1"/>
  <c r="F593" i="1"/>
  <c r="F592" i="1" s="1"/>
  <c r="F591" i="1" s="1"/>
  <c r="F590" i="1" s="1"/>
  <c r="F589" i="1" s="1"/>
  <c r="F585" i="1" s="1"/>
  <c r="I485" i="1"/>
  <c r="I484" i="1" s="1"/>
  <c r="I483" i="1" s="1"/>
  <c r="F472" i="1"/>
  <c r="I247" i="1"/>
  <c r="F199" i="1"/>
  <c r="F200" i="1"/>
  <c r="F825" i="1"/>
  <c r="F824" i="1" s="1"/>
  <c r="F826" i="1"/>
  <c r="F446" i="1"/>
  <c r="F445" i="1" s="1"/>
  <c r="F444" i="1" s="1"/>
  <c r="L199" i="1"/>
  <c r="L200" i="1"/>
  <c r="F810" i="1"/>
  <c r="F809" i="1" s="1"/>
  <c r="F808" i="1" s="1"/>
  <c r="F807" i="1" s="1"/>
  <c r="I709" i="1"/>
  <c r="I708" i="1" s="1"/>
  <c r="I707" i="1" s="1"/>
  <c r="I706" i="1" s="1"/>
  <c r="I705" i="1" s="1"/>
  <c r="I693" i="1" s="1"/>
  <c r="I538" i="1"/>
  <c r="F247" i="1"/>
  <c r="I766" i="1"/>
  <c r="I765" i="1" s="1"/>
  <c r="I764" i="1" s="1"/>
  <c r="I757" i="1" s="1"/>
  <c r="I756" i="1" s="1"/>
  <c r="L749" i="1"/>
  <c r="L727" i="1" s="1"/>
  <c r="L726" i="1" s="1"/>
  <c r="L725" i="1" s="1"/>
  <c r="L724" i="1" s="1"/>
  <c r="L709" i="1"/>
  <c r="L708" i="1" s="1"/>
  <c r="L707" i="1" s="1"/>
  <c r="L706" i="1" s="1"/>
  <c r="L705" i="1" s="1"/>
  <c r="L693" i="1" s="1"/>
  <c r="I593" i="1"/>
  <c r="I592" i="1" s="1"/>
  <c r="I591" i="1" s="1"/>
  <c r="I590" i="1" s="1"/>
  <c r="I589" i="1" s="1"/>
  <c r="I585" i="1" s="1"/>
  <c r="F428" i="1"/>
  <c r="L247" i="1"/>
  <c r="I449" i="1"/>
  <c r="F362" i="1" l="1"/>
  <c r="I528" i="1"/>
  <c r="I527" i="1" s="1"/>
  <c r="F528" i="1"/>
  <c r="F527" i="1" s="1"/>
  <c r="F526" i="1" s="1"/>
  <c r="F525" i="1" s="1"/>
  <c r="L528" i="1"/>
  <c r="L362" i="1"/>
  <c r="L355" i="1" s="1"/>
  <c r="L354" i="1" s="1"/>
  <c r="L353" i="1" s="1"/>
  <c r="I362" i="1"/>
  <c r="I355" i="1" s="1"/>
  <c r="I354" i="1" s="1"/>
  <c r="I353" i="1" s="1"/>
  <c r="I288" i="1"/>
  <c r="I727" i="1"/>
  <c r="I726" i="1" s="1"/>
  <c r="I725" i="1" s="1"/>
  <c r="I724" i="1" s="1"/>
  <c r="I723" i="1" s="1"/>
  <c r="I692" i="1" s="1"/>
  <c r="I747" i="1"/>
  <c r="I746" i="1" s="1"/>
  <c r="I743" i="1" s="1"/>
  <c r="I742" i="1" s="1"/>
  <c r="I741" i="1" s="1"/>
  <c r="I740" i="1" s="1"/>
  <c r="L318" i="1"/>
  <c r="L317" i="1" s="1"/>
  <c r="L316" i="1" s="1"/>
  <c r="I208" i="1"/>
  <c r="I207" i="1" s="1"/>
  <c r="I206" i="1" s="1"/>
  <c r="L208" i="1"/>
  <c r="L207" i="1" s="1"/>
  <c r="L206" i="1" s="1"/>
  <c r="F676" i="1"/>
  <c r="F675" i="1" s="1"/>
  <c r="F674" i="1" s="1"/>
  <c r="F673" i="1" s="1"/>
  <c r="I429" i="1"/>
  <c r="I428" i="1" s="1"/>
  <c r="L429" i="1"/>
  <c r="L428" i="1" s="1"/>
  <c r="F208" i="1"/>
  <c r="F207" i="1" s="1"/>
  <c r="F206" i="1" s="1"/>
  <c r="I823" i="1"/>
  <c r="I822" i="1" s="1"/>
  <c r="I71" i="1"/>
  <c r="I70" i="1" s="1"/>
  <c r="I69" i="1" s="1"/>
  <c r="F318" i="1"/>
  <c r="F317" i="1" s="1"/>
  <c r="F316" i="1" s="1"/>
  <c r="F606" i="1"/>
  <c r="F599" i="1" s="1"/>
  <c r="F598" i="1" s="1"/>
  <c r="F71" i="1"/>
  <c r="F70" i="1" s="1"/>
  <c r="F69" i="1" s="1"/>
  <c r="I149" i="1"/>
  <c r="I148" i="1" s="1"/>
  <c r="I147" i="1" s="1"/>
  <c r="I122" i="1" s="1"/>
  <c r="I606" i="1"/>
  <c r="I599" i="1" s="1"/>
  <c r="I598" i="1" s="1"/>
  <c r="F646" i="1"/>
  <c r="F645" i="1" s="1"/>
  <c r="F644" i="1" s="1"/>
  <c r="F643" i="1" s="1"/>
  <c r="L606" i="1"/>
  <c r="L599" i="1" s="1"/>
  <c r="L598" i="1" s="1"/>
  <c r="F464" i="1"/>
  <c r="F459" i="1" s="1"/>
  <c r="I246" i="1"/>
  <c r="I245" i="1" s="1"/>
  <c r="L149" i="1"/>
  <c r="L148" i="1" s="1"/>
  <c r="L147" i="1" s="1"/>
  <c r="L122" i="1" s="1"/>
  <c r="L646" i="1"/>
  <c r="L645" i="1" s="1"/>
  <c r="L644" i="1" s="1"/>
  <c r="L643" i="1" s="1"/>
  <c r="F256" i="1"/>
  <c r="F246" i="1" s="1"/>
  <c r="F245" i="1" s="1"/>
  <c r="I24" i="1"/>
  <c r="L246" i="1"/>
  <c r="L245" i="1" s="1"/>
  <c r="L70" i="1"/>
  <c r="L69" i="1" s="1"/>
  <c r="I464" i="1"/>
  <c r="F149" i="1"/>
  <c r="F148" i="1" s="1"/>
  <c r="F147" i="1" s="1"/>
  <c r="F122" i="1" s="1"/>
  <c r="F355" i="1"/>
  <c r="F354" i="1" s="1"/>
  <c r="L24" i="1"/>
  <c r="L464" i="1"/>
  <c r="I646" i="1"/>
  <c r="I645" i="1" s="1"/>
  <c r="I644" i="1" s="1"/>
  <c r="I643" i="1" s="1"/>
  <c r="L527" i="1"/>
  <c r="F24" i="1"/>
  <c r="I318" i="1"/>
  <c r="I317" i="1" s="1"/>
  <c r="I316" i="1" s="1"/>
  <c r="L823" i="1"/>
  <c r="L822" i="1" s="1"/>
  <c r="F823" i="1"/>
  <c r="F822" i="1" s="1"/>
  <c r="L723" i="1"/>
  <c r="L692" i="1" s="1"/>
  <c r="F723" i="1"/>
  <c r="F692" i="1" s="1"/>
  <c r="L526" i="1" l="1"/>
  <c r="L525" i="1" s="1"/>
  <c r="L504" i="1" s="1"/>
  <c r="L503" i="1" s="1"/>
  <c r="I526" i="1"/>
  <c r="I525" i="1" s="1"/>
  <c r="I504" i="1" s="1"/>
  <c r="I503" i="1" s="1"/>
  <c r="I287" i="1"/>
  <c r="F458" i="1"/>
  <c r="F457" i="1" s="1"/>
  <c r="F443" i="1" s="1"/>
  <c r="L287" i="1"/>
  <c r="L173" i="1"/>
  <c r="I173" i="1"/>
  <c r="F504" i="1"/>
  <c r="F503" i="1" s="1"/>
  <c r="I12" i="1"/>
  <c r="F173" i="1"/>
  <c r="F12" i="1"/>
  <c r="L12" i="1"/>
  <c r="L11" i="1" l="1"/>
  <c r="L855" i="1" s="1"/>
  <c r="I11" i="1"/>
  <c r="I855" i="1" s="1"/>
  <c r="F353" i="1" l="1"/>
  <c r="F287" i="1" s="1"/>
  <c r="F11" i="1" s="1"/>
  <c r="F855" i="1" s="1"/>
</calcChain>
</file>

<file path=xl/sharedStrings.xml><?xml version="1.0" encoding="utf-8"?>
<sst xmlns="http://schemas.openxmlformats.org/spreadsheetml/2006/main" count="3041" uniqueCount="937">
  <si>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</si>
  <si>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</si>
  <si>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</si>
  <si>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</si>
  <si>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</si>
  <si>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</si>
  <si>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</si>
  <si>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</si>
  <si>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</si>
  <si>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</si>
  <si>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</si>
  <si>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</si>
  <si>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</si>
  <si>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</si>
  <si>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</si>
  <si>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</si>
  <si>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</si>
  <si>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</si>
  <si>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</si>
  <si>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</si>
  <si>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</si>
  <si>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</si>
  <si>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</si>
  <si>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</si>
  <si>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</si>
  <si>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</si>
  <si>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</si>
  <si>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</si>
  <si>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</si>
  <si>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</si>
  <si>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</si>
  <si>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</si>
  <si>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</si>
  <si>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</si>
  <si>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</si>
  <si>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</si>
  <si>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</si>
  <si>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</si>
  <si>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</si>
  <si>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</si>
  <si>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</si>
  <si>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</si>
  <si>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</si>
  <si>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</si>
  <si>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</si>
  <si>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</si>
  <si>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</si>
  <si>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</si>
  <si>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</si>
  <si>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</si>
  <si>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</si>
  <si>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</si>
  <si>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</si>
  <si>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</si>
  <si>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</si>
  <si>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</si>
  <si>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</si>
  <si>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</si>
  <si>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</si>
  <si>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</si>
  <si>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</si>
  <si>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</si>
  <si>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</si>
  <si>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</si>
  <si>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</si>
  <si>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</si>
  <si>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</si>
  <si>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</si>
  <si>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</si>
  <si>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</si>
  <si>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</si>
  <si>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</si>
  <si>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</si>
  <si>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</si>
  <si>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</si>
  <si>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</si>
  <si>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</si>
  <si>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</si>
  <si>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</si>
  <si>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</si>
  <si>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</si>
  <si>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</si>
  <si>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</si>
  <si>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</si>
  <si>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</si>
  <si>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</si>
  <si>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Муниципальная программа "Развитие  образования Юсьвинского муниципального округа Пермского края"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</si>
  <si>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</si>
  <si>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</si>
  <si>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</si>
  <si>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</si>
  <si>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</si>
  <si>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</si>
  <si>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</si>
  <si>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</si>
  <si>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</si>
  <si>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</si>
  <si>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</si>
  <si>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</si>
  <si>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</si>
  <si>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</si>
  <si>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</si>
  <si>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</si>
  <si>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Муниципальная программа "Совершенствование муниципального управления в Юсьвинском муниципальном округе Пермского края"</t>
  </si>
  <si>
    <t>Другие вопросы в области культуры, кинематографии</t>
  </si>
  <si>
    <t>0804</t>
  </si>
  <si>
    <t>в том числе за счет местного бюджета</t>
  </si>
  <si>
    <t>Государственная поддержка отрасли культуры (оказание государственной поддержки лучшим сельским учреждениям культуры)</t>
  </si>
  <si>
    <t>06 1 А2 55196</t>
  </si>
  <si>
    <t>Государственная поддержка отрасли культуры (оказание государственной поддержки лучшим работникам сельских учреждений культуры)</t>
  </si>
  <si>
    <t>06 1 А2 55195</t>
  </si>
  <si>
    <t>Основное мероприятие "Реализация федерального проекта "Творческие люди"</t>
  </si>
  <si>
    <t>06 1 А2 00000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</si>
  <si>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</si>
  <si>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</si>
  <si>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</si>
  <si>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в том числе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</si>
  <si>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</si>
  <si>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</si>
  <si>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</si>
  <si>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</si>
  <si>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</si>
  <si>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</si>
  <si>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</si>
  <si>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</si>
  <si>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</si>
  <si>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</si>
  <si>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</si>
  <si>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</si>
  <si>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</si>
  <si>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</si>
  <si>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</si>
  <si>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</si>
  <si>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</si>
  <si>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</si>
  <si>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</si>
  <si>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</si>
  <si>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</si>
  <si>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</si>
  <si>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</si>
  <si>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</si>
  <si>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</si>
  <si>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</si>
  <si>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</si>
  <si>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</si>
  <si>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Реализация мероприятий в сфере молодежной политики</t>
  </si>
  <si>
    <t>06 2 10 SН220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</si>
  <si>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</si>
  <si>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</si>
  <si>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</si>
  <si>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</si>
  <si>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</si>
  <si>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</si>
  <si>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</si>
  <si>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</si>
  <si>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</si>
  <si>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</si>
  <si>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</si>
  <si>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</si>
  <si>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</si>
  <si>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</si>
  <si>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</si>
  <si>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</si>
  <si>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</si>
  <si>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</si>
  <si>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</si>
  <si>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Капитальный ремонт объектов спортивной инфраструктуры муниципального значения</t>
  </si>
  <si>
    <t>07 0 30 SФ350</t>
  </si>
  <si>
    <t>Основное мероприятие "Капитальный ремонт объектов спортивной инфраструктуры муниципального значения"</t>
  </si>
  <si>
    <t>07 0 30 00000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</si>
  <si>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</si>
  <si>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</si>
  <si>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</si>
  <si>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</si>
  <si>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</si>
  <si>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</si>
  <si>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</si>
  <si>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</si>
  <si>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</si>
  <si>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</si>
  <si>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</si>
  <si>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</si>
  <si>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</si>
  <si>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</si>
  <si>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</si>
  <si>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</si>
  <si>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</si>
  <si>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</si>
  <si>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</si>
  <si>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</si>
  <si>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</si>
  <si>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</si>
  <si>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</si>
  <si>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</si>
  <si>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</si>
  <si>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</si>
  <si>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</si>
  <si>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</si>
  <si>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</si>
  <si>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</si>
  <si>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</si>
  <si>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</si>
  <si>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</si>
  <si>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</si>
  <si>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</si>
  <si>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</si>
  <si>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</si>
  <si>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</si>
  <si>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</si>
  <si>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</si>
  <si>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</si>
  <si>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</si>
  <si>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</si>
  <si>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</si>
  <si>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</si>
  <si>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</si>
  <si>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</si>
  <si>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</si>
  <si>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</si>
  <si>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</si>
  <si>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</si>
  <si>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</si>
  <si>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</si>
  <si>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</si>
  <si>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</si>
  <si>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</si>
  <si>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</si>
  <si>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</si>
  <si>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</si>
  <si>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</si>
  <si>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</si>
  <si>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</si>
  <si>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</si>
  <si>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</si>
  <si>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</si>
  <si>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</si>
  <si>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</si>
  <si>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</si>
  <si>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</si>
  <si>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</si>
  <si>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</si>
  <si>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</si>
  <si>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</si>
  <si>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</si>
  <si>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</si>
  <si>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</si>
  <si>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</si>
  <si>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</si>
  <si>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</si>
  <si>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</si>
  <si>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</si>
  <si>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</si>
  <si>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</si>
  <si>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</si>
  <si>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</si>
  <si>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</si>
  <si>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</si>
  <si>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</si>
  <si>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</si>
  <si>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</si>
  <si>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</si>
  <si>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</si>
  <si>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</si>
  <si>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</si>
  <si>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</si>
  <si>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</si>
  <si>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</si>
  <si>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</si>
  <si>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</si>
  <si>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</si>
  <si>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</si>
  <si>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</si>
  <si>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</si>
  <si>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их числа детей-сирот и детей, оставшихся без попечения родителей, по договорам найма специализированных жилых помещений</t>
  </si>
  <si>
    <t>04 0 30 2С080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</si>
  <si>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</si>
  <si>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</si>
  <si>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</si>
  <si>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</si>
  <si>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</si>
  <si>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</si>
  <si>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</si>
  <si>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</si>
  <si>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</si>
  <si>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</si>
  <si>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</si>
  <si>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</si>
  <si>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</si>
  <si>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</si>
  <si>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</si>
  <si>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</si>
  <si>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</si>
  <si>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</si>
  <si>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</si>
  <si>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</si>
  <si>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</si>
  <si>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</si>
  <si>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</si>
  <si>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</si>
  <si>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</si>
  <si>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</si>
  <si>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</si>
  <si>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</si>
  <si>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</si>
  <si>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</si>
  <si>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</si>
  <si>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</si>
  <si>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</si>
  <si>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</si>
  <si>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</si>
  <si>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</si>
  <si>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</si>
  <si>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</si>
  <si>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</si>
  <si>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</si>
  <si>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</si>
  <si>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</si>
  <si>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</si>
  <si>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</si>
  <si>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</si>
  <si>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</si>
  <si>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</si>
  <si>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</si>
  <si>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</si>
  <si>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Ликвидация несанкционированных свалок</t>
  </si>
  <si>
    <t xml:space="preserve">10 2 30 4М035 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</si>
  <si>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</si>
  <si>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</si>
  <si>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</si>
  <si>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</si>
  <si>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</si>
  <si>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</si>
  <si>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</si>
  <si>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</si>
  <si>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</si>
  <si>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</si>
  <si>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</si>
  <si>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</si>
  <si>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</si>
  <si>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</si>
  <si>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</si>
  <si>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</si>
  <si>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</si>
  <si>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</si>
  <si>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</si>
  <si>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</si>
  <si>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</si>
  <si>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</si>
  <si>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</si>
  <si>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</si>
  <si>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</si>
  <si>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</si>
  <si>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</si>
  <si>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</si>
  <si>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</si>
  <si>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</si>
  <si>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</si>
  <si>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</si>
  <si>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</si>
  <si>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</si>
  <si>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</si>
  <si>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</si>
  <si>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</si>
  <si>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</si>
  <si>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</si>
  <si>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14 2 10 00000</t>
  </si>
  <si>
    <t>Подпрограмма  «Переселение граждан и снос ветхих (аварийных) домов, признанных аварийными после 1 января 2017 года на территории Юсьвинского муниципального округа Пермского края»</t>
  </si>
  <si>
    <t>14 2 00 00000</t>
  </si>
  <si>
    <t>Муниципальная адресная программа "Переселение граждан и снос ветхих (аварийных) домов на территории Юсьвинского муниципального округа Пермского края"</t>
  </si>
  <si>
    <t>14 0 00 00000</t>
  </si>
  <si>
    <t xml:space="preserve"> за счет местного бюджета</t>
  </si>
  <si>
    <t xml:space="preserve"> за счет краевого бюджета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</si>
  <si>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расходы)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</si>
  <si>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</si>
  <si>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</si>
  <si>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</si>
  <si>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</si>
  <si>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</si>
  <si>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</si>
  <si>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</si>
  <si>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</si>
  <si>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</si>
  <si>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</si>
  <si>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</si>
  <si>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</si>
  <si>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</si>
  <si>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</si>
  <si>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</si>
  <si>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</si>
  <si>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</si>
  <si>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</si>
  <si>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</si>
  <si>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</si>
  <si>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</si>
  <si>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Муниципальная программа " Распоряжение земельными ресурсами и развитие градостроительной деятельности в Юсьвинском муниципальном округе Пермского края"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</si>
  <si>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</si>
  <si>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</si>
  <si>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</si>
  <si>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</si>
  <si>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</si>
  <si>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</si>
  <si>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</si>
  <si>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</si>
  <si>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</si>
  <si>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</si>
  <si>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</si>
  <si>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</si>
  <si>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</si>
  <si>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</si>
  <si>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</si>
  <si>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</si>
  <si>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</si>
  <si>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</si>
  <si>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</si>
  <si>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</si>
  <si>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</si>
  <si>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</si>
  <si>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</si>
  <si>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Приведение в нормативное состояние искусственных дорожных сооружений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</si>
  <si>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</si>
  <si>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</si>
  <si>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</si>
  <si>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</si>
  <si>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</si>
  <si>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</si>
  <si>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</si>
  <si>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</si>
  <si>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</si>
  <si>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</si>
  <si>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</si>
  <si>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</si>
  <si>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</si>
  <si>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</si>
  <si>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</si>
  <si>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</si>
  <si>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</si>
  <si>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</si>
  <si>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</si>
  <si>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</si>
  <si>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</si>
  <si>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</si>
  <si>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</si>
  <si>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</si>
  <si>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</si>
  <si>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</si>
  <si>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</si>
  <si>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</si>
  <si>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</si>
  <si>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</si>
  <si>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</si>
  <si>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</si>
  <si>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</si>
  <si>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</si>
  <si>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</si>
  <si>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</si>
  <si>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</si>
  <si>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</si>
  <si>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</si>
  <si>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</si>
  <si>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</si>
  <si>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</si>
  <si>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</si>
  <si>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</si>
  <si>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</si>
  <si>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</si>
  <si>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</si>
  <si>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</si>
  <si>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</si>
  <si>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</si>
  <si>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</si>
  <si>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</si>
  <si>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</si>
  <si>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</si>
  <si>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</si>
  <si>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</si>
  <si>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</si>
  <si>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</si>
  <si>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</si>
  <si>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</si>
  <si>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</si>
  <si>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</si>
  <si>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</si>
  <si>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</si>
  <si>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</si>
  <si>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</si>
  <si>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</si>
  <si>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</si>
  <si>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</si>
  <si>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</si>
  <si>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</si>
  <si>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</si>
  <si>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</si>
  <si>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</si>
  <si>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</si>
  <si>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</si>
  <si>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</si>
  <si>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</si>
  <si>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</si>
  <si>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</si>
  <si>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</si>
  <si>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</si>
  <si>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</si>
  <si>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</si>
  <si>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</si>
  <si>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</si>
  <si>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</si>
  <si>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</si>
  <si>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</si>
  <si>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</si>
  <si>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</si>
  <si>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</si>
  <si>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</si>
  <si>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</si>
  <si>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</si>
  <si>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</si>
  <si>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</si>
  <si>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</si>
  <si>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</si>
  <si>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</si>
  <si>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</si>
  <si>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</si>
  <si>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</si>
  <si>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</si>
  <si>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</si>
  <si>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</si>
  <si>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</si>
  <si>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</si>
  <si>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</si>
  <si>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</si>
  <si>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</si>
  <si>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</si>
  <si>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</si>
  <si>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</si>
  <si>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</si>
  <si>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</si>
  <si>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</si>
  <si>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</si>
  <si>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</si>
  <si>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</si>
  <si>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</si>
  <si>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</si>
  <si>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</si>
  <si>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Программное 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</si>
  <si>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</si>
  <si>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</si>
  <si>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</si>
  <si>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</si>
  <si>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</si>
  <si>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</si>
  <si>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</si>
  <si>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</si>
  <si>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</si>
  <si>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</si>
  <si>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</si>
  <si>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</si>
  <si>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</si>
  <si>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</si>
  <si>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</si>
  <si>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</si>
  <si>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</si>
  <si>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</si>
  <si>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</si>
  <si>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</si>
  <si>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</si>
  <si>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</si>
  <si>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</si>
  <si>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</si>
  <si>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</si>
  <si>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</si>
  <si>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</si>
  <si>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</si>
  <si>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</si>
  <si>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</si>
  <si>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</si>
  <si>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</si>
  <si>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</si>
  <si>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 xml:space="preserve">2027 год </t>
  </si>
  <si>
    <t>2026 год</t>
  </si>
  <si>
    <t xml:space="preserve">2025 год 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</si>
  <si>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</si>
  <si>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</si>
  <si>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</si>
  <si>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</si>
  <si>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</si>
  <si>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(тыс.руб.)</t>
  </si>
  <si>
    <t>Пермского края</t>
  </si>
  <si>
    <t>муниципального округа</t>
  </si>
  <si>
    <t>к решению Думы Юсьвинского</t>
  </si>
  <si>
    <t>Приложение 2</t>
  </si>
  <si>
    <t>05 0 10 4И070</t>
  </si>
  <si>
    <t xml:space="preserve">Снос расселенных жилых домов и нежилых зданий (сооружений), расположенных на территории муниципальных образований Пермского края 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</si>
  <si>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</si>
  <si>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</si>
  <si>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</si>
  <si>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</si>
  <si>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</si>
  <si>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</si>
  <si>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</si>
  <si>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</si>
  <si>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</si>
  <si>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</si>
  <si>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</si>
  <si>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</si>
  <si>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>07 0 30 4Ф350</t>
  </si>
  <si>
    <t>Разработка проектно-сметной документации на капитальный ремонт объектов спортивной инфраструктуры муниципального значения включая расходы на государственную экспертизу</t>
  </si>
  <si>
    <t xml:space="preserve">06 1 70 4К091 </t>
  </si>
  <si>
    <t>06 1 50 4К080</t>
  </si>
  <si>
    <t>Проведение мероприятий, приуроченных к 100-ию  Юсьвинского района</t>
  </si>
  <si>
    <t>14 0 F3 67483</t>
  </si>
  <si>
    <t>Предпроектное обследование моста через р. Лысковка автомобильной дороги "Подъезд к пристани Пожва" км 0+677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</si>
  <si>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</si>
  <si>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</si>
  <si>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Снижение негативного воздействия на почвы, восстановление наруенных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</si>
  <si>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за счет внебюджетных источников</t>
  </si>
  <si>
    <t>04 0 70 L5762</t>
  </si>
  <si>
    <t>Предоставление жилых помещений на условиях найма гражданам, осуществляющим трудовую деятельность в сфере сельского хозяйства или социальной сфере</t>
  </si>
  <si>
    <t>04 0 70 00000</t>
  </si>
  <si>
    <t>Основное мероприятие "Создание условий для обеспечения доступным и комфортным жильем сельского населения"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</si>
  <si>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</si>
  <si>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</si>
  <si>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</si>
  <si>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ФБ</t>
  </si>
  <si>
    <t>КБ</t>
  </si>
  <si>
    <t>МБ</t>
  </si>
  <si>
    <t>ВБ</t>
  </si>
  <si>
    <t>Обеспечение, сопровождение информационных систем, приобретение компьютерной оргтехники в целях автоматизации административно-управленческих процессов при выполнении функций администрации Юсьвинского муниципального округа Пермского края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</si>
  <si>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</si>
  <si>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</si>
  <si>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Основное мероприятие "Формирование позитивного имиджа главы муниципального округа – главы администрации  Юсьвинского муниципального округа Пермского края и администрации Юсьвинского муниципального округа Пермского края "</t>
  </si>
  <si>
    <t>Оснащение муниципальных образовательных организаций оборудованием, средствами обучения и воспитания</t>
  </si>
  <si>
    <t>Подпрограмма "Реализация государственной национальной политики в сфере образования"</t>
  </si>
  <si>
    <t xml:space="preserve">Приобретение (выкуп) в муниципальную собственность объектов недвижимости 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</si>
  <si>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</si>
  <si>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Участие в реализации  проекта «Новый клуб» программа «Комфортный край»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</si>
  <si>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</t>
  </si>
  <si>
    <t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спортом)</t>
  </si>
  <si>
    <t>Основное мероприятие "Организация общественной безопасности на территории Юсьвинского муниципального округа Пермского края"</t>
  </si>
  <si>
    <t>10 1 10 00000</t>
  </si>
  <si>
    <t>Основное мероприятие "Создание условий для обеспечения доступным и комфортным жильем сельского населения, развитие инфраструктуры на сельских территориях, содействие занятости сельского населения"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</si>
  <si>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водоснабжения, разработка проектов для участия в конкурсном отборе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</si>
  <si>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</si>
  <si>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>Создание условий для организации добровольной пожарной охраны на территории Юсьвинского муниципального округа Пермского края</t>
  </si>
  <si>
    <t>Основное мероприятие "Оснащённость пунктов временного размещения"</t>
  </si>
  <si>
    <t>13 0 40 4Ч070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</si>
  <si>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</si>
  <si>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средства Фонда</t>
  </si>
  <si>
    <t>средства бюджета Пермского края</t>
  </si>
  <si>
    <t xml:space="preserve">средства местного бюджета </t>
  </si>
  <si>
    <t>Муниципальная программа  "Распоряжение земельными ресурсами в Юсьвинском муниципальном округе Пермского края"</t>
  </si>
  <si>
    <t>2025 год</t>
  </si>
  <si>
    <t>2027 год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</si>
  <si>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</si>
  <si>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>Приложение 1</t>
  </si>
  <si>
    <t>Приложение 4</t>
  </si>
  <si>
    <t>Приложение 5</t>
  </si>
  <si>
    <t>№ п/п</t>
  </si>
  <si>
    <t>средства краевого бюджета</t>
  </si>
  <si>
    <t>средства местного бюджета</t>
  </si>
  <si>
    <t xml:space="preserve">к  решению Думы Юсьвинского </t>
  </si>
  <si>
    <t xml:space="preserve"> Пермского края</t>
  </si>
  <si>
    <t>1. Доходы</t>
  </si>
  <si>
    <t>Наименование доходов</t>
  </si>
  <si>
    <t>Сумма (тыс.руб.)</t>
  </si>
  <si>
    <t>средства федерального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</si>
  <si>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</si>
  <si>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</si>
  <si>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</si>
  <si>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</si>
  <si>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</si>
  <si>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</si>
  <si>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</si>
  <si>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</si>
  <si>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</si>
  <si>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</si>
  <si>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</si>
  <si>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</si>
  <si>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</si>
  <si>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</si>
  <si>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</si>
  <si>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</si>
  <si>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</si>
  <si>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</si>
  <si>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</si>
  <si>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Мероприятие "Ремонт автомобильных дорог (несофинансируемые из бюджета ПК)"</t>
  </si>
  <si>
    <t>Мероприятие "Восстановление мостов и труб (несофинансируемые)"</t>
  </si>
  <si>
    <t>1.1.3.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</si>
  <si>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</si>
  <si>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</si>
  <si>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1.1.4.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</si>
  <si>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</si>
  <si>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</si>
  <si>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</si>
  <si>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</si>
  <si>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муниципального округа Пермского края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</si>
  <si>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</si>
  <si>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</si>
  <si>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</si>
  <si>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</si>
  <si>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</si>
  <si>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</si>
  <si>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</si>
  <si>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</si>
  <si>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</si>
  <si>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</si>
  <si>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</si>
  <si>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</si>
  <si>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</si>
  <si>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</si>
  <si>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</si>
  <si>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</si>
  <si>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</si>
  <si>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</si>
  <si>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</si>
  <si>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</si>
  <si>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</si>
  <si>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</si>
  <si>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</si>
  <si>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>Источники финансирования дефицита бюджета Юсьвинского муниципального округа Пермского края на 2025 год и на плановый период 2026 и 2027 годов</t>
  </si>
  <si>
    <t xml:space="preserve">в том числе за счет средств краевого бюджета  </t>
  </si>
  <si>
    <t>Распределение средств дорожного фонда Юсьвинского муниципального округа  Пермского края на 2025 год и на плановый период 2026-2027 годы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</si>
  <si>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</si>
  <si>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</si>
  <si>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</si>
  <si>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</si>
  <si>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</si>
  <si>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</si>
  <si>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</si>
  <si>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</si>
  <si>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</si>
  <si>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</si>
  <si>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</si>
  <si>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10 3 10 4М080</t>
  </si>
  <si>
    <t>10 3 10 4М082</t>
  </si>
  <si>
    <t>10 3 10 4М085</t>
  </si>
  <si>
    <t>Благоустройство общественных и дворовых территорий Юсьвинского муниципального округа Пермского края (расходы, не софинансируемые из федерального бюджета)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</si>
  <si>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</si>
  <si>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</si>
  <si>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</si>
  <si>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Распределение бюджетных ассигнований по целевым статьям (муниципальным программам и непрограммным направлениям деятельности) и группам видов расходов классификации расходов на 2025-2027 годы</t>
  </si>
  <si>
    <t>Ведомственная структура расходов Юсьвинского муниципального округа Пермского края  на 2025 год и на плановый период 2026-2027 годы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</si>
  <si>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</si>
  <si>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</si>
  <si>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</si>
  <si>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</si>
  <si>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</si>
  <si>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</si>
  <si>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</si>
  <si>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1.1.5.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</si>
  <si>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</si>
  <si>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</si>
  <si>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</si>
  <si>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</si>
  <si>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</si>
  <si>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</si>
  <si>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</si>
  <si>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</si>
  <si>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</si>
  <si>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</si>
  <si>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</si>
  <si>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</si>
  <si>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</si>
  <si>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</si>
  <si>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</si>
  <si>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</si>
  <si>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</si>
  <si>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</si>
  <si>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</si>
  <si>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</si>
  <si>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</si>
  <si>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</si>
  <si>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</si>
  <si>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</si>
  <si>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</si>
  <si>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</si>
  <si>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</si>
  <si>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</si>
  <si>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</si>
  <si>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</si>
  <si>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</si>
  <si>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</si>
  <si>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</si>
  <si>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</si>
  <si>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</si>
  <si>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</si>
  <si>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</si>
  <si>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</si>
  <si>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</si>
  <si>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автомобильных дорог (нераспределенные средства)</t>
  </si>
  <si>
    <t>Обеспечение материальными резервами ПВР</t>
  </si>
  <si>
    <t>14 0 F3 00000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</si>
  <si>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</si>
  <si>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Осуществление технологического присоединения нового здания Купросского сельского дома культуры на 50 мест в с. Купрос</t>
  </si>
  <si>
    <t>92 0 00 2У150</t>
  </si>
  <si>
    <t>02 2 20 L3030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</si>
  <si>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</si>
  <si>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</si>
  <si>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</si>
  <si>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</si>
  <si>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2H420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</si>
  <si>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</si>
  <si>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</si>
  <si>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деятельности психолого-медико-педагогической комиссии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</si>
  <si>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</si>
  <si>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</si>
  <si>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</si>
  <si>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</si>
  <si>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</si>
  <si>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Ремонт водопропускной трубы на участке автомобильной дороги по ул. Парковая км 0+330 д. Малая Мочга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</si>
  <si>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</si>
  <si>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</si>
  <si>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</si>
  <si>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</si>
  <si>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</si>
  <si>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</si>
  <si>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</si>
  <si>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</si>
  <si>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</si>
  <si>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</si>
  <si>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</si>
  <si>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</si>
  <si>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</si>
  <si>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</si>
  <si>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утверждено</t>
  </si>
  <si>
    <t>изменения</t>
  </si>
  <si>
    <t>92 0 00 00230</t>
  </si>
  <si>
    <t>Исполнение решений судов, вступивших в законную силу, и оплата государственной пошлины</t>
  </si>
  <si>
    <t xml:space="preserve">Обеспечение деятельности  муниципального казенного учреждения «Единый сервисный центр» </t>
  </si>
  <si>
    <t>92 0 00 00600</t>
  </si>
  <si>
    <t>Обеспечение функционирования очистных сооружений в с. Юсьва</t>
  </si>
  <si>
    <t>Обеспечение выполнения функций администрации Юсьвинского муниципального округа и её структурных подразделений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</si>
  <si>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</si>
  <si>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</si>
  <si>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</si>
  <si>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Актуализация схем теплоснабжения, водоснабжения и водоотведения Юсьвинского муниципального округа Пермского края, разработка программы в области энергосбережения и повышения энергетической эффективности</t>
  </si>
  <si>
    <t>92 0 00 00223</t>
  </si>
  <si>
    <t>02 6 10 SН820</t>
  </si>
  <si>
    <t>Проведение работ по ремонту помещений общеобразовательных организаций для размещения дошкольных групп и пришкольных интернатов</t>
  </si>
  <si>
    <t>Проведение мероприятий, приуроченных к 100-ию  Коми-Пермяцкого округа</t>
  </si>
  <si>
    <t>09 1 КК 00000</t>
  </si>
  <si>
    <t>Основное мероприятие "Региональный проект "Комфортный край"</t>
  </si>
  <si>
    <t>09 1 КК SP430</t>
  </si>
  <si>
    <t>Оборудование торговых мест торговыми прилавками</t>
  </si>
  <si>
    <t>Замена ограждений мемориальных сооружений</t>
  </si>
  <si>
    <t>10 2 20 4М097</t>
  </si>
  <si>
    <t>10 2 КК 00000</t>
  </si>
  <si>
    <t>10 2 КК SP430</t>
  </si>
  <si>
    <t>10 2 КК SP431</t>
  </si>
  <si>
    <t>Оборудование организованных мест отдыха людей у воды</t>
  </si>
  <si>
    <t>11 3 20 00000</t>
  </si>
  <si>
    <t>Основное мероприятие "Обеспечение транспортной безопасности объектов транспортной инфраструктуры"</t>
  </si>
  <si>
    <t>Разработка плана, паспорта обеспечения транспортной безопасности и подготовка сил обеспечения транспортной безопасности</t>
  </si>
  <si>
    <t xml:space="preserve">11 1 И8 00000 </t>
  </si>
  <si>
    <t>11 1 И8 54470</t>
  </si>
  <si>
    <t>12 0 И4 00000</t>
  </si>
  <si>
    <t>12 0 И4 55550</t>
  </si>
  <si>
    <t>Основное мероприятие "Региональный проект «Формирование комфортной городской среды (Пермский край)»</t>
  </si>
  <si>
    <t>06 1 КК 00000</t>
  </si>
  <si>
    <t>Основное мероприятие «Региональный проект «Комфортный край»</t>
  </si>
  <si>
    <t>06 1 КК SК310</t>
  </si>
  <si>
    <t>Муниципальная программа "Муниципальное управления в Юсьвинском муниципальном округе Пермского края"</t>
  </si>
  <si>
    <t>02  6 КК 00000</t>
  </si>
  <si>
    <t>02 6 КК SP350</t>
  </si>
  <si>
    <t>02  6 Ю4 00000</t>
  </si>
  <si>
    <t>Основное мероприятие "Региональный проект "Все лучшее детям" (Пермский край)"</t>
  </si>
  <si>
    <t>02 6 Ю4 57500</t>
  </si>
  <si>
    <t>Участие в реализации мероприятий по модернизации школьных систем образования</t>
  </si>
  <si>
    <t>02 2 Ю6 00000</t>
  </si>
  <si>
    <t>Основное мероприятие "Региональный проект "Педагоги и наставники (Пермский край)""</t>
  </si>
  <si>
    <t>02 2 Ю6 51790</t>
  </si>
  <si>
    <t>10 3 КК 00000</t>
  </si>
  <si>
    <t>10 3 КК SP410</t>
  </si>
  <si>
    <t>Восстановление покрытия проезжей части участков автомобильных дорог по ул.Центральная с.Тимино, ул.Пушкина с.Юсьва, ул.Центральная д.Швычи</t>
  </si>
  <si>
    <t>1.2.2.</t>
  </si>
  <si>
    <t>Мероприятие "Разработка плана, паспорта обеспечения транспортной безопасности и подготовка сил обеспечения транспортной безопасности"</t>
  </si>
  <si>
    <t xml:space="preserve">Восстановление покрытия проезжей части автомобильной дороги по переулку от ул.Комсомольской до ул.Лесная п.Кама </t>
  </si>
  <si>
    <t>Восстановление покрытия проезжей части автомобильной дороги по ул.Березовая с.Юсьва</t>
  </si>
  <si>
    <t>06 1 50 SK320</t>
  </si>
  <si>
    <t>Проведение мероприятий, приуроченных к 100-летию  Коми-Пермяцкого округа</t>
  </si>
  <si>
    <t>Осуществление первичного воинского учета органами местного самоуправления муниципальных и городских округов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</si>
  <si>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</si>
  <si>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</si>
  <si>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</si>
  <si>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</si>
  <si>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Оценка технического состояния искусственных дорожных сооружений</t>
  </si>
  <si>
    <t>11 1 10 9Д011</t>
  </si>
  <si>
    <t xml:space="preserve"> Основное мероприятие "Разработка технической документации на автомобильные дороги и (или) искусственные дорожные сооружения"</t>
  </si>
  <si>
    <t>Основное мероприятие "Разработка технической документации на автомобильные дороги и (или) искусственные дорожные сооружения"</t>
  </si>
  <si>
    <t>Ремонт моста на автомобильной дороге "Бажино-Шедово"</t>
  </si>
  <si>
    <t>11 1 20 9Д024</t>
  </si>
  <si>
    <t>Проектно-изыскательские работы по капитальному ремонту моста через р. Лысковка на км 0+677 автомобильной дороги "Подъезд к пристани Пожва"</t>
  </si>
  <si>
    <t>10 2 20 4М099</t>
  </si>
  <si>
    <t>Оборудование организованных мест отдыха людей у воды (несофинансируемые)</t>
  </si>
  <si>
    <t>Ремонт моста в п. Тукачево</t>
  </si>
  <si>
    <t>Ремонт моста на ул. Лесная с. Антипино</t>
  </si>
  <si>
    <t>Восстановление дорожного полотна автомобильной дороги по ул.Прудовая д. Мокрушино</t>
  </si>
  <si>
    <t>Разработка ПСД на капитальный ремонт объектов общеобразовательных организаций</t>
  </si>
  <si>
    <t>02 6 10 4Н152</t>
  </si>
  <si>
    <t>02 6 10 4Н150</t>
  </si>
  <si>
    <t>Строительство, реконструкция, капитальный ремонт, ремонт объектов общественной инфраструктуры муниципального значения: инженерной, коммунальной, социальной инфраструктуры</t>
  </si>
  <si>
    <t>МП</t>
  </si>
  <si>
    <t>Организация досуга, занятости и отдыха детей приоритетных категорий в каникулярное время</t>
  </si>
  <si>
    <r>
      <t xml:space="preserve">Приобретение и приведение в нормативное состояние автотранспорта для обеспечения бесплатного проезда обучающихся до места обучения и обратно </t>
    </r>
    <r>
      <rPr>
        <b/>
        <sz val="11"/>
        <color theme="1"/>
        <rFont val="Calibri"/>
        <family val="2"/>
        <charset val="204"/>
        <scheme val="minor"/>
      </rPr>
      <t>(Юсьвинская СОШ 257,6, Пожвинская СОШ 247)</t>
    </r>
  </si>
  <si>
    <r>
      <t>Разработка ПСД на капитальный ремонт объектов общеобразовательных организаций (</t>
    </r>
    <r>
      <rPr>
        <b/>
        <sz val="11"/>
        <color theme="1"/>
        <rFont val="Calibri"/>
        <family val="2"/>
        <charset val="204"/>
        <scheme val="minor"/>
      </rPr>
      <t>разработка ПСД по капремонту Доеговской ООШ 599,9 с 2026 года)</t>
    </r>
  </si>
  <si>
    <r>
  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  </r>
    <r>
      <rPr>
        <b/>
        <sz val="11"/>
        <color theme="1"/>
        <rFont val="Calibri"/>
        <family val="2"/>
        <charset val="204"/>
        <scheme val="minor"/>
      </rPr>
      <t xml:space="preserve"> (возмещение ремонта по Советской, 3 Меметову Р.С.)</t>
    </r>
  </si>
  <si>
    <r>
      <t xml:space="preserve"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 объекта культурного наследия </t>
    </r>
    <r>
      <rPr>
        <b/>
        <sz val="11"/>
        <color theme="1"/>
        <rFont val="Calibri"/>
        <family val="2"/>
        <charset val="204"/>
        <scheme val="minor"/>
      </rPr>
      <t>(экономия при проведении аукциона)</t>
    </r>
  </si>
  <si>
    <r>
      <t>Приведение в нормативное состояние учреждений культуры и образовательных учреждений в сфере культуры (</t>
    </r>
    <r>
      <rPr>
        <b/>
        <sz val="11"/>
        <color theme="1"/>
        <rFont val="Calibri"/>
        <family val="2"/>
        <charset val="204"/>
        <scheme val="minor"/>
      </rPr>
      <t>электроотопление в д. Бажино)</t>
    </r>
  </si>
  <si>
    <r>
      <t>Укрепление материально-технической базы учреждений культуры (</t>
    </r>
    <r>
      <rPr>
        <b/>
        <sz val="11"/>
        <color theme="1"/>
        <rFont val="Calibri"/>
        <family val="2"/>
        <charset val="204"/>
        <scheme val="minor"/>
      </rPr>
      <t>приобретение звукового оборудования для МБУК Пожвинский КДПЦ, всего на 599,0, средства учреждения 167,0)</t>
    </r>
  </si>
  <si>
    <r>
      <t xml:space="preserve"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 </t>
    </r>
    <r>
      <rPr>
        <b/>
        <sz val="11"/>
        <color theme="1"/>
        <rFont val="Calibri"/>
        <family val="2"/>
        <charset val="204"/>
        <scheme val="minor"/>
      </rPr>
      <t>(разработка дизайн-проекта площадь Славы с. Юсьва)</t>
    </r>
  </si>
  <si>
    <t>Разработка технических паспортов на автомобильные дороги Юсьвинского муниципального округа Пермского края (-3,3 на лестницу)</t>
  </si>
  <si>
    <r>
      <t>Предпроектное обследование моста через р. Лысковка автомобильной дороги "Подъезд к пристани Пожва" км 0+677 (</t>
    </r>
    <r>
      <rPr>
        <b/>
        <sz val="11"/>
        <color theme="1"/>
        <rFont val="Calibri"/>
        <family val="2"/>
        <charset val="204"/>
        <scheme val="minor"/>
      </rPr>
      <t>экономия на ремонт моста на дороге Габово-Купрос)</t>
    </r>
  </si>
  <si>
    <r>
      <t xml:space="preserve">Восстановление мостов и труб (несофинансируемые) </t>
    </r>
    <r>
      <rPr>
        <b/>
        <sz val="11"/>
        <color theme="1"/>
        <rFont val="Calibri"/>
        <family val="2"/>
        <charset val="204"/>
        <scheme val="minor"/>
      </rPr>
      <t>(восстановление водопропускной трубы на дороге Бажино-Шедово 102,037, ремонт моста на дороге Бажино-Шедово экономия 58,20507, ремонт момта на дороге Габово-Купрос 85,0)</t>
    </r>
  </si>
  <si>
    <r>
      <t xml:space="preserve">Приведение в нормативное состояние искусственных дорожных сооружений </t>
    </r>
    <r>
      <rPr>
        <b/>
        <sz val="11"/>
        <color theme="1"/>
        <rFont val="Calibri"/>
        <family val="2"/>
        <charset val="204"/>
        <scheme val="minor"/>
      </rPr>
      <t>(перенос на 2025 год части финансирования ремонта архангельского моста с 2026 года)</t>
    </r>
  </si>
  <si>
    <r>
  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 (</t>
    </r>
    <r>
      <rPr>
        <b/>
        <sz val="11"/>
        <color theme="1"/>
        <rFont val="Calibri"/>
        <family val="2"/>
        <charset val="204"/>
        <scheme val="minor"/>
      </rPr>
      <t>экономия)</t>
    </r>
  </si>
  <si>
    <r>
      <t xml:space="preserve">Замена  и (или) установка  барьерных ограждений, автобусных остановок, недостающих дорожных знаков, информационных щитов, светофоров </t>
    </r>
    <r>
      <rPr>
        <b/>
        <sz val="11"/>
        <color theme="1"/>
        <rFont val="Calibri"/>
        <family val="2"/>
        <charset val="204"/>
        <scheme val="minor"/>
      </rPr>
      <t>(лестница)</t>
    </r>
  </si>
  <si>
    <r>
      <t xml:space="preserve">Обеспечение содержания  муниципального казенного учреждения «ЕДДС» </t>
    </r>
    <r>
      <rPr>
        <b/>
        <sz val="11"/>
        <color theme="1"/>
        <rFont val="Calibri"/>
        <family val="2"/>
        <charset val="204"/>
        <scheme val="minor"/>
      </rPr>
      <t>(сверхурочные водителям 891,3 (с кварт премией 1285,2), на оснащение АСФ 588,0)</t>
    </r>
  </si>
  <si>
    <r>
      <t xml:space="preserve">Подготовка котельных к отопительному сезону </t>
    </r>
    <r>
      <rPr>
        <b/>
        <sz val="11"/>
        <color theme="1"/>
        <rFont val="Calibri"/>
        <family val="2"/>
        <charset val="204"/>
        <scheme val="minor"/>
      </rPr>
      <t>(субсидия Универсал)</t>
    </r>
  </si>
  <si>
    <t>Итого</t>
  </si>
  <si>
    <t>Приведение в нормативное состояние учреждений культуры и образовательных учреждений в сфере культуры</t>
  </si>
  <si>
    <t>06 1 70 4К090</t>
  </si>
  <si>
    <t xml:space="preserve">06 1 70 4К093 </t>
  </si>
  <si>
    <t>Укрепление материально-технической базы учреждений культуры</t>
  </si>
  <si>
    <t>Ремонт водопропускной трубы на автомобильной дороге "Бажино-Шедово"</t>
  </si>
  <si>
    <t>Восстановительные работы по мосту на автомобильной дороге "Габово-Купрос"</t>
  </si>
  <si>
    <t xml:space="preserve">06 1 70 4К090 </t>
  </si>
  <si>
    <t>Ремонт моста через ручей на автомобильной дороге "Крохалево-Урманово-Подволошино" км 2+900</t>
  </si>
  <si>
    <t>Восстановление водопропускных труб на ул.Центральная д.Подволошино, ул.Заречная д.Усть-Пожва, ул.Березовая с.Юсьва</t>
  </si>
  <si>
    <t>Восстановление моста № 1 (возле дома № 8), № 2 (возле дома № 63) по улице Первомайская п.Майкор</t>
  </si>
  <si>
    <t>из них 588 перераспределение</t>
  </si>
  <si>
    <r>
      <t xml:space="preserve">Обеспечение функционирования очистных сооружений в с. Юсьва </t>
    </r>
    <r>
      <rPr>
        <b/>
        <sz val="11"/>
        <color theme="1"/>
        <rFont val="Calibri"/>
        <family val="2"/>
        <charset val="204"/>
        <scheme val="minor"/>
      </rPr>
      <t>(1147,4 на зарплату и электроэнергию, разработка проекта НДС 305,2, на сумму аванса 179,8)</t>
    </r>
  </si>
  <si>
    <r>
      <t>Обеспечение выполнения функций администрации Юсьвинского муниципального округа и её структурных подразделений (</t>
    </r>
    <r>
      <rPr>
        <b/>
        <sz val="11"/>
        <color theme="1"/>
        <rFont val="Calibri"/>
        <family val="2"/>
        <charset val="204"/>
        <scheme val="minor"/>
      </rPr>
      <t>штраф)</t>
    </r>
  </si>
  <si>
    <r>
      <t xml:space="preserve"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 </t>
    </r>
    <r>
      <rPr>
        <b/>
        <sz val="11"/>
        <color theme="1"/>
        <rFont val="Calibri"/>
        <family val="2"/>
        <charset val="204"/>
        <scheme val="minor"/>
      </rPr>
      <t>(</t>
    </r>
    <r>
      <rPr>
        <b/>
        <sz val="11"/>
        <color rgb="FFFF0000"/>
        <rFont val="Calibri"/>
        <family val="2"/>
        <charset val="204"/>
        <scheme val="minor"/>
      </rPr>
      <t>Юсьвинская СОШ подоконники 96,4 т.р., ПСД на АПС 220,0</t>
    </r>
    <r>
      <rPr>
        <b/>
        <sz val="11"/>
        <color theme="1"/>
        <rFont val="Calibri"/>
        <family val="2"/>
        <charset val="204"/>
        <scheme val="minor"/>
      </rPr>
      <t>, монтаж АПС с 2026 года 4000,0 , ремонт Крохалевской школы 578,1)</t>
    </r>
  </si>
  <si>
    <t>11 3 20 9Д071</t>
  </si>
  <si>
    <t>Поощрение муниципальных управленческих команд</t>
  </si>
  <si>
    <t>92 0 00 5549F</t>
  </si>
  <si>
    <t>05 0 10 4И080</t>
  </si>
  <si>
    <t>Ремонт имущества муниципальной казны</t>
  </si>
  <si>
    <t>от 12.12.2025 № 140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</si>
</sst>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"/>
    <numFmt numFmtId="169" formatCode="0.00000"/>
    <numFmt numFmtId="170" formatCode="#,##0.000"/>
  </numFmts>
  <fonts count="8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</fonts>
  <fills count="7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0FCB4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64">
    <xf numFmtId="0" fontId="0" fillId="0" borderId="0"/>
    <xf numFmtId="0" fontId="4" fillId="0" borderId="0"/>
    <xf numFmtId="0" fontId="12" fillId="0" borderId="0"/>
    <xf numFmtId="0" fontId="1" fillId="0" borderId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1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4" borderId="0" applyNumberFormat="0" applyBorder="0" applyAlignment="0" applyProtection="0"/>
    <xf numFmtId="0" fontId="17" fillId="2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7" borderId="0" applyNumberFormat="0" applyBorder="0" applyAlignment="0" applyProtection="0"/>
    <xf numFmtId="0" fontId="18" fillId="2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4" borderId="0" applyNumberFormat="0" applyBorder="0" applyAlignment="0" applyProtection="0"/>
    <xf numFmtId="0" fontId="19" fillId="1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4" borderId="0" applyNumberFormat="0" applyBorder="0" applyAlignment="0" applyProtection="0"/>
    <xf numFmtId="0" fontId="19" fillId="23" borderId="0" applyNumberFormat="0" applyBorder="0" applyAlignment="0" applyProtection="0"/>
    <xf numFmtId="0" fontId="20" fillId="29" borderId="0" applyNumberFormat="0" applyBorder="0" applyAlignment="0" applyProtection="0"/>
    <xf numFmtId="0" fontId="20" fillId="14" borderId="0" applyNumberFormat="0" applyBorder="0" applyAlignment="0" applyProtection="0"/>
    <xf numFmtId="0" fontId="20" fillId="27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5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39" borderId="0" applyNumberFormat="0" applyBorder="0" applyAlignment="0" applyProtection="0"/>
    <xf numFmtId="0" fontId="21" fillId="51" borderId="0" applyNumberFormat="0" applyBorder="0" applyAlignment="0" applyProtection="0"/>
    <xf numFmtId="0" fontId="21" fillId="52" borderId="0" applyNumberFormat="0" applyBorder="0" applyAlignment="0" applyProtection="0"/>
    <xf numFmtId="0" fontId="23" fillId="39" borderId="0" applyNumberFormat="0" applyBorder="0" applyAlignment="0" applyProtection="0"/>
    <xf numFmtId="0" fontId="24" fillId="53" borderId="4" applyNumberFormat="0" applyAlignment="0" applyProtection="0"/>
    <xf numFmtId="0" fontId="25" fillId="40" borderId="5" applyNumberFormat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7" fillId="0" borderId="0" applyNumberFormat="0" applyFill="0" applyBorder="0" applyAlignment="0" applyProtection="0"/>
    <xf numFmtId="0" fontId="28" fillId="57" borderId="0" applyNumberFormat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0" applyNumberFormat="0" applyFill="0" applyBorder="0" applyAlignment="0" applyProtection="0"/>
    <xf numFmtId="0" fontId="32" fillId="51" borderId="4" applyNumberFormat="0" applyAlignment="0" applyProtection="0"/>
    <xf numFmtId="0" fontId="33" fillId="0" borderId="9" applyNumberFormat="0" applyFill="0" applyAlignment="0" applyProtection="0"/>
    <xf numFmtId="0" fontId="34" fillId="51" borderId="0" applyNumberFormat="0" applyBorder="0" applyAlignment="0" applyProtection="0"/>
    <xf numFmtId="0" fontId="35" fillId="0" borderId="0"/>
    <xf numFmtId="0" fontId="12" fillId="50" borderId="10" applyNumberFormat="0" applyFont="0" applyAlignment="0" applyProtection="0"/>
    <xf numFmtId="0" fontId="36" fillId="53" borderId="11" applyNumberFormat="0" applyAlignment="0" applyProtection="0"/>
    <xf numFmtId="0" fontId="12" fillId="0" borderId="0"/>
    <xf numFmtId="4" fontId="37" fillId="58" borderId="12" applyNumberFormat="0" applyProtection="0">
      <alignment vertical="center"/>
    </xf>
    <xf numFmtId="0" fontId="12" fillId="0" borderId="0"/>
    <xf numFmtId="0" fontId="12" fillId="0" borderId="0"/>
    <xf numFmtId="0" fontId="12" fillId="0" borderId="0"/>
    <xf numFmtId="4" fontId="38" fillId="58" borderId="12" applyNumberFormat="0" applyProtection="0">
      <alignment vertical="center"/>
    </xf>
    <xf numFmtId="0" fontId="12" fillId="0" borderId="0"/>
    <xf numFmtId="0" fontId="12" fillId="0" borderId="0"/>
    <xf numFmtId="4" fontId="37" fillId="58" borderId="12" applyNumberFormat="0" applyProtection="0">
      <alignment horizontal="left" vertical="center" indent="1"/>
    </xf>
    <xf numFmtId="0" fontId="12" fillId="0" borderId="0"/>
    <xf numFmtId="4" fontId="39" fillId="59" borderId="13" applyNumberFormat="0" applyProtection="0">
      <alignment horizontal="left" vertical="center" indent="1"/>
    </xf>
    <xf numFmtId="0" fontId="12" fillId="0" borderId="0"/>
    <xf numFmtId="0" fontId="37" fillId="58" borderId="12" applyNumberFormat="0" applyProtection="0">
      <alignment horizontal="left" vertical="top" indent="1"/>
    </xf>
    <xf numFmtId="0" fontId="12" fillId="0" borderId="0"/>
    <xf numFmtId="0" fontId="12" fillId="0" borderId="0"/>
    <xf numFmtId="4" fontId="37" fillId="13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0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8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3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1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5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62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27" borderId="12" applyNumberFormat="0" applyProtection="0">
      <alignment horizontal="right" vertical="center"/>
    </xf>
    <xf numFmtId="0" fontId="12" fillId="0" borderId="0"/>
    <xf numFmtId="0" fontId="12" fillId="0" borderId="0"/>
    <xf numFmtId="4" fontId="37" fillId="63" borderId="14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0" fillId="2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17" fillId="13" borderId="12" applyNumberFormat="0" applyProtection="0">
      <alignment horizontal="right" vertical="center"/>
    </xf>
    <xf numFmtId="0" fontId="12" fillId="0" borderId="0"/>
    <xf numFmtId="0" fontId="12" fillId="0" borderId="0"/>
    <xf numFmtId="4" fontId="41" fillId="64" borderId="0" applyNumberFormat="0" applyProtection="0">
      <alignment horizontal="left" vertical="center" indent="1"/>
    </xf>
    <xf numFmtId="0" fontId="12" fillId="0" borderId="0"/>
    <xf numFmtId="0" fontId="12" fillId="0" borderId="0"/>
    <xf numFmtId="4" fontId="41" fillId="13" borderId="0" applyNumberFormat="0" applyProtection="0">
      <alignment horizontal="left" vertical="center" indent="1"/>
    </xf>
    <xf numFmtId="0" fontId="12" fillId="0" borderId="0"/>
    <xf numFmtId="0" fontId="39" fillId="26" borderId="13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24" borderId="12" applyNumberFormat="0" applyProtection="0">
      <alignment horizontal="left" vertical="center" indent="1"/>
    </xf>
    <xf numFmtId="0" fontId="12" fillId="0" borderId="0"/>
    <xf numFmtId="0" fontId="12" fillId="24" borderId="12" applyNumberFormat="0" applyProtection="0">
      <alignment horizontal="left" vertical="top" indent="1"/>
    </xf>
    <xf numFmtId="0" fontId="12" fillId="0" borderId="0"/>
    <xf numFmtId="0" fontId="39" fillId="65" borderId="13" applyNumberFormat="0" applyProtection="0">
      <alignment horizontal="left" vertical="center" indent="1"/>
    </xf>
    <xf numFmtId="0" fontId="12" fillId="13" borderId="12" applyNumberFormat="0" applyProtection="0">
      <alignment horizontal="left" vertical="center" indent="1"/>
    </xf>
    <xf numFmtId="0" fontId="12" fillId="0" borderId="0"/>
    <xf numFmtId="0" fontId="12" fillId="13" borderId="12" applyNumberFormat="0" applyProtection="0">
      <alignment horizontal="left" vertical="top" indent="1"/>
    </xf>
    <xf numFmtId="0" fontId="12" fillId="0" borderId="0"/>
    <xf numFmtId="0" fontId="39" fillId="17" borderId="13" applyNumberFormat="0" applyProtection="0">
      <alignment horizontal="left" vertical="center" indent="1"/>
    </xf>
    <xf numFmtId="0" fontId="39" fillId="17" borderId="13" applyNumberFormat="0" applyProtection="0">
      <alignment horizontal="left" vertical="center" indent="1"/>
    </xf>
    <xf numFmtId="0" fontId="12" fillId="0" borderId="0"/>
    <xf numFmtId="0" fontId="12" fillId="17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64" borderId="12" applyNumberFormat="0" applyProtection="0">
      <alignment horizontal="left" vertical="top" indent="1"/>
    </xf>
    <xf numFmtId="0" fontId="12" fillId="0" borderId="0"/>
    <xf numFmtId="0" fontId="12" fillId="0" borderId="0"/>
    <xf numFmtId="0" fontId="12" fillId="16" borderId="1" applyNumberFormat="0">
      <protection locked="0"/>
    </xf>
    <xf numFmtId="0" fontId="12" fillId="0" borderId="0"/>
    <xf numFmtId="0" fontId="42" fillId="24" borderId="15" applyBorder="0"/>
    <xf numFmtId="0" fontId="12" fillId="0" borderId="0"/>
    <xf numFmtId="4" fontId="17" fillId="15" borderId="12" applyNumberFormat="0" applyProtection="0">
      <alignment vertical="center"/>
    </xf>
    <xf numFmtId="0" fontId="12" fillId="0" borderId="0"/>
    <xf numFmtId="0" fontId="12" fillId="0" borderId="0"/>
    <xf numFmtId="4" fontId="43" fillId="15" borderId="12" applyNumberFormat="0" applyProtection="0">
      <alignment vertical="center"/>
    </xf>
    <xf numFmtId="0" fontId="12" fillId="0" borderId="0"/>
    <xf numFmtId="0" fontId="12" fillId="0" borderId="0"/>
    <xf numFmtId="4" fontId="17" fillId="15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7" fillId="15" borderId="12" applyNumberFormat="0" applyProtection="0">
      <alignment horizontal="left" vertical="top" indent="1"/>
    </xf>
    <xf numFmtId="0" fontId="12" fillId="0" borderId="0"/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4" fontId="39" fillId="0" borderId="13" applyNumberFormat="0" applyProtection="0">
      <alignment horizontal="right" vertical="center"/>
    </xf>
    <xf numFmtId="0" fontId="12" fillId="0" borderId="0"/>
    <xf numFmtId="4" fontId="43" fillId="64" borderId="12" applyNumberFormat="0" applyProtection="0">
      <alignment horizontal="right" vertical="center"/>
    </xf>
    <xf numFmtId="0" fontId="12" fillId="0" borderId="0"/>
    <xf numFmtId="0" fontId="12" fillId="0" borderId="0"/>
    <xf numFmtId="4" fontId="17" fillId="13" borderId="12" applyNumberFormat="0" applyProtection="0">
      <alignment horizontal="left" vertical="center" indent="1"/>
    </xf>
    <xf numFmtId="0" fontId="12" fillId="0" borderId="0"/>
    <xf numFmtId="0" fontId="12" fillId="0" borderId="0"/>
    <xf numFmtId="0" fontId="12" fillId="0" borderId="0"/>
    <xf numFmtId="0" fontId="17" fillId="13" borderId="12" applyNumberFormat="0" applyProtection="0">
      <alignment horizontal="left" vertical="top" indent="1"/>
    </xf>
    <xf numFmtId="0" fontId="12" fillId="0" borderId="0"/>
    <xf numFmtId="0" fontId="12" fillId="0" borderId="0"/>
    <xf numFmtId="4" fontId="44" fillId="66" borderId="0" applyNumberFormat="0" applyProtection="0">
      <alignment horizontal="left" vertical="center" indent="1"/>
    </xf>
    <xf numFmtId="0" fontId="12" fillId="0" borderId="0"/>
    <xf numFmtId="0" fontId="39" fillId="67" borderId="1"/>
    <xf numFmtId="0" fontId="12" fillId="0" borderId="0"/>
    <xf numFmtId="4" fontId="45" fillId="64" borderId="12" applyNumberFormat="0" applyProtection="0">
      <alignment horizontal="right" vertical="center"/>
    </xf>
    <xf numFmtId="0" fontId="1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47" fillId="0" borderId="0" applyNumberFormat="0" applyFill="0" applyBorder="0" applyAlignment="0" applyProtection="0"/>
    <xf numFmtId="0" fontId="20" fillId="68" borderId="0" applyNumberFormat="0" applyBorder="0" applyAlignment="0" applyProtection="0"/>
    <xf numFmtId="0" fontId="20" fillId="60" borderId="0" applyNumberFormat="0" applyBorder="0" applyAlignment="0" applyProtection="0"/>
    <xf numFmtId="0" fontId="20" fillId="25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61" borderId="0" applyNumberFormat="0" applyBorder="0" applyAlignment="0" applyProtection="0"/>
    <xf numFmtId="0" fontId="48" fillId="23" borderId="4" applyNumberFormat="0" applyAlignment="0" applyProtection="0"/>
    <xf numFmtId="0" fontId="49" fillId="26" borderId="11" applyNumberFormat="0" applyAlignment="0" applyProtection="0"/>
    <xf numFmtId="0" fontId="50" fillId="26" borderId="4" applyNumberFormat="0" applyAlignment="0" applyProtection="0"/>
    <xf numFmtId="0" fontId="51" fillId="0" borderId="17" applyNumberFormat="0" applyFill="0" applyAlignment="0" applyProtection="0"/>
    <xf numFmtId="0" fontId="52" fillId="0" borderId="7" applyNumberFormat="0" applyFill="0" applyAlignment="0" applyProtection="0"/>
    <xf numFmtId="0" fontId="53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19" applyNumberFormat="0" applyFill="0" applyAlignment="0" applyProtection="0"/>
    <xf numFmtId="0" fontId="55" fillId="69" borderId="5" applyNumberFormat="0" applyAlignment="0" applyProtection="0"/>
    <xf numFmtId="0" fontId="56" fillId="0" borderId="0" applyNumberFormat="0" applyFill="0" applyBorder="0" applyAlignment="0" applyProtection="0"/>
    <xf numFmtId="0" fontId="57" fillId="5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8" fillId="0" borderId="0"/>
    <xf numFmtId="0" fontId="5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2" fillId="0" borderId="0"/>
    <xf numFmtId="0" fontId="6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61" fillId="70" borderId="0"/>
    <xf numFmtId="0" fontId="4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2" fillId="0" borderId="0"/>
    <xf numFmtId="0" fontId="6" fillId="0" borderId="0"/>
    <xf numFmtId="0" fontId="61" fillId="70" borderId="0"/>
    <xf numFmtId="0" fontId="58" fillId="0" borderId="0"/>
    <xf numFmtId="0" fontId="62" fillId="18" borderId="0" applyNumberFormat="0" applyBorder="0" applyAlignment="0" applyProtection="0"/>
    <xf numFmtId="0" fontId="63" fillId="0" borderId="0" applyNumberFormat="0" applyFill="0" applyBorder="0" applyAlignment="0" applyProtection="0"/>
    <xf numFmtId="0" fontId="12" fillId="15" borderId="10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4" fillId="0" borderId="20" applyNumberFormat="0" applyFill="0" applyAlignment="0" applyProtection="0"/>
    <xf numFmtId="0" fontId="65" fillId="0" borderId="0"/>
    <xf numFmtId="0" fontId="66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7" fillId="20" borderId="0" applyNumberFormat="0" applyBorder="0" applyAlignment="0" applyProtection="0"/>
  </cellStyleXfs>
  <cellXfs count="494">
    <xf numFmtId="0" fontId="0" fillId="0" borderId="0" xfId="0"/>
    <xf numFmtId="0" fontId="3" fillId="0" borderId="0" xfId="0" applyFont="1"/>
    <xf numFmtId="164" fontId="5" fillId="2" borderId="1" xfId="1" applyNumberFormat="1" applyFont="1" applyFill="1" applyBorder="1" applyAlignment="1">
      <alignment horizontal="center"/>
    </xf>
    <xf numFmtId="0" fontId="5" fillId="2" borderId="1" xfId="1" applyFont="1" applyFill="1" applyBorder="1" applyAlignment="1">
      <alignment wrapText="1"/>
    </xf>
    <xf numFmtId="0" fontId="6" fillId="2" borderId="1" xfId="1" applyFont="1" applyFill="1" applyBorder="1" applyAlignment="1">
      <alignment horizontal="center" wrapText="1"/>
    </xf>
    <xf numFmtId="164" fontId="6" fillId="0" borderId="1" xfId="1" applyNumberFormat="1" applyFont="1" applyBorder="1" applyAlignment="1">
      <alignment horizontal="center" wrapText="1"/>
    </xf>
    <xf numFmtId="0" fontId="6" fillId="3" borderId="1" xfId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0" fontId="3" fillId="0" borderId="1" xfId="0" applyFont="1" applyBorder="1"/>
    <xf numFmtId="164" fontId="6" fillId="3" borderId="1" xfId="1" applyNumberFormat="1" applyFont="1" applyFill="1" applyBorder="1" applyAlignment="1">
      <alignment horizontal="center" wrapText="1"/>
    </xf>
    <xf numFmtId="0" fontId="6" fillId="3" borderId="1" xfId="1" applyFont="1" applyFill="1" applyBorder="1" applyAlignment="1">
      <alignment vertical="top" wrapText="1"/>
    </xf>
    <xf numFmtId="164" fontId="6" fillId="3" borderId="1" xfId="1" applyNumberFormat="1" applyFont="1" applyFill="1" applyBorder="1" applyAlignment="1">
      <alignment horizontal="center" vertical="top" wrapText="1"/>
    </xf>
    <xf numFmtId="0" fontId="6" fillId="0" borderId="1" xfId="1" applyFont="1" applyBorder="1" applyAlignment="1">
      <alignment wrapText="1"/>
    </xf>
    <xf numFmtId="164" fontId="5" fillId="4" borderId="1" xfId="1" applyNumberFormat="1" applyFont="1" applyFill="1" applyBorder="1" applyAlignment="1">
      <alignment horizontal="center" wrapText="1"/>
    </xf>
    <xf numFmtId="0" fontId="5" fillId="4" borderId="1" xfId="1" applyFont="1" applyFill="1" applyBorder="1" applyAlignment="1">
      <alignment wrapText="1"/>
    </xf>
    <xf numFmtId="49" fontId="5" fillId="4" borderId="1" xfId="1" applyNumberFormat="1" applyFont="1" applyFill="1" applyBorder="1" applyAlignment="1">
      <alignment horizontal="center" wrapText="1"/>
    </xf>
    <xf numFmtId="164" fontId="5" fillId="5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wrapText="1"/>
    </xf>
    <xf numFmtId="49" fontId="5" fillId="5" borderId="1" xfId="1" applyNumberFormat="1" applyFont="1" applyFill="1" applyBorder="1" applyAlignment="1">
      <alignment horizontal="center" wrapText="1"/>
    </xf>
    <xf numFmtId="164" fontId="5" fillId="3" borderId="1" xfId="1" applyNumberFormat="1" applyFont="1" applyFill="1" applyBorder="1" applyAlignment="1">
      <alignment horizontal="center"/>
    </xf>
    <xf numFmtId="0" fontId="5" fillId="3" borderId="1" xfId="1" applyFont="1" applyFill="1" applyBorder="1" applyAlignment="1">
      <alignment vertical="top" wrapText="1"/>
    </xf>
    <xf numFmtId="0" fontId="5" fillId="3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3" fillId="3" borderId="0" xfId="0" applyFont="1" applyFill="1"/>
    <xf numFmtId="0" fontId="3" fillId="4" borderId="1" xfId="0" applyFont="1" applyFill="1" applyBorder="1"/>
    <xf numFmtId="0" fontId="3" fillId="5" borderId="1" xfId="0" applyFont="1" applyFill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horizontal="left" vertical="top" wrapText="1"/>
    </xf>
    <xf numFmtId="164" fontId="5" fillId="7" borderId="1" xfId="1" applyNumberFormat="1" applyFont="1" applyFill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49" fontId="5" fillId="7" borderId="1" xfId="1" applyNumberFormat="1" applyFont="1" applyFill="1" applyBorder="1" applyAlignment="1">
      <alignment horizontal="center" wrapText="1"/>
    </xf>
    <xf numFmtId="164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vertical="top" wrapText="1"/>
    </xf>
    <xf numFmtId="49" fontId="5" fillId="8" borderId="1" xfId="1" applyNumberFormat="1" applyFont="1" applyFill="1" applyBorder="1" applyAlignment="1">
      <alignment horizontal="center" vertical="top" wrapText="1"/>
    </xf>
    <xf numFmtId="0" fontId="5" fillId="8" borderId="1" xfId="1" applyFont="1" applyFill="1" applyBorder="1" applyAlignment="1">
      <alignment horizontal="center" vertical="top" wrapText="1"/>
    </xf>
    <xf numFmtId="0" fontId="6" fillId="8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 vertical="top" wrapText="1"/>
    </xf>
    <xf numFmtId="164" fontId="5" fillId="2" borderId="1" xfId="1" applyNumberFormat="1" applyFont="1" applyFill="1" applyBorder="1" applyAlignment="1">
      <alignment horizontal="center" wrapText="1"/>
    </xf>
    <xf numFmtId="0" fontId="5" fillId="2" borderId="1" xfId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center" vertical="top" wrapText="1"/>
    </xf>
    <xf numFmtId="49" fontId="5" fillId="2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left" vertical="top" wrapText="1"/>
    </xf>
    <xf numFmtId="49" fontId="5" fillId="4" borderId="1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49" fontId="6" fillId="4" borderId="1" xfId="1" applyNumberFormat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left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49" fontId="6" fillId="5" borderId="1" xfId="1" applyNumberFormat="1" applyFont="1" applyFill="1" applyBorder="1" applyAlignment="1">
      <alignment horizontal="center" vertical="top" wrapText="1"/>
    </xf>
    <xf numFmtId="0" fontId="6" fillId="5" borderId="1" xfId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wrapText="1"/>
    </xf>
    <xf numFmtId="0" fontId="5" fillId="0" borderId="1" xfId="1" applyFont="1" applyBorder="1" applyAlignment="1">
      <alignment horizontal="center" vertical="top" wrapText="1"/>
    </xf>
    <xf numFmtId="49" fontId="6" fillId="3" borderId="1" xfId="1" applyNumberFormat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left" vertical="top" wrapText="1"/>
    </xf>
    <xf numFmtId="0" fontId="7" fillId="0" borderId="0" xfId="0" applyFont="1"/>
    <xf numFmtId="164" fontId="6" fillId="0" borderId="1" xfId="1" applyNumberFormat="1" applyFont="1" applyBorder="1" applyAlignment="1">
      <alignment horizontal="center" vertical="top" wrapText="1"/>
    </xf>
    <xf numFmtId="164" fontId="5" fillId="0" borderId="1" xfId="1" applyNumberFormat="1" applyFont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wrapText="1"/>
    </xf>
    <xf numFmtId="49" fontId="8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center" vertical="top" wrapText="1"/>
    </xf>
    <xf numFmtId="164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vertical="top" wrapText="1"/>
    </xf>
    <xf numFmtId="49" fontId="5" fillId="9" borderId="1" xfId="1" applyNumberFormat="1" applyFont="1" applyFill="1" applyBorder="1" applyAlignment="1">
      <alignment horizontal="center" vertical="top" wrapText="1"/>
    </xf>
    <xf numFmtId="0" fontId="5" fillId="9" borderId="1" xfId="1" applyFont="1" applyFill="1" applyBorder="1" applyAlignment="1">
      <alignment horizontal="center" vertical="top" wrapText="1"/>
    </xf>
    <xf numFmtId="0" fontId="6" fillId="3" borderId="1" xfId="1" applyFont="1" applyFill="1" applyBorder="1" applyAlignment="1">
      <alignment horizontal="center"/>
    </xf>
    <xf numFmtId="0" fontId="6" fillId="3" borderId="2" xfId="0" applyFont="1" applyFill="1" applyBorder="1" applyAlignment="1">
      <alignment wrapText="1"/>
    </xf>
    <xf numFmtId="49" fontId="6" fillId="3" borderId="2" xfId="0" applyNumberFormat="1" applyFont="1" applyFill="1" applyBorder="1" applyAlignment="1">
      <alignment horizontal="center" wrapText="1"/>
    </xf>
    <xf numFmtId="49" fontId="9" fillId="3" borderId="1" xfId="1" applyNumberFormat="1" applyFont="1" applyFill="1" applyBorder="1" applyAlignment="1">
      <alignment horizontal="center" wrapText="1"/>
    </xf>
    <xf numFmtId="49" fontId="6" fillId="0" borderId="1" xfId="1" applyNumberFormat="1" applyFont="1" applyBorder="1" applyAlignment="1">
      <alignment horizontal="center" wrapText="1"/>
    </xf>
    <xf numFmtId="0" fontId="10" fillId="3" borderId="1" xfId="1" applyFont="1" applyFill="1" applyBorder="1" applyAlignment="1">
      <alignment wrapText="1"/>
    </xf>
    <xf numFmtId="49" fontId="10" fillId="3" borderId="1" xfId="1" applyNumberFormat="1" applyFont="1" applyFill="1" applyBorder="1" applyAlignment="1">
      <alignment horizontal="center" wrapText="1"/>
    </xf>
    <xf numFmtId="0" fontId="11" fillId="0" borderId="0" xfId="0" applyFont="1"/>
    <xf numFmtId="164" fontId="6" fillId="3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 applyAlignment="1">
      <alignment horizontal="center" vertical="top" wrapText="1"/>
    </xf>
    <xf numFmtId="0" fontId="6" fillId="3" borderId="1" xfId="2" applyFont="1" applyFill="1" applyBorder="1" applyAlignment="1">
      <alignment wrapText="1"/>
    </xf>
    <xf numFmtId="0" fontId="6" fillId="3" borderId="1" xfId="1" applyFont="1" applyFill="1" applyBorder="1" applyAlignment="1">
      <alignment horizontal="justify"/>
    </xf>
    <xf numFmtId="0" fontId="5" fillId="7" borderId="1" xfId="1" applyFont="1" applyFill="1" applyBorder="1" applyAlignment="1">
      <alignment horizontal="left" wrapText="1"/>
    </xf>
    <xf numFmtId="49" fontId="5" fillId="0" borderId="1" xfId="1" applyNumberFormat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wrapText="1"/>
    </xf>
    <xf numFmtId="0" fontId="5" fillId="0" borderId="1" xfId="1" applyFont="1" applyBorder="1" applyAlignment="1">
      <alignment vertical="top" wrapText="1"/>
    </xf>
    <xf numFmtId="49" fontId="6" fillId="0" borderId="1" xfId="1" applyNumberFormat="1" applyFont="1" applyBorder="1" applyAlignment="1">
      <alignment horizontal="center" vertical="top" wrapText="1"/>
    </xf>
    <xf numFmtId="0" fontId="5" fillId="4" borderId="1" xfId="1" applyFont="1" applyFill="1" applyBorder="1" applyAlignment="1">
      <alignment vertical="top" wrapText="1"/>
    </xf>
    <xf numFmtId="0" fontId="3" fillId="3" borderId="1" xfId="0" applyFont="1" applyFill="1" applyBorder="1"/>
    <xf numFmtId="0" fontId="6" fillId="3" borderId="1" xfId="3" applyFont="1" applyFill="1" applyBorder="1" applyAlignment="1">
      <alignment horizontal="left" vertical="top" wrapText="1"/>
    </xf>
    <xf numFmtId="0" fontId="5" fillId="10" borderId="1" xfId="1" applyFont="1" applyFill="1" applyBorder="1" applyAlignment="1">
      <alignment horizontal="left" vertical="top" wrapText="1"/>
    </xf>
    <xf numFmtId="164" fontId="5" fillId="9" borderId="1" xfId="1" applyNumberFormat="1" applyFont="1" applyFill="1" applyBorder="1" applyAlignment="1">
      <alignment horizontal="center" wrapText="1"/>
    </xf>
    <xf numFmtId="0" fontId="5" fillId="9" borderId="1" xfId="1" applyFont="1" applyFill="1" applyBorder="1" applyAlignment="1">
      <alignment horizontal="left" vertical="top" wrapText="1"/>
    </xf>
    <xf numFmtId="0" fontId="3" fillId="9" borderId="1" xfId="0" applyFont="1" applyFill="1" applyBorder="1"/>
    <xf numFmtId="164" fontId="5" fillId="8" borderId="1" xfId="1" applyNumberFormat="1" applyFont="1" applyFill="1" applyBorder="1" applyAlignment="1">
      <alignment horizontal="center" wrapText="1"/>
    </xf>
    <xf numFmtId="0" fontId="3" fillId="8" borderId="1" xfId="0" applyFont="1" applyFill="1" applyBorder="1"/>
    <xf numFmtId="49" fontId="6" fillId="3" borderId="1" xfId="1" applyNumberFormat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justify" vertical="top" wrapText="1"/>
    </xf>
    <xf numFmtId="49" fontId="9" fillId="0" borderId="1" xfId="1" applyNumberFormat="1" applyFont="1" applyBorder="1" applyAlignment="1">
      <alignment horizontal="center" vertical="top" wrapText="1"/>
    </xf>
    <xf numFmtId="0" fontId="6" fillId="0" borderId="1" xfId="1" applyFont="1" applyBorder="1" applyAlignment="1">
      <alignment horizontal="left" wrapText="1"/>
    </xf>
    <xf numFmtId="0" fontId="6" fillId="3" borderId="1" xfId="1" applyFont="1" applyFill="1" applyBorder="1" applyAlignment="1">
      <alignment horizontal="left" wrapText="1"/>
    </xf>
    <xf numFmtId="49" fontId="5" fillId="2" borderId="1" xfId="1" applyNumberFormat="1" applyFont="1" applyFill="1" applyBorder="1" applyAlignment="1">
      <alignment horizontal="center" wrapText="1"/>
    </xf>
    <xf numFmtId="49" fontId="6" fillId="7" borderId="1" xfId="1" applyNumberFormat="1" applyFont="1" applyFill="1" applyBorder="1" applyAlignment="1">
      <alignment horizontal="center" wrapText="1"/>
    </xf>
    <xf numFmtId="0" fontId="11" fillId="4" borderId="1" xfId="0" applyFont="1" applyFill="1" applyBorder="1"/>
    <xf numFmtId="49" fontId="6" fillId="5" borderId="1" xfId="1" applyNumberFormat="1" applyFont="1" applyFill="1" applyBorder="1" applyAlignment="1">
      <alignment horizontal="center" wrapText="1"/>
    </xf>
    <xf numFmtId="0" fontId="6" fillId="0" borderId="1" xfId="1" applyFont="1" applyBorder="1" applyAlignment="1">
      <alignment vertical="center" wrapText="1"/>
    </xf>
    <xf numFmtId="0" fontId="3" fillId="11" borderId="0" xfId="0" applyFont="1" applyFill="1"/>
    <xf numFmtId="164" fontId="5" fillId="4" borderId="1" xfId="1" applyNumberFormat="1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0" fontId="5" fillId="5" borderId="1" xfId="1" applyFont="1" applyFill="1" applyBorder="1" applyAlignment="1">
      <alignment vertical="top" wrapText="1"/>
    </xf>
    <xf numFmtId="0" fontId="11" fillId="5" borderId="1" xfId="0" applyFont="1" applyFill="1" applyBorder="1"/>
    <xf numFmtId="0" fontId="6" fillId="0" borderId="1" xfId="1" applyFont="1" applyBorder="1" applyAlignment="1">
      <alignment horizontal="justify" wrapText="1"/>
    </xf>
    <xf numFmtId="0" fontId="6" fillId="0" borderId="1" xfId="1" applyFont="1" applyBorder="1" applyAlignment="1">
      <alignment horizontal="justify"/>
    </xf>
    <xf numFmtId="0" fontId="6" fillId="3" borderId="1" xfId="1" applyFont="1" applyFill="1" applyBorder="1" applyAlignment="1">
      <alignment horizontal="justify" wrapText="1"/>
    </xf>
    <xf numFmtId="0" fontId="5" fillId="3" borderId="1" xfId="1" applyFont="1" applyFill="1" applyBorder="1" applyAlignment="1">
      <alignment wrapText="1"/>
    </xf>
    <xf numFmtId="0" fontId="5" fillId="3" borderId="1" xfId="1" applyFont="1" applyFill="1" applyBorder="1" applyAlignment="1">
      <alignment horizontal="center" wrapText="1"/>
    </xf>
    <xf numFmtId="0" fontId="11" fillId="0" borderId="1" xfId="0" applyFont="1" applyBorder="1"/>
    <xf numFmtId="0" fontId="13" fillId="0" borderId="0" xfId="0" applyFont="1"/>
    <xf numFmtId="164" fontId="5" fillId="12" borderId="1" xfId="1" applyNumberFormat="1" applyFont="1" applyFill="1" applyBorder="1" applyAlignment="1">
      <alignment horizontal="center"/>
    </xf>
    <xf numFmtId="0" fontId="5" fillId="12" borderId="1" xfId="1" applyFont="1" applyFill="1" applyBorder="1" applyAlignment="1">
      <alignment horizontal="left" vertical="top" wrapText="1"/>
    </xf>
    <xf numFmtId="49" fontId="5" fillId="12" borderId="1" xfId="1" applyNumberFormat="1" applyFont="1" applyFill="1" applyBorder="1" applyAlignment="1">
      <alignment horizontal="center" vertical="top" wrapText="1"/>
    </xf>
    <xf numFmtId="0" fontId="5" fillId="12" borderId="1" xfId="1" applyFont="1" applyFill="1" applyBorder="1" applyAlignment="1">
      <alignment horizontal="center" vertical="top" wrapText="1"/>
    </xf>
    <xf numFmtId="0" fontId="11" fillId="12" borderId="1" xfId="0" applyFont="1" applyFill="1" applyBorder="1"/>
    <xf numFmtId="0" fontId="14" fillId="3" borderId="1" xfId="1" applyFont="1" applyFill="1" applyBorder="1" applyAlignment="1">
      <alignment wrapText="1"/>
    </xf>
    <xf numFmtId="0" fontId="14" fillId="3" borderId="1" xfId="1" applyFont="1" applyFill="1" applyBorder="1" applyAlignment="1">
      <alignment horizontal="center" wrapText="1"/>
    </xf>
    <xf numFmtId="0" fontId="1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right" vertical="center" wrapText="1"/>
    </xf>
    <xf numFmtId="0" fontId="6" fillId="0" borderId="0" xfId="1" applyFont="1" applyAlignment="1">
      <alignment vertical="center" wrapText="1"/>
    </xf>
    <xf numFmtId="0" fontId="16" fillId="0" borderId="0" xfId="1" applyFont="1" applyAlignment="1">
      <alignment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vertical="center"/>
    </xf>
    <xf numFmtId="0" fontId="15" fillId="0" borderId="0" xfId="0" applyFont="1"/>
    <xf numFmtId="0" fontId="6" fillId="0" borderId="1" xfId="0" applyFont="1" applyBorder="1" applyAlignment="1">
      <alignment horizontal="center"/>
    </xf>
    <xf numFmtId="49" fontId="9" fillId="3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/>
    <xf numFmtId="0" fontId="6" fillId="0" borderId="0" xfId="0" applyFont="1"/>
    <xf numFmtId="0" fontId="5" fillId="7" borderId="2" xfId="1" applyFont="1" applyFill="1" applyBorder="1" applyAlignment="1">
      <alignment wrapText="1"/>
    </xf>
    <xf numFmtId="0" fontId="6" fillId="3" borderId="2" xfId="1" applyFont="1" applyFill="1" applyBorder="1" applyAlignment="1">
      <alignment wrapText="1"/>
    </xf>
    <xf numFmtId="0" fontId="6" fillId="3" borderId="0" xfId="0" applyFont="1" applyFill="1"/>
    <xf numFmtId="49" fontId="69" fillId="3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horizontal="justify"/>
    </xf>
    <xf numFmtId="0" fontId="73" fillId="0" borderId="0" xfId="0" applyFont="1"/>
    <xf numFmtId="0" fontId="70" fillId="0" borderId="1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6" fillId="0" borderId="1" xfId="561" applyFont="1" applyBorder="1" applyAlignment="1">
      <alignment horizontal="center" vertical="center"/>
    </xf>
    <xf numFmtId="0" fontId="70" fillId="71" borderId="1" xfId="561" applyFont="1" applyFill="1" applyBorder="1" applyAlignment="1">
      <alignment vertical="center" wrapText="1"/>
    </xf>
    <xf numFmtId="164" fontId="70" fillId="0" borderId="1" xfId="0" applyNumberFormat="1" applyFont="1" applyBorder="1" applyAlignment="1">
      <alignment horizontal="right" vertical="center" wrapText="1"/>
    </xf>
    <xf numFmtId="164" fontId="75" fillId="0" borderId="1" xfId="0" applyNumberFormat="1" applyFont="1" applyBorder="1" applyAlignment="1">
      <alignment horizontal="right" vertical="center" wrapText="1"/>
    </xf>
    <xf numFmtId="164" fontId="76" fillId="0" borderId="1" xfId="0" applyNumberFormat="1" applyFont="1" applyBorder="1" applyAlignment="1">
      <alignment horizontal="right" vertical="center" wrapText="1"/>
    </xf>
    <xf numFmtId="0" fontId="16" fillId="71" borderId="1" xfId="561" applyFont="1" applyFill="1" applyBorder="1" applyAlignment="1">
      <alignment horizontal="left" vertical="center" wrapText="1" indent="1"/>
    </xf>
    <xf numFmtId="164" fontId="70" fillId="71" borderId="1" xfId="561" applyNumberFormat="1" applyFont="1" applyFill="1" applyBorder="1" applyAlignment="1">
      <alignment horizontal="right" vertical="center" wrapText="1"/>
    </xf>
    <xf numFmtId="164" fontId="16" fillId="71" borderId="1" xfId="561" applyNumberFormat="1" applyFont="1" applyFill="1" applyBorder="1" applyAlignment="1">
      <alignment horizontal="right" vertical="center" wrapText="1"/>
    </xf>
    <xf numFmtId="164" fontId="16" fillId="3" borderId="1" xfId="0" applyNumberFormat="1" applyFont="1" applyFill="1" applyBorder="1" applyAlignment="1">
      <alignment horizontal="right" vertical="center" wrapText="1"/>
    </xf>
    <xf numFmtId="0" fontId="16" fillId="0" borderId="0" xfId="561" applyFont="1" applyAlignment="1">
      <alignment horizontal="center" vertical="center"/>
    </xf>
    <xf numFmtId="0" fontId="16" fillId="71" borderId="0" xfId="561" applyFont="1" applyFill="1" applyAlignment="1">
      <alignment horizontal="left" vertical="center" wrapText="1" indent="1"/>
    </xf>
    <xf numFmtId="170" fontId="70" fillId="71" borderId="0" xfId="561" applyNumberFormat="1" applyFont="1" applyFill="1" applyAlignment="1">
      <alignment horizontal="right" vertical="center" wrapText="1"/>
    </xf>
    <xf numFmtId="170" fontId="16" fillId="71" borderId="0" xfId="561" applyNumberFormat="1" applyFont="1" applyFill="1" applyAlignment="1">
      <alignment horizontal="right" vertical="center" wrapText="1"/>
    </xf>
    <xf numFmtId="164" fontId="70" fillId="0" borderId="0" xfId="0" applyNumberFormat="1" applyFont="1" applyAlignment="1">
      <alignment horizontal="right" vertical="center" wrapText="1"/>
    </xf>
    <xf numFmtId="164" fontId="16" fillId="3" borderId="0" xfId="0" applyNumberFormat="1" applyFont="1" applyFill="1" applyAlignment="1">
      <alignment horizontal="right" vertical="center" wrapText="1"/>
    </xf>
    <xf numFmtId="0" fontId="75" fillId="0" borderId="3" xfId="0" applyFont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16" fillId="3" borderId="1" xfId="0" applyFont="1" applyFill="1" applyBorder="1" applyAlignment="1">
      <alignment horizontal="center" vertical="top" wrapText="1"/>
    </xf>
    <xf numFmtId="0" fontId="16" fillId="3" borderId="1" xfId="0" applyFont="1" applyFill="1" applyBorder="1" applyAlignment="1">
      <alignment vertical="top" wrapText="1"/>
    </xf>
    <xf numFmtId="164" fontId="16" fillId="3" borderId="1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74" fillId="0" borderId="0" xfId="0" applyFont="1" applyAlignment="1">
      <alignment wrapText="1"/>
    </xf>
    <xf numFmtId="164" fontId="77" fillId="3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164" fontId="16" fillId="0" borderId="1" xfId="0" applyNumberFormat="1" applyFont="1" applyBorder="1" applyAlignment="1">
      <alignment horizontal="center" vertical="center" wrapText="1"/>
    </xf>
    <xf numFmtId="164" fontId="77" fillId="0" borderId="1" xfId="0" applyNumberFormat="1" applyFont="1" applyBorder="1" applyAlignment="1">
      <alignment horizontal="center" vertical="center"/>
    </xf>
    <xf numFmtId="164" fontId="73" fillId="0" borderId="1" xfId="0" applyNumberFormat="1" applyFont="1" applyBorder="1" applyAlignment="1">
      <alignment horizontal="center" vertical="center"/>
    </xf>
    <xf numFmtId="0" fontId="6" fillId="3" borderId="0" xfId="1" applyFont="1" applyFill="1" applyAlignment="1">
      <alignment vertical="center" wrapText="1"/>
    </xf>
    <xf numFmtId="0" fontId="73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/>
    </xf>
    <xf numFmtId="0" fontId="79" fillId="0" borderId="1" xfId="0" applyFont="1" applyBorder="1" applyAlignment="1">
      <alignment horizontal="center" vertical="center" wrapText="1"/>
    </xf>
    <xf numFmtId="164" fontId="79" fillId="0" borderId="1" xfId="0" applyNumberFormat="1" applyFont="1" applyBorder="1" applyAlignment="1">
      <alignment horizontal="center"/>
    </xf>
    <xf numFmtId="0" fontId="73" fillId="0" borderId="1" xfId="0" applyFont="1" applyBorder="1" applyAlignment="1">
      <alignment horizontal="center" vertical="center" wrapText="1"/>
    </xf>
    <xf numFmtId="164" fontId="73" fillId="0" borderId="1" xfId="0" applyNumberFormat="1" applyFont="1" applyBorder="1" applyAlignment="1">
      <alignment horizontal="center"/>
    </xf>
    <xf numFmtId="0" fontId="72" fillId="0" borderId="1" xfId="0" applyFont="1" applyBorder="1" applyAlignment="1">
      <alignment horizontal="center"/>
    </xf>
    <xf numFmtId="0" fontId="72" fillId="0" borderId="1" xfId="0" applyFont="1" applyBorder="1" applyAlignment="1">
      <alignment horizontal="center" wrapText="1"/>
    </xf>
    <xf numFmtId="164" fontId="72" fillId="0" borderId="1" xfId="0" applyNumberFormat="1" applyFont="1" applyBorder="1" applyAlignment="1">
      <alignment horizontal="center"/>
    </xf>
    <xf numFmtId="164" fontId="0" fillId="0" borderId="0" xfId="0" applyNumberFormat="1"/>
    <xf numFmtId="169" fontId="6" fillId="0" borderId="1" xfId="0" applyNumberFormat="1" applyFont="1" applyBorder="1"/>
    <xf numFmtId="0" fontId="5" fillId="2" borderId="1" xfId="0" applyFont="1" applyFill="1" applyBorder="1"/>
    <xf numFmtId="0" fontId="6" fillId="0" borderId="1" xfId="0" applyFont="1" applyBorder="1" applyAlignment="1">
      <alignment wrapText="1"/>
    </xf>
    <xf numFmtId="169" fontId="6" fillId="0" borderId="0" xfId="0" applyNumberFormat="1" applyFont="1"/>
    <xf numFmtId="0" fontId="6" fillId="6" borderId="0" xfId="0" applyFont="1" applyFill="1"/>
    <xf numFmtId="169" fontId="6" fillId="6" borderId="0" xfId="0" applyNumberFormat="1" applyFont="1" applyFill="1"/>
    <xf numFmtId="0" fontId="10" fillId="0" borderId="0" xfId="0" applyFont="1"/>
    <xf numFmtId="169" fontId="5" fillId="4" borderId="1" xfId="0" applyNumberFormat="1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168" fontId="3" fillId="0" borderId="0" xfId="0" applyNumberFormat="1" applyFont="1"/>
    <xf numFmtId="169" fontId="0" fillId="3" borderId="0" xfId="0" applyNumberFormat="1" applyFill="1"/>
    <xf numFmtId="169" fontId="0" fillId="2" borderId="0" xfId="0" applyNumberFormat="1" applyFill="1"/>
    <xf numFmtId="169" fontId="0" fillId="6" borderId="0" xfId="0" applyNumberFormat="1" applyFill="1"/>
    <xf numFmtId="164" fontId="80" fillId="3" borderId="1" xfId="0" applyNumberFormat="1" applyFont="1" applyFill="1" applyBorder="1" applyAlignment="1">
      <alignment horizontal="center" vertical="center" wrapText="1"/>
    </xf>
    <xf numFmtId="0" fontId="80" fillId="0" borderId="1" xfId="0" applyFont="1" applyBorder="1" applyAlignment="1">
      <alignment wrapText="1"/>
    </xf>
    <xf numFmtId="0" fontId="70" fillId="3" borderId="1" xfId="0" applyFont="1" applyFill="1" applyBorder="1" applyAlignment="1">
      <alignment horizontal="center" vertical="top" wrapText="1"/>
    </xf>
    <xf numFmtId="0" fontId="70" fillId="3" borderId="1" xfId="0" applyFont="1" applyFill="1" applyBorder="1" applyAlignment="1">
      <alignment vertical="justify" wrapText="1"/>
    </xf>
    <xf numFmtId="164" fontId="70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/>
    <xf numFmtId="169" fontId="2" fillId="3" borderId="0" xfId="0" applyNumberFormat="1" applyFont="1" applyFill="1"/>
    <xf numFmtId="49" fontId="5" fillId="73" borderId="1" xfId="1" applyNumberFormat="1" applyFont="1" applyFill="1" applyBorder="1" applyAlignment="1">
      <alignment horizontal="center" wrapText="1"/>
    </xf>
    <xf numFmtId="0" fontId="5" fillId="73" borderId="1" xfId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horizontal="center" wrapText="1"/>
    </xf>
    <xf numFmtId="0" fontId="5" fillId="73" borderId="1" xfId="0" applyFont="1" applyFill="1" applyBorder="1" applyAlignment="1">
      <alignment wrapText="1"/>
    </xf>
    <xf numFmtId="0" fontId="3" fillId="73" borderId="1" xfId="0" applyFont="1" applyFill="1" applyBorder="1"/>
    <xf numFmtId="49" fontId="5" fillId="73" borderId="1" xfId="1" applyNumberFormat="1" applyFont="1" applyFill="1" applyBorder="1" applyAlignment="1">
      <alignment horizontal="center" vertical="top" wrapText="1"/>
    </xf>
    <xf numFmtId="0" fontId="5" fillId="73" borderId="1" xfId="0" applyFont="1" applyFill="1" applyBorder="1" applyAlignment="1">
      <alignment vertical="top" wrapText="1"/>
    </xf>
    <xf numFmtId="164" fontId="5" fillId="73" borderId="1" xfId="1" applyNumberFormat="1" applyFont="1" applyFill="1" applyBorder="1" applyAlignment="1">
      <alignment horizontal="center" vertical="top" wrapText="1"/>
    </xf>
    <xf numFmtId="49" fontId="6" fillId="73" borderId="1" xfId="1" applyNumberFormat="1" applyFont="1" applyFill="1" applyBorder="1" applyAlignment="1">
      <alignment horizontal="center" wrapText="1"/>
    </xf>
    <xf numFmtId="0" fontId="11" fillId="73" borderId="1" xfId="0" applyFont="1" applyFill="1" applyBorder="1"/>
    <xf numFmtId="0" fontId="5" fillId="73" borderId="1" xfId="1" applyFont="1" applyFill="1" applyBorder="1" applyAlignment="1">
      <alignment horizontal="center" vertical="top" wrapText="1"/>
    </xf>
    <xf numFmtId="0" fontId="5" fillId="73" borderId="2" xfId="1" applyFont="1" applyFill="1" applyBorder="1" applyAlignment="1">
      <alignment wrapText="1"/>
    </xf>
    <xf numFmtId="0" fontId="5" fillId="73" borderId="1" xfId="1" applyFont="1" applyFill="1" applyBorder="1" applyAlignment="1">
      <alignment horizontal="left" wrapText="1"/>
    </xf>
    <xf numFmtId="164" fontId="5" fillId="73" borderId="1" xfId="0" applyNumberFormat="1" applyFont="1" applyFill="1" applyBorder="1" applyAlignment="1">
      <alignment horizontal="center"/>
    </xf>
    <xf numFmtId="0" fontId="5" fillId="73" borderId="1" xfId="1" applyFont="1" applyFill="1" applyBorder="1" applyAlignment="1">
      <alignment horizontal="justify" wrapText="1"/>
    </xf>
    <xf numFmtId="49" fontId="5" fillId="73" borderId="1" xfId="1" applyNumberFormat="1" applyFont="1" applyFill="1" applyBorder="1" applyAlignment="1">
      <alignment horizontal="left" wrapText="1"/>
    </xf>
    <xf numFmtId="0" fontId="5" fillId="73" borderId="1" xfId="1" applyFont="1" applyFill="1" applyBorder="1" applyAlignment="1">
      <alignment horizontal="left" vertical="top" wrapText="1"/>
    </xf>
    <xf numFmtId="49" fontId="5" fillId="8" borderId="1" xfId="1" applyNumberFormat="1" applyFont="1" applyFill="1" applyBorder="1" applyAlignment="1">
      <alignment horizontal="center" wrapText="1"/>
    </xf>
    <xf numFmtId="49" fontId="5" fillId="8" borderId="1" xfId="1" applyNumberFormat="1" applyFont="1" applyFill="1" applyBorder="1" applyAlignment="1">
      <alignment wrapText="1"/>
    </xf>
    <xf numFmtId="0" fontId="5" fillId="8" borderId="2" xfId="1" applyFont="1" applyFill="1" applyBorder="1" applyAlignment="1">
      <alignment wrapText="1"/>
    </xf>
    <xf numFmtId="0" fontId="5" fillId="8" borderId="1" xfId="1" applyFont="1" applyFill="1" applyBorder="1" applyAlignment="1">
      <alignment wrapText="1"/>
    </xf>
    <xf numFmtId="49" fontId="6" fillId="8" borderId="1" xfId="1" applyNumberFormat="1" applyFont="1" applyFill="1" applyBorder="1" applyAlignment="1">
      <alignment horizontal="center" wrapText="1"/>
    </xf>
    <xf numFmtId="0" fontId="70" fillId="73" borderId="1" xfId="0" applyFont="1" applyFill="1" applyBorder="1" applyAlignment="1">
      <alignment horizontal="center" vertical="top" wrapText="1"/>
    </xf>
    <xf numFmtId="0" fontId="70" fillId="73" borderId="1" xfId="0" applyFont="1" applyFill="1" applyBorder="1" applyAlignment="1">
      <alignment vertical="top" wrapText="1"/>
    </xf>
    <xf numFmtId="164" fontId="70" fillId="73" borderId="1" xfId="0" applyNumberFormat="1" applyFont="1" applyFill="1" applyBorder="1" applyAlignment="1">
      <alignment horizontal="center" vertical="center" wrapText="1"/>
    </xf>
    <xf numFmtId="0" fontId="70" fillId="72" borderId="1" xfId="0" applyFont="1" applyFill="1" applyBorder="1" applyAlignment="1">
      <alignment horizontal="center" vertical="top" wrapText="1"/>
    </xf>
    <xf numFmtId="0" fontId="70" fillId="72" borderId="1" xfId="0" applyFont="1" applyFill="1" applyBorder="1" applyAlignment="1">
      <alignment vertical="top" wrapText="1"/>
    </xf>
    <xf numFmtId="164" fontId="70" fillId="72" borderId="1" xfId="0" applyNumberFormat="1" applyFont="1" applyFill="1" applyBorder="1" applyAlignment="1">
      <alignment horizontal="center" vertical="center" wrapText="1"/>
    </xf>
    <xf numFmtId="164" fontId="78" fillId="72" borderId="1" xfId="0" applyNumberFormat="1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top" wrapText="1"/>
    </xf>
    <xf numFmtId="0" fontId="16" fillId="5" borderId="1" xfId="0" applyFont="1" applyFill="1" applyBorder="1" applyAlignment="1">
      <alignment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vertical="justify" wrapText="1"/>
    </xf>
    <xf numFmtId="164" fontId="77" fillId="5" borderId="1" xfId="0" applyNumberFormat="1" applyFont="1" applyFill="1" applyBorder="1" applyAlignment="1">
      <alignment horizontal="center" vertical="center"/>
    </xf>
    <xf numFmtId="164" fontId="70" fillId="5" borderId="1" xfId="0" applyNumberFormat="1" applyFont="1" applyFill="1" applyBorder="1" applyAlignment="1">
      <alignment horizontal="center" vertical="center" wrapText="1"/>
    </xf>
    <xf numFmtId="164" fontId="78" fillId="5" borderId="1" xfId="0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top" wrapText="1"/>
    </xf>
    <xf numFmtId="0" fontId="82" fillId="8" borderId="1" xfId="1" applyFont="1" applyFill="1" applyBorder="1" applyAlignment="1">
      <alignment horizontal="center" vertical="top" wrapText="1"/>
    </xf>
    <xf numFmtId="49" fontId="82" fillId="7" borderId="1" xfId="1" applyNumberFormat="1" applyFont="1" applyFill="1" applyBorder="1" applyAlignment="1">
      <alignment horizontal="center" wrapText="1"/>
    </xf>
    <xf numFmtId="49" fontId="82" fillId="73" borderId="1" xfId="1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/>
    <xf numFmtId="164" fontId="5" fillId="8" borderId="1" xfId="0" applyNumberFormat="1" applyFont="1" applyFill="1" applyBorder="1"/>
    <xf numFmtId="164" fontId="5" fillId="7" borderId="1" xfId="0" applyNumberFormat="1" applyFont="1" applyFill="1" applyBorder="1"/>
    <xf numFmtId="164" fontId="5" fillId="73" borderId="1" xfId="0" applyNumberFormat="1" applyFont="1" applyFill="1" applyBorder="1"/>
    <xf numFmtId="164" fontId="6" fillId="3" borderId="1" xfId="0" applyNumberFormat="1" applyFont="1" applyFill="1" applyBorder="1"/>
    <xf numFmtId="164" fontId="6" fillId="0" borderId="1" xfId="0" applyNumberFormat="1" applyFont="1" applyBorder="1"/>
    <xf numFmtId="164" fontId="10" fillId="3" borderId="1" xfId="0" applyNumberFormat="1" applyFont="1" applyFill="1" applyBorder="1"/>
    <xf numFmtId="164" fontId="6" fillId="3" borderId="21" xfId="0" applyNumberFormat="1" applyFont="1" applyFill="1" applyBorder="1"/>
    <xf numFmtId="164" fontId="5" fillId="7" borderId="1" xfId="1" applyNumberFormat="1" applyFont="1" applyFill="1" applyBorder="1" applyAlignment="1">
      <alignment wrapText="1"/>
    </xf>
    <xf numFmtId="164" fontId="5" fillId="73" borderId="1" xfId="1" applyNumberFormat="1" applyFont="1" applyFill="1" applyBorder="1" applyAlignment="1">
      <alignment wrapText="1"/>
    </xf>
    <xf numFmtId="164" fontId="6" fillId="3" borderId="2" xfId="0" applyNumberFormat="1" applyFont="1" applyFill="1" applyBorder="1"/>
    <xf numFmtId="164" fontId="6" fillId="3" borderId="1" xfId="1" applyNumberFormat="1" applyFont="1" applyFill="1" applyBorder="1" applyAlignment="1">
      <alignment horizontal="right" wrapText="1"/>
    </xf>
    <xf numFmtId="164" fontId="5" fillId="4" borderId="1" xfId="0" applyNumberFormat="1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1" fillId="7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164" fontId="68" fillId="0" borderId="1" xfId="0" applyNumberFormat="1" applyFont="1" applyBorder="1" applyAlignment="1">
      <alignment horizontal="center"/>
    </xf>
    <xf numFmtId="164" fontId="5" fillId="8" borderId="1" xfId="0" applyNumberFormat="1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/>
    </xf>
    <xf numFmtId="164" fontId="83" fillId="0" borderId="0" xfId="0" applyNumberFormat="1" applyFont="1"/>
    <xf numFmtId="164" fontId="84" fillId="0" borderId="0" xfId="0" applyNumberFormat="1" applyFont="1"/>
    <xf numFmtId="0" fontId="5" fillId="0" borderId="28" xfId="1" applyFont="1" applyBorder="1" applyAlignment="1">
      <alignment horizontal="center" vertical="center" wrapText="1"/>
    </xf>
    <xf numFmtId="164" fontId="6" fillId="3" borderId="28" xfId="0" applyNumberFormat="1" applyFont="1" applyFill="1" applyBorder="1"/>
    <xf numFmtId="49" fontId="6" fillId="3" borderId="28" xfId="1" applyNumberFormat="1" applyFont="1" applyFill="1" applyBorder="1" applyAlignment="1">
      <alignment horizontal="center" wrapText="1"/>
    </xf>
    <xf numFmtId="0" fontId="6" fillId="3" borderId="28" xfId="1" applyFont="1" applyFill="1" applyBorder="1" applyAlignment="1">
      <alignment wrapText="1"/>
    </xf>
    <xf numFmtId="49" fontId="6" fillId="3" borderId="28" xfId="1" applyNumberFormat="1" applyFont="1" applyFill="1" applyBorder="1" applyAlignment="1">
      <alignment horizontal="center" vertical="top" wrapText="1"/>
    </xf>
    <xf numFmtId="0" fontId="6" fillId="3" borderId="28" xfId="1" applyFont="1" applyFill="1" applyBorder="1" applyAlignment="1">
      <alignment vertical="top" wrapText="1"/>
    </xf>
    <xf numFmtId="0" fontId="3" fillId="0" borderId="28" xfId="0" applyFont="1" applyBorder="1"/>
    <xf numFmtId="164" fontId="6" fillId="3" borderId="28" xfId="1" applyNumberFormat="1" applyFont="1" applyFill="1" applyBorder="1" applyAlignment="1">
      <alignment horizontal="center" wrapText="1"/>
    </xf>
    <xf numFmtId="0" fontId="14" fillId="0" borderId="28" xfId="1" applyFont="1" applyBorder="1" applyAlignment="1">
      <alignment horizontal="center" vertical="center" wrapText="1"/>
    </xf>
    <xf numFmtId="164" fontId="5" fillId="4" borderId="28" xfId="1" applyNumberFormat="1" applyFont="1" applyFill="1" applyBorder="1" applyAlignment="1">
      <alignment horizontal="center" wrapText="1"/>
    </xf>
    <xf numFmtId="164" fontId="5" fillId="8" borderId="28" xfId="1" applyNumberFormat="1" applyFont="1" applyFill="1" applyBorder="1" applyAlignment="1">
      <alignment horizontal="center" wrapText="1"/>
    </xf>
    <xf numFmtId="0" fontId="5" fillId="3" borderId="28" xfId="1" applyFont="1" applyFill="1" applyBorder="1" applyAlignment="1">
      <alignment horizontal="center" vertical="center" wrapText="1"/>
    </xf>
    <xf numFmtId="49" fontId="6" fillId="0" borderId="28" xfId="1" applyNumberFormat="1" applyFont="1" applyBorder="1" applyAlignment="1">
      <alignment horizontal="center" wrapText="1"/>
    </xf>
    <xf numFmtId="0" fontId="6" fillId="0" borderId="28" xfId="1" applyFont="1" applyBorder="1" applyAlignment="1">
      <alignment horizontal="left" wrapText="1"/>
    </xf>
    <xf numFmtId="49" fontId="5" fillId="3" borderId="28" xfId="1" applyNumberFormat="1" applyFont="1" applyFill="1" applyBorder="1" applyAlignment="1">
      <alignment horizontal="center" vertical="top" wrapText="1"/>
    </xf>
    <xf numFmtId="49" fontId="5" fillId="4" borderId="28" xfId="1" applyNumberFormat="1" applyFont="1" applyFill="1" applyBorder="1" applyAlignment="1">
      <alignment horizontal="center" wrapText="1"/>
    </xf>
    <xf numFmtId="0" fontId="5" fillId="4" borderId="28" xfId="1" applyFont="1" applyFill="1" applyBorder="1" applyAlignment="1">
      <alignment wrapText="1"/>
    </xf>
    <xf numFmtId="49" fontId="6" fillId="8" borderId="28" xfId="1" applyNumberFormat="1" applyFont="1" applyFill="1" applyBorder="1" applyAlignment="1">
      <alignment horizontal="center" wrapText="1"/>
    </xf>
    <xf numFmtId="49" fontId="5" fillId="8" borderId="28" xfId="1" applyNumberFormat="1" applyFont="1" applyFill="1" applyBorder="1" applyAlignment="1">
      <alignment horizontal="center" wrapText="1"/>
    </xf>
    <xf numFmtId="0" fontId="5" fillId="8" borderId="28" xfId="1" applyFont="1" applyFill="1" applyBorder="1" applyAlignment="1">
      <alignment wrapText="1"/>
    </xf>
    <xf numFmtId="49" fontId="6" fillId="4" borderId="28" xfId="1" applyNumberFormat="1" applyFont="1" applyFill="1" applyBorder="1" applyAlignment="1">
      <alignment horizontal="center" wrapText="1"/>
    </xf>
    <xf numFmtId="0" fontId="6" fillId="0" borderId="28" xfId="3" applyFont="1" applyBorder="1" applyAlignment="1">
      <alignment horizontal="left" vertical="top" wrapText="1"/>
    </xf>
    <xf numFmtId="0" fontId="6" fillId="3" borderId="2" xfId="3" applyFont="1" applyFill="1" applyBorder="1" applyAlignment="1">
      <alignment horizontal="left" wrapText="1"/>
    </xf>
    <xf numFmtId="49" fontId="6" fillId="3" borderId="2" xfId="1" applyNumberFormat="1" applyFont="1" applyFill="1" applyBorder="1" applyAlignment="1">
      <alignment wrapText="1"/>
    </xf>
    <xf numFmtId="49" fontId="6" fillId="0" borderId="28" xfId="1" applyNumberFormat="1" applyFont="1" applyBorder="1" applyAlignment="1">
      <alignment horizontal="center" vertical="top" wrapText="1"/>
    </xf>
    <xf numFmtId="49" fontId="5" fillId="0" borderId="28" xfId="1" applyNumberFormat="1" applyFont="1" applyBorder="1" applyAlignment="1">
      <alignment horizontal="center" vertical="top" wrapText="1"/>
    </xf>
    <xf numFmtId="0" fontId="6" fillId="0" borderId="28" xfId="1" applyFont="1" applyBorder="1" applyAlignment="1">
      <alignment wrapText="1"/>
    </xf>
    <xf numFmtId="0" fontId="3" fillId="0" borderId="29" xfId="0" applyFont="1" applyBorder="1"/>
    <xf numFmtId="49" fontId="5" fillId="3" borderId="29" xfId="1" applyNumberFormat="1" applyFont="1" applyFill="1" applyBorder="1" applyAlignment="1">
      <alignment horizontal="center" vertical="top" wrapText="1"/>
    </xf>
    <xf numFmtId="49" fontId="6" fillId="3" borderId="29" xfId="1" applyNumberFormat="1" applyFont="1" applyFill="1" applyBorder="1" applyAlignment="1">
      <alignment horizontal="center" wrapText="1"/>
    </xf>
    <xf numFmtId="164" fontId="6" fillId="3" borderId="29" xfId="0" applyNumberFormat="1" applyFont="1" applyFill="1" applyBorder="1" applyAlignment="1">
      <alignment horizontal="center"/>
    </xf>
    <xf numFmtId="164" fontId="6" fillId="0" borderId="29" xfId="1" applyNumberFormat="1" applyFont="1" applyBorder="1" applyAlignment="1">
      <alignment horizontal="center" wrapText="1"/>
    </xf>
    <xf numFmtId="49" fontId="5" fillId="3" borderId="30" xfId="1" applyNumberFormat="1" applyFont="1" applyFill="1" applyBorder="1" applyAlignment="1">
      <alignment horizontal="center" vertical="top" wrapText="1"/>
    </xf>
    <xf numFmtId="49" fontId="6" fillId="3" borderId="30" xfId="1" applyNumberFormat="1" applyFont="1" applyFill="1" applyBorder="1" applyAlignment="1">
      <alignment horizontal="center" wrapText="1"/>
    </xf>
    <xf numFmtId="164" fontId="6" fillId="3" borderId="30" xfId="0" applyNumberFormat="1" applyFont="1" applyFill="1" applyBorder="1"/>
    <xf numFmtId="169" fontId="6" fillId="0" borderId="30" xfId="0" applyNumberFormat="1" applyFont="1" applyBorder="1"/>
    <xf numFmtId="164" fontId="5" fillId="8" borderId="30" xfId="0" applyNumberFormat="1" applyFont="1" applyFill="1" applyBorder="1"/>
    <xf numFmtId="164" fontId="5" fillId="7" borderId="30" xfId="0" applyNumberFormat="1" applyFont="1" applyFill="1" applyBorder="1"/>
    <xf numFmtId="164" fontId="5" fillId="73" borderId="30" xfId="0" applyNumberFormat="1" applyFont="1" applyFill="1" applyBorder="1"/>
    <xf numFmtId="164" fontId="6" fillId="0" borderId="30" xfId="0" applyNumberFormat="1" applyFont="1" applyBorder="1"/>
    <xf numFmtId="164" fontId="6" fillId="3" borderId="31" xfId="0" applyNumberFormat="1" applyFont="1" applyFill="1" applyBorder="1"/>
    <xf numFmtId="164" fontId="5" fillId="7" borderId="30" xfId="1" applyNumberFormat="1" applyFont="1" applyFill="1" applyBorder="1" applyAlignment="1">
      <alignment wrapText="1"/>
    </xf>
    <xf numFmtId="164" fontId="5" fillId="73" borderId="30" xfId="1" applyNumberFormat="1" applyFont="1" applyFill="1" applyBorder="1" applyAlignment="1">
      <alignment wrapText="1"/>
    </xf>
    <xf numFmtId="164" fontId="6" fillId="3" borderId="32" xfId="0" applyNumberFormat="1" applyFont="1" applyFill="1" applyBorder="1"/>
    <xf numFmtId="164" fontId="6" fillId="3" borderId="30" xfId="1" applyNumberFormat="1" applyFont="1" applyFill="1" applyBorder="1" applyAlignment="1">
      <alignment horizontal="right" wrapText="1"/>
    </xf>
    <xf numFmtId="0" fontId="0" fillId="0" borderId="33" xfId="0" applyBorder="1"/>
    <xf numFmtId="49" fontId="6" fillId="3" borderId="33" xfId="1" applyNumberFormat="1" applyFont="1" applyFill="1" applyBorder="1" applyAlignment="1">
      <alignment horizontal="center" wrapText="1"/>
    </xf>
    <xf numFmtId="0" fontId="6" fillId="3" borderId="32" xfId="1" applyFont="1" applyFill="1" applyBorder="1" applyAlignment="1">
      <alignment wrapText="1"/>
    </xf>
    <xf numFmtId="164" fontId="6" fillId="3" borderId="33" xfId="0" applyNumberFormat="1" applyFont="1" applyFill="1" applyBorder="1"/>
    <xf numFmtId="0" fontId="6" fillId="3" borderId="33" xfId="1" applyFont="1" applyFill="1" applyBorder="1" applyAlignment="1">
      <alignment wrapText="1"/>
    </xf>
    <xf numFmtId="49" fontId="6" fillId="3" borderId="33" xfId="1" applyNumberFormat="1" applyFont="1" applyFill="1" applyBorder="1" applyAlignment="1">
      <alignment horizontal="center" vertical="top" wrapText="1"/>
    </xf>
    <xf numFmtId="0" fontId="6" fillId="0" borderId="33" xfId="1" applyFont="1" applyBorder="1" applyAlignment="1">
      <alignment horizontal="left" wrapText="1"/>
    </xf>
    <xf numFmtId="49" fontId="6" fillId="0" borderId="33" xfId="1" applyNumberFormat="1" applyFont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wrapText="1"/>
    </xf>
    <xf numFmtId="49" fontId="5" fillId="3" borderId="33" xfId="1" applyNumberFormat="1" applyFont="1" applyFill="1" applyBorder="1" applyAlignment="1">
      <alignment horizontal="center" wrapText="1"/>
    </xf>
    <xf numFmtId="49" fontId="6" fillId="3" borderId="33" xfId="1" applyNumberFormat="1" applyFont="1" applyFill="1" applyBorder="1" applyAlignment="1">
      <alignment horizontal="center" vertical="center" wrapText="1"/>
    </xf>
    <xf numFmtId="0" fontId="5" fillId="73" borderId="33" xfId="1" applyFont="1" applyFill="1" applyBorder="1" applyAlignment="1">
      <alignment wrapText="1"/>
    </xf>
    <xf numFmtId="0" fontId="14" fillId="0" borderId="33" xfId="1" applyFont="1" applyBorder="1" applyAlignment="1">
      <alignment horizontal="center" vertical="center" wrapText="1"/>
    </xf>
    <xf numFmtId="164" fontId="5" fillId="2" borderId="33" xfId="1" applyNumberFormat="1" applyFont="1" applyFill="1" applyBorder="1" applyAlignment="1">
      <alignment horizontal="center" wrapText="1"/>
    </xf>
    <xf numFmtId="164" fontId="5" fillId="0" borderId="33" xfId="1" applyNumberFormat="1" applyFont="1" applyBorder="1" applyAlignment="1">
      <alignment horizontal="center" wrapText="1"/>
    </xf>
    <xf numFmtId="164" fontId="5" fillId="8" borderId="33" xfId="1" applyNumberFormat="1" applyFont="1" applyFill="1" applyBorder="1" applyAlignment="1">
      <alignment horizontal="center" vertical="top" wrapText="1"/>
    </xf>
    <xf numFmtId="164" fontId="5" fillId="7" borderId="33" xfId="1" applyNumberFormat="1" applyFont="1" applyFill="1" applyBorder="1" applyAlignment="1">
      <alignment horizontal="center" wrapText="1"/>
    </xf>
    <xf numFmtId="164" fontId="5" fillId="73" borderId="33" xfId="1" applyNumberFormat="1" applyFont="1" applyFill="1" applyBorder="1" applyAlignment="1">
      <alignment horizontal="center" wrapText="1"/>
    </xf>
    <xf numFmtId="164" fontId="6" fillId="3" borderId="33" xfId="1" applyNumberFormat="1" applyFont="1" applyFill="1" applyBorder="1" applyAlignment="1">
      <alignment horizontal="center" wrapText="1"/>
    </xf>
    <xf numFmtId="164" fontId="5" fillId="3" borderId="33" xfId="1" applyNumberFormat="1" applyFont="1" applyFill="1" applyBorder="1" applyAlignment="1">
      <alignment horizontal="center" wrapText="1"/>
    </xf>
    <xf numFmtId="164" fontId="6" fillId="0" borderId="33" xfId="1" applyNumberFormat="1" applyFont="1" applyBorder="1" applyAlignment="1">
      <alignment horizontal="center" wrapText="1"/>
    </xf>
    <xf numFmtId="164" fontId="6" fillId="3" borderId="33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12" borderId="33" xfId="1" applyNumberFormat="1" applyFont="1" applyFill="1" applyBorder="1" applyAlignment="1">
      <alignment horizontal="center"/>
    </xf>
    <xf numFmtId="164" fontId="5" fillId="3" borderId="33" xfId="1" applyNumberFormat="1" applyFont="1" applyFill="1" applyBorder="1" applyAlignment="1">
      <alignment horizontal="center"/>
    </xf>
    <xf numFmtId="164" fontId="5" fillId="9" borderId="33" xfId="1" applyNumberFormat="1" applyFont="1" applyFill="1" applyBorder="1" applyAlignment="1">
      <alignment horizontal="center" vertical="top" wrapText="1"/>
    </xf>
    <xf numFmtId="164" fontId="5" fillId="73" borderId="33" xfId="1" applyNumberFormat="1" applyFont="1" applyFill="1" applyBorder="1" applyAlignment="1">
      <alignment horizontal="center" vertical="top" wrapText="1"/>
    </xf>
    <xf numFmtId="164" fontId="6" fillId="3" borderId="33" xfId="0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 wrapText="1"/>
    </xf>
    <xf numFmtId="164" fontId="5" fillId="4" borderId="33" xfId="1" applyNumberFormat="1" applyFont="1" applyFill="1" applyBorder="1" applyAlignment="1">
      <alignment horizontal="center" wrapText="1"/>
    </xf>
    <xf numFmtId="164" fontId="6" fillId="0" borderId="33" xfId="0" applyNumberFormat="1" applyFont="1" applyBorder="1" applyAlignment="1">
      <alignment horizontal="center"/>
    </xf>
    <xf numFmtId="164" fontId="5" fillId="4" borderId="33" xfId="1" applyNumberFormat="1" applyFont="1" applyFill="1" applyBorder="1" applyAlignment="1">
      <alignment horizontal="center"/>
    </xf>
    <xf numFmtId="164" fontId="5" fillId="8" borderId="33" xfId="1" applyNumberFormat="1" applyFont="1" applyFill="1" applyBorder="1" applyAlignment="1">
      <alignment horizontal="center" wrapText="1"/>
    </xf>
    <xf numFmtId="164" fontId="5" fillId="9" borderId="33" xfId="1" applyNumberFormat="1" applyFont="1" applyFill="1" applyBorder="1" applyAlignment="1">
      <alignment horizontal="center" wrapText="1"/>
    </xf>
    <xf numFmtId="164" fontId="5" fillId="8" borderId="33" xfId="0" applyNumberFormat="1" applyFont="1" applyFill="1" applyBorder="1" applyAlignment="1">
      <alignment horizontal="center"/>
    </xf>
    <xf numFmtId="164" fontId="5" fillId="4" borderId="33" xfId="0" applyNumberFormat="1" applyFont="1" applyFill="1" applyBorder="1" applyAlignment="1">
      <alignment horizontal="center"/>
    </xf>
    <xf numFmtId="164" fontId="6" fillId="0" borderId="33" xfId="1" applyNumberFormat="1" applyFont="1" applyBorder="1" applyAlignment="1">
      <alignment horizontal="center" vertical="top" wrapText="1"/>
    </xf>
    <xf numFmtId="164" fontId="5" fillId="0" borderId="33" xfId="1" applyNumberFormat="1" applyFont="1" applyBorder="1" applyAlignment="1">
      <alignment horizontal="center" vertical="top" wrapText="1"/>
    </xf>
    <xf numFmtId="164" fontId="6" fillId="3" borderId="33" xfId="1" applyNumberFormat="1" applyFont="1" applyFill="1" applyBorder="1" applyAlignment="1">
      <alignment horizontal="center" vertical="top" wrapText="1"/>
    </xf>
    <xf numFmtId="164" fontId="3" fillId="3" borderId="33" xfId="0" applyNumberFormat="1" applyFont="1" applyFill="1" applyBorder="1" applyAlignment="1">
      <alignment horizontal="center"/>
    </xf>
    <xf numFmtId="164" fontId="68" fillId="0" borderId="33" xfId="0" applyNumberFormat="1" applyFont="1" applyBorder="1" applyAlignment="1">
      <alignment horizontal="center"/>
    </xf>
    <xf numFmtId="0" fontId="3" fillId="0" borderId="33" xfId="0" applyFont="1" applyBorder="1"/>
    <xf numFmtId="164" fontId="5" fillId="73" borderId="30" xfId="0" applyNumberFormat="1" applyFont="1" applyFill="1" applyBorder="1" applyAlignment="1">
      <alignment horizontal="center"/>
    </xf>
    <xf numFmtId="49" fontId="9" fillId="3" borderId="33" xfId="1" applyNumberFormat="1" applyFont="1" applyFill="1" applyBorder="1" applyAlignment="1">
      <alignment horizontal="center" wrapText="1"/>
    </xf>
    <xf numFmtId="49" fontId="6" fillId="73" borderId="33" xfId="1" applyNumberFormat="1" applyFont="1" applyFill="1" applyBorder="1" applyAlignment="1">
      <alignment horizontal="center" wrapText="1"/>
    </xf>
    <xf numFmtId="0" fontId="5" fillId="73" borderId="33" xfId="1" applyFont="1" applyFill="1" applyBorder="1" applyAlignment="1">
      <alignment horizontal="left" wrapText="1"/>
    </xf>
    <xf numFmtId="0" fontId="6" fillId="3" borderId="33" xfId="1" applyFont="1" applyFill="1" applyBorder="1" applyAlignment="1">
      <alignment vertical="top" wrapText="1"/>
    </xf>
    <xf numFmtId="49" fontId="6" fillId="0" borderId="33" xfId="1" applyNumberFormat="1" applyFont="1" applyBorder="1" applyAlignment="1">
      <alignment horizontal="center" wrapText="1"/>
    </xf>
    <xf numFmtId="0" fontId="6" fillId="0" borderId="32" xfId="1" applyFont="1" applyBorder="1" applyAlignment="1">
      <alignment wrapText="1"/>
    </xf>
    <xf numFmtId="0" fontId="5" fillId="73" borderId="33" xfId="1" applyFont="1" applyFill="1" applyBorder="1" applyAlignment="1">
      <alignment horizontal="center" vertical="top" wrapText="1"/>
    </xf>
    <xf numFmtId="49" fontId="5" fillId="73" borderId="33" xfId="1" applyNumberFormat="1" applyFont="1" applyFill="1" applyBorder="1" applyAlignment="1">
      <alignment horizontal="center" vertical="top" wrapText="1"/>
    </xf>
    <xf numFmtId="0" fontId="5" fillId="73" borderId="33" xfId="1" applyFont="1" applyFill="1" applyBorder="1" applyAlignment="1">
      <alignment vertical="top" wrapText="1"/>
    </xf>
    <xf numFmtId="49" fontId="10" fillId="3" borderId="33" xfId="1" applyNumberFormat="1" applyFont="1" applyFill="1" applyBorder="1" applyAlignment="1">
      <alignment horizontal="center" wrapText="1"/>
    </xf>
    <xf numFmtId="0" fontId="6" fillId="3" borderId="33" xfId="1" applyFont="1" applyFill="1" applyBorder="1" applyAlignment="1">
      <alignment horizontal="left" wrapText="1"/>
    </xf>
    <xf numFmtId="0" fontId="16" fillId="3" borderId="33" xfId="0" applyFont="1" applyFill="1" applyBorder="1" applyAlignment="1">
      <alignment horizontal="center" vertical="top" wrapText="1"/>
    </xf>
    <xf numFmtId="0" fontId="80" fillId="0" borderId="33" xfId="0" applyFont="1" applyBorder="1" applyAlignment="1">
      <alignment wrapText="1"/>
    </xf>
    <xf numFmtId="164" fontId="80" fillId="3" borderId="33" xfId="0" applyNumberFormat="1" applyFont="1" applyFill="1" applyBorder="1" applyAlignment="1">
      <alignment horizontal="center" vertical="center" wrapText="1"/>
    </xf>
    <xf numFmtId="164" fontId="16" fillId="3" borderId="33" xfId="0" applyNumberFormat="1" applyFont="1" applyFill="1" applyBorder="1" applyAlignment="1">
      <alignment horizontal="center" vertical="center" wrapText="1"/>
    </xf>
    <xf numFmtId="0" fontId="16" fillId="5" borderId="33" xfId="0" applyFont="1" applyFill="1" applyBorder="1" applyAlignment="1">
      <alignment horizontal="center" vertical="top" wrapText="1"/>
    </xf>
    <xf numFmtId="0" fontId="16" fillId="5" borderId="33" xfId="0" applyFont="1" applyFill="1" applyBorder="1" applyAlignment="1">
      <alignment vertical="top" wrapText="1"/>
    </xf>
    <xf numFmtId="164" fontId="70" fillId="5" borderId="33" xfId="0" applyNumberFormat="1" applyFont="1" applyFill="1" applyBorder="1" applyAlignment="1">
      <alignment horizontal="center" vertical="center" wrapText="1"/>
    </xf>
    <xf numFmtId="0" fontId="16" fillId="3" borderId="33" xfId="0" applyFont="1" applyFill="1" applyBorder="1" applyAlignment="1">
      <alignment vertical="top" wrapText="1"/>
    </xf>
    <xf numFmtId="164" fontId="6" fillId="0" borderId="33" xfId="1" applyNumberFormat="1" applyFont="1" applyBorder="1" applyAlignment="1">
      <alignment horizontal="right" wrapText="1"/>
    </xf>
    <xf numFmtId="164" fontId="6" fillId="3" borderId="33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/>
    </xf>
    <xf numFmtId="164" fontId="5" fillId="73" borderId="33" xfId="1" applyNumberFormat="1" applyFont="1" applyFill="1" applyBorder="1" applyAlignment="1">
      <alignment horizontal="right" wrapText="1"/>
    </xf>
    <xf numFmtId="0" fontId="16" fillId="3" borderId="34" xfId="0" applyFont="1" applyFill="1" applyBorder="1" applyAlignment="1">
      <alignment horizontal="center" vertical="top" wrapText="1"/>
    </xf>
    <xf numFmtId="164" fontId="80" fillId="3" borderId="34" xfId="0" applyNumberFormat="1" applyFont="1" applyFill="1" applyBorder="1" applyAlignment="1">
      <alignment horizontal="center" vertical="center" wrapText="1"/>
    </xf>
    <xf numFmtId="164" fontId="16" fillId="3" borderId="34" xfId="0" applyNumberFormat="1" applyFont="1" applyFill="1" applyBorder="1" applyAlignment="1">
      <alignment horizontal="center" vertical="center" wrapText="1"/>
    </xf>
    <xf numFmtId="49" fontId="6" fillId="3" borderId="34" xfId="1" applyNumberFormat="1" applyFont="1" applyFill="1" applyBorder="1" applyAlignment="1">
      <alignment horizontal="center" wrapText="1"/>
    </xf>
    <xf numFmtId="164" fontId="6" fillId="3" borderId="34" xfId="0" applyNumberFormat="1" applyFont="1" applyFill="1" applyBorder="1"/>
    <xf numFmtId="164" fontId="6" fillId="3" borderId="34" xfId="0" applyNumberFormat="1" applyFont="1" applyFill="1" applyBorder="1" applyAlignment="1">
      <alignment horizontal="center"/>
    </xf>
    <xf numFmtId="164" fontId="6" fillId="3" borderId="34" xfId="1" applyNumberFormat="1" applyFont="1" applyFill="1" applyBorder="1" applyAlignment="1">
      <alignment horizontal="center" wrapText="1"/>
    </xf>
    <xf numFmtId="49" fontId="6" fillId="3" borderId="35" xfId="1" applyNumberFormat="1" applyFont="1" applyFill="1" applyBorder="1" applyAlignment="1">
      <alignment horizontal="center" wrapText="1"/>
    </xf>
    <xf numFmtId="0" fontId="6" fillId="3" borderId="35" xfId="1" applyFont="1" applyFill="1" applyBorder="1" applyAlignment="1">
      <alignment wrapText="1"/>
    </xf>
    <xf numFmtId="49" fontId="6" fillId="3" borderId="35" xfId="1" applyNumberFormat="1" applyFont="1" applyFill="1" applyBorder="1" applyAlignment="1">
      <alignment horizontal="center" vertical="center" wrapText="1"/>
    </xf>
    <xf numFmtId="0" fontId="6" fillId="3" borderId="35" xfId="1" applyFont="1" applyFill="1" applyBorder="1" applyAlignment="1">
      <alignment vertical="center" wrapText="1"/>
    </xf>
    <xf numFmtId="0" fontId="3" fillId="0" borderId="35" xfId="0" applyFont="1" applyBorder="1"/>
    <xf numFmtId="164" fontId="6" fillId="0" borderId="35" xfId="1" applyNumberFormat="1" applyFont="1" applyBorder="1" applyAlignment="1">
      <alignment horizontal="center" wrapText="1"/>
    </xf>
    <xf numFmtId="164" fontId="6" fillId="3" borderId="35" xfId="0" applyNumberFormat="1" applyFont="1" applyFill="1" applyBorder="1"/>
    <xf numFmtId="0" fontId="16" fillId="3" borderId="35" xfId="0" applyFont="1" applyFill="1" applyBorder="1" applyAlignment="1">
      <alignment horizontal="center" vertical="top" wrapText="1"/>
    </xf>
    <xf numFmtId="164" fontId="16" fillId="3" borderId="35" xfId="0" applyNumberFormat="1" applyFont="1" applyFill="1" applyBorder="1" applyAlignment="1">
      <alignment horizontal="center" vertical="center" wrapText="1"/>
    </xf>
    <xf numFmtId="0" fontId="6" fillId="0" borderId="33" xfId="1" applyFont="1" applyBorder="1" applyAlignment="1">
      <alignment wrapText="1"/>
    </xf>
    <xf numFmtId="0" fontId="6" fillId="0" borderId="33" xfId="1" applyFont="1" applyBorder="1" applyAlignment="1">
      <alignment vertical="top" wrapText="1"/>
    </xf>
    <xf numFmtId="49" fontId="6" fillId="0" borderId="35" xfId="1" applyNumberFormat="1" applyFont="1" applyBorder="1" applyAlignment="1">
      <alignment horizontal="center" wrapText="1"/>
    </xf>
    <xf numFmtId="49" fontId="9" fillId="0" borderId="35" xfId="1" applyNumberFormat="1" applyFont="1" applyBorder="1" applyAlignment="1">
      <alignment horizontal="center" wrapText="1"/>
    </xf>
    <xf numFmtId="49" fontId="6" fillId="0" borderId="35" xfId="1" applyNumberFormat="1" applyFont="1" applyBorder="1" applyAlignment="1">
      <alignment horizontal="center" vertical="center" wrapText="1"/>
    </xf>
    <xf numFmtId="164" fontId="3" fillId="0" borderId="0" xfId="0" applyNumberFormat="1" applyFont="1"/>
    <xf numFmtId="0" fontId="16" fillId="3" borderId="35" xfId="0" applyFont="1" applyFill="1" applyBorder="1" applyAlignment="1">
      <alignment vertical="top" wrapText="1"/>
    </xf>
    <xf numFmtId="0" fontId="0" fillId="0" borderId="36" xfId="0" applyBorder="1" applyAlignment="1">
      <alignment wrapText="1"/>
    </xf>
    <xf numFmtId="0" fontId="0" fillId="0" borderId="36" xfId="0" applyBorder="1"/>
    <xf numFmtId="0" fontId="5" fillId="0" borderId="37" xfId="1" applyFont="1" applyBorder="1" applyAlignment="1">
      <alignment horizontal="center" vertical="center" wrapText="1"/>
    </xf>
    <xf numFmtId="49" fontId="6" fillId="3" borderId="36" xfId="1" applyNumberFormat="1" applyFont="1" applyFill="1" applyBorder="1" applyAlignment="1">
      <alignment horizontal="center" wrapText="1"/>
    </xf>
    <xf numFmtId="164" fontId="6" fillId="3" borderId="36" xfId="0" applyNumberFormat="1" applyFont="1" applyFill="1" applyBorder="1"/>
    <xf numFmtId="49" fontId="0" fillId="0" borderId="36" xfId="0" applyNumberFormat="1" applyBorder="1"/>
    <xf numFmtId="0" fontId="2" fillId="0" borderId="36" xfId="0" applyFont="1" applyBorder="1"/>
    <xf numFmtId="0" fontId="0" fillId="0" borderId="0" xfId="0" applyAlignment="1">
      <alignment wrapText="1"/>
    </xf>
    <xf numFmtId="164" fontId="5" fillId="73" borderId="36" xfId="0" applyNumberFormat="1" applyFont="1" applyFill="1" applyBorder="1"/>
    <xf numFmtId="49" fontId="5" fillId="3" borderId="36" xfId="1" applyNumberFormat="1" applyFont="1" applyFill="1" applyBorder="1" applyAlignment="1">
      <alignment horizontal="center" wrapText="1"/>
    </xf>
    <xf numFmtId="164" fontId="5" fillId="3" borderId="36" xfId="0" applyNumberFormat="1" applyFont="1" applyFill="1" applyBorder="1"/>
    <xf numFmtId="0" fontId="6" fillId="3" borderId="36" xfId="0" applyFont="1" applyFill="1" applyBorder="1" applyAlignment="1">
      <alignment wrapText="1"/>
    </xf>
    <xf numFmtId="164" fontId="6" fillId="73" borderId="36" xfId="0" applyNumberFormat="1" applyFont="1" applyFill="1" applyBorder="1"/>
    <xf numFmtId="0" fontId="6" fillId="3" borderId="36" xfId="1" applyFont="1" applyFill="1" applyBorder="1" applyAlignment="1">
      <alignment wrapText="1"/>
    </xf>
    <xf numFmtId="164" fontId="6" fillId="3" borderId="36" xfId="1" applyNumberFormat="1" applyFont="1" applyFill="1" applyBorder="1" applyAlignment="1">
      <alignment horizontal="right" wrapText="1"/>
    </xf>
    <xf numFmtId="0" fontId="16" fillId="3" borderId="36" xfId="0" applyFont="1" applyFill="1" applyBorder="1" applyAlignment="1">
      <alignment horizontal="center" vertical="top" wrapText="1"/>
    </xf>
    <xf numFmtId="164" fontId="80" fillId="74" borderId="1" xfId="0" applyNumberFormat="1" applyFont="1" applyFill="1" applyBorder="1" applyAlignment="1">
      <alignment horizontal="center" vertical="center" wrapText="1"/>
    </xf>
    <xf numFmtId="0" fontId="80" fillId="3" borderId="1" xfId="0" applyFont="1" applyFill="1" applyBorder="1" applyAlignment="1">
      <alignment vertical="justify" wrapText="1"/>
    </xf>
    <xf numFmtId="164" fontId="80" fillId="3" borderId="0" xfId="0" applyNumberFormat="1" applyFont="1" applyFill="1" applyAlignment="1">
      <alignment horizontal="center" vertical="center" wrapText="1"/>
    </xf>
    <xf numFmtId="0" fontId="80" fillId="3" borderId="1" xfId="0" applyFont="1" applyFill="1" applyBorder="1" applyAlignment="1">
      <alignment vertical="justify"/>
    </xf>
    <xf numFmtId="164" fontId="80" fillId="3" borderId="1" xfId="0" applyNumberFormat="1" applyFont="1" applyFill="1" applyBorder="1"/>
    <xf numFmtId="0" fontId="80" fillId="3" borderId="1" xfId="0" applyFont="1" applyFill="1" applyBorder="1" applyAlignment="1">
      <alignment wrapText="1"/>
    </xf>
    <xf numFmtId="0" fontId="81" fillId="3" borderId="1" xfId="0" applyFont="1" applyFill="1" applyBorder="1" applyAlignment="1">
      <alignment wrapText="1"/>
    </xf>
    <xf numFmtId="0" fontId="80" fillId="74" borderId="1" xfId="0" applyFont="1" applyFill="1" applyBorder="1" applyAlignment="1">
      <alignment wrapText="1"/>
    </xf>
    <xf numFmtId="164" fontId="80" fillId="74" borderId="36" xfId="0" applyNumberFormat="1" applyFont="1" applyFill="1" applyBorder="1" applyAlignment="1">
      <alignment horizontal="center" vertical="center" wrapText="1"/>
    </xf>
    <xf numFmtId="164" fontId="16" fillId="74" borderId="36" xfId="0" applyNumberFormat="1" applyFont="1" applyFill="1" applyBorder="1" applyAlignment="1">
      <alignment horizontal="center" vertical="center" wrapText="1"/>
    </xf>
    <xf numFmtId="0" fontId="80" fillId="74" borderId="36" xfId="0" applyFont="1" applyFill="1" applyBorder="1" applyAlignment="1">
      <alignment wrapText="1"/>
    </xf>
    <xf numFmtId="0" fontId="3" fillId="0" borderId="36" xfId="0" applyFont="1" applyBorder="1"/>
    <xf numFmtId="164" fontId="6" fillId="0" borderId="36" xfId="1" applyNumberFormat="1" applyFont="1" applyBorder="1" applyAlignment="1">
      <alignment horizontal="center" wrapText="1"/>
    </xf>
    <xf numFmtId="0" fontId="80" fillId="0" borderId="36" xfId="0" applyFont="1" applyBorder="1" applyAlignment="1">
      <alignment wrapText="1"/>
    </xf>
    <xf numFmtId="164" fontId="16" fillId="3" borderId="36" xfId="0" applyNumberFormat="1" applyFont="1" applyFill="1" applyBorder="1" applyAlignment="1">
      <alignment horizontal="center" vertical="center" wrapText="1"/>
    </xf>
    <xf numFmtId="0" fontId="86" fillId="0" borderId="36" xfId="0" applyFont="1" applyBorder="1"/>
    <xf numFmtId="0" fontId="0" fillId="0" borderId="39" xfId="0" applyBorder="1"/>
    <xf numFmtId="0" fontId="0" fillId="0" borderId="39" xfId="0" applyBorder="1" applyAlignment="1">
      <alignment wrapText="1"/>
    </xf>
    <xf numFmtId="49" fontId="0" fillId="0" borderId="39" xfId="0" applyNumberFormat="1" applyBorder="1"/>
    <xf numFmtId="0" fontId="86" fillId="0" borderId="39" xfId="0" applyFont="1" applyBorder="1"/>
    <xf numFmtId="0" fontId="86" fillId="0" borderId="0" xfId="0" applyFont="1" applyAlignment="1">
      <alignment horizontal="center"/>
    </xf>
    <xf numFmtId="0" fontId="3" fillId="0" borderId="39" xfId="0" applyFont="1" applyBorder="1"/>
    <xf numFmtId="164" fontId="2" fillId="0" borderId="36" xfId="0" applyNumberFormat="1" applyFont="1" applyBorder="1"/>
    <xf numFmtId="164" fontId="6" fillId="0" borderId="33" xfId="0" applyNumberFormat="1" applyFont="1" applyBorder="1"/>
    <xf numFmtId="164" fontId="80" fillId="3" borderId="36" xfId="0" applyNumberFormat="1" applyFont="1" applyFill="1" applyBorder="1" applyAlignment="1">
      <alignment horizontal="center" vertical="center" wrapText="1"/>
    </xf>
    <xf numFmtId="49" fontId="0" fillId="0" borderId="40" xfId="0" applyNumberFormat="1" applyBorder="1"/>
    <xf numFmtId="0" fontId="0" fillId="0" borderId="40" xfId="0" applyBorder="1" applyAlignment="1">
      <alignment wrapText="1"/>
    </xf>
    <xf numFmtId="0" fontId="0" fillId="0" borderId="40" xfId="0" applyBorder="1"/>
    <xf numFmtId="49" fontId="6" fillId="3" borderId="41" xfId="1" applyNumberFormat="1" applyFont="1" applyFill="1" applyBorder="1" applyAlignment="1">
      <alignment horizontal="center" wrapText="1"/>
    </xf>
    <xf numFmtId="49" fontId="6" fillId="3" borderId="41" xfId="1" applyNumberFormat="1" applyFont="1" applyFill="1" applyBorder="1" applyAlignment="1">
      <alignment horizontal="center" vertical="top" wrapText="1"/>
    </xf>
    <xf numFmtId="164" fontId="6" fillId="3" borderId="41" xfId="1" applyNumberFormat="1" applyFont="1" applyFill="1" applyBorder="1" applyAlignment="1">
      <alignment horizontal="center" wrapText="1"/>
    </xf>
    <xf numFmtId="164" fontId="6" fillId="0" borderId="28" xfId="0" applyNumberFormat="1" applyFont="1" applyBorder="1"/>
    <xf numFmtId="49" fontId="6" fillId="3" borderId="42" xfId="1" applyNumberFormat="1" applyFont="1" applyFill="1" applyBorder="1" applyAlignment="1">
      <alignment horizontal="center" wrapText="1"/>
    </xf>
    <xf numFmtId="0" fontId="3" fillId="0" borderId="42" xfId="0" applyFont="1" applyBorder="1"/>
    <xf numFmtId="164" fontId="6" fillId="3" borderId="42" xfId="1" applyNumberFormat="1" applyFont="1" applyFill="1" applyBorder="1" applyAlignment="1">
      <alignment horizont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4" fillId="0" borderId="2" xfId="1" applyFont="1" applyBorder="1" applyAlignment="1">
      <alignment horizontal="center" vertical="center" wrapText="1"/>
    </xf>
    <xf numFmtId="0" fontId="14" fillId="0" borderId="24" xfId="1" applyFont="1" applyBorder="1" applyAlignment="1">
      <alignment horizontal="center" vertical="center" wrapText="1"/>
    </xf>
    <xf numFmtId="0" fontId="14" fillId="0" borderId="21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0" fillId="3" borderId="0" xfId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3" borderId="0" xfId="1" applyFont="1" applyFill="1" applyAlignment="1">
      <alignment horizontal="center" vertical="center"/>
    </xf>
    <xf numFmtId="0" fontId="70" fillId="0" borderId="0" xfId="561" applyFont="1" applyAlignment="1">
      <alignment horizontal="center" vertical="center"/>
    </xf>
    <xf numFmtId="0" fontId="70" fillId="0" borderId="1" xfId="0" applyFont="1" applyBorder="1" applyAlignment="1">
      <alignment horizontal="center" vertical="center" wrapText="1"/>
    </xf>
    <xf numFmtId="0" fontId="70" fillId="0" borderId="23" xfId="0" applyFont="1" applyBorder="1" applyAlignment="1">
      <alignment horizontal="center" vertical="center" wrapText="1"/>
    </xf>
    <xf numFmtId="0" fontId="70" fillId="0" borderId="22" xfId="0" applyFont="1" applyBorder="1" applyAlignment="1">
      <alignment horizontal="center" vertical="center" wrapText="1"/>
    </xf>
    <xf numFmtId="0" fontId="70" fillId="0" borderId="25" xfId="0" applyFont="1" applyBorder="1" applyAlignment="1">
      <alignment horizontal="center" vertical="center" wrapText="1"/>
    </xf>
    <xf numFmtId="0" fontId="70" fillId="0" borderId="26" xfId="0" applyFont="1" applyBorder="1" applyAlignment="1">
      <alignment horizontal="center" vertical="center" wrapText="1"/>
    </xf>
    <xf numFmtId="0" fontId="70" fillId="0" borderId="27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70" fillId="0" borderId="2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73" fillId="0" borderId="3" xfId="0" applyFont="1" applyBorder="1" applyAlignment="1">
      <alignment horizontal="right"/>
    </xf>
    <xf numFmtId="0" fontId="16" fillId="3" borderId="0" xfId="1" applyFont="1" applyFill="1" applyAlignment="1">
      <alignment horizontal="center" vertical="center" wrapText="1"/>
    </xf>
    <xf numFmtId="0" fontId="71" fillId="0" borderId="0" xfId="0" applyFont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86" fillId="0" borderId="38" xfId="0" applyFont="1" applyBorder="1" applyAlignment="1">
      <alignment horizontal="center"/>
    </xf>
    <xf numFmtId="49" fontId="6" fillId="74" borderId="1" xfId="1" applyNumberFormat="1" applyFont="1" applyFill="1" applyBorder="1" applyAlignment="1">
      <alignment horizontal="center" wrapText="1"/>
    </xf>
    <xf numFmtId="0" fontId="6" fillId="74" borderId="1" xfId="1" applyFont="1" applyFill="1" applyBorder="1" applyAlignment="1">
      <alignment horizontal="justify" wrapText="1"/>
    </xf>
    <xf numFmtId="164" fontId="6" fillId="74" borderId="1" xfId="1" applyNumberFormat="1" applyFont="1" applyFill="1" applyBorder="1" applyAlignment="1">
      <alignment horizontal="center" wrapText="1"/>
    </xf>
    <xf numFmtId="0" fontId="6" fillId="74" borderId="1" xfId="1" applyFont="1" applyFill="1" applyBorder="1" applyAlignment="1">
      <alignment wrapText="1"/>
    </xf>
    <xf numFmtId="164" fontId="6" fillId="74" borderId="1" xfId="0" applyNumberFormat="1" applyFont="1" applyFill="1" applyBorder="1" applyAlignment="1">
      <alignment horizontal="center"/>
    </xf>
    <xf numFmtId="164" fontId="10" fillId="74" borderId="1" xfId="0" applyNumberFormat="1" applyFont="1" applyFill="1" applyBorder="1" applyAlignment="1">
      <alignment horizontal="center"/>
    </xf>
    <xf numFmtId="164" fontId="6" fillId="74" borderId="33" xfId="0" applyNumberFormat="1" applyFont="1" applyFill="1" applyBorder="1" applyAlignment="1">
      <alignment horizontal="center"/>
    </xf>
    <xf numFmtId="164" fontId="10" fillId="74" borderId="33" xfId="0" applyNumberFormat="1" applyFont="1" applyFill="1" applyBorder="1" applyAlignment="1">
      <alignment horizontal="center"/>
    </xf>
  </cellXfs>
  <cellStyles count="664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20% - Акцент1 2" xfId="10" xr:uid="{00000000-0005-0000-0000-000006000000}"/>
    <cellStyle name="20% - Акцент1 2 2" xfId="11" xr:uid="{00000000-0005-0000-0000-000007000000}"/>
    <cellStyle name="20% - Акцент2 2" xfId="12" xr:uid="{00000000-0005-0000-0000-000008000000}"/>
    <cellStyle name="20% - Акцент2 2 2" xfId="13" xr:uid="{00000000-0005-0000-0000-000009000000}"/>
    <cellStyle name="20% - Акцент3 2" xfId="14" xr:uid="{00000000-0005-0000-0000-00000A000000}"/>
    <cellStyle name="20% - Акцент3 2 2" xfId="15" xr:uid="{00000000-0005-0000-0000-00000B000000}"/>
    <cellStyle name="20% - Акцент4 2" xfId="16" xr:uid="{00000000-0005-0000-0000-00000C000000}"/>
    <cellStyle name="20% - Акцент4 2 2" xfId="17" xr:uid="{00000000-0005-0000-0000-00000D000000}"/>
    <cellStyle name="20% - Акцент5 2" xfId="18" xr:uid="{00000000-0005-0000-0000-00000E000000}"/>
    <cellStyle name="20% - Акцент5 2 2" xfId="19" xr:uid="{00000000-0005-0000-0000-00000F000000}"/>
    <cellStyle name="20% - Акцент6 2" xfId="20" xr:uid="{00000000-0005-0000-0000-000010000000}"/>
    <cellStyle name="20% - Акцент6 2 2" xfId="21" xr:uid="{00000000-0005-0000-0000-000011000000}"/>
    <cellStyle name="40% - Accent1" xfId="22" xr:uid="{00000000-0005-0000-0000-000012000000}"/>
    <cellStyle name="40% - Accent2" xfId="23" xr:uid="{00000000-0005-0000-0000-000013000000}"/>
    <cellStyle name="40% - Accent3" xfId="24" xr:uid="{00000000-0005-0000-0000-000014000000}"/>
    <cellStyle name="40% - Accent4" xfId="25" xr:uid="{00000000-0005-0000-0000-000015000000}"/>
    <cellStyle name="40% - Accent5" xfId="26" xr:uid="{00000000-0005-0000-0000-000016000000}"/>
    <cellStyle name="40% - Accent6" xfId="27" xr:uid="{00000000-0005-0000-0000-000017000000}"/>
    <cellStyle name="40% - Акцент1 2" xfId="28" xr:uid="{00000000-0005-0000-0000-000018000000}"/>
    <cellStyle name="40% - Акцент1 2 2" xfId="29" xr:uid="{00000000-0005-0000-0000-000019000000}"/>
    <cellStyle name="40% - Акцент2 2" xfId="30" xr:uid="{00000000-0005-0000-0000-00001A000000}"/>
    <cellStyle name="40% - Акцент2 2 2" xfId="31" xr:uid="{00000000-0005-0000-0000-00001B000000}"/>
    <cellStyle name="40% - Акцент3 2" xfId="32" xr:uid="{00000000-0005-0000-0000-00001C000000}"/>
    <cellStyle name="40% - Акцент3 2 2" xfId="33" xr:uid="{00000000-0005-0000-0000-00001D000000}"/>
    <cellStyle name="40% - Акцент4 2" xfId="34" xr:uid="{00000000-0005-0000-0000-00001E000000}"/>
    <cellStyle name="40% - Акцент4 2 2" xfId="35" xr:uid="{00000000-0005-0000-0000-00001F000000}"/>
    <cellStyle name="40% - Акцент5 2" xfId="36" xr:uid="{00000000-0005-0000-0000-000020000000}"/>
    <cellStyle name="40% - Акцент5 2 2" xfId="37" xr:uid="{00000000-0005-0000-0000-000021000000}"/>
    <cellStyle name="40% - Акцент6 2" xfId="38" xr:uid="{00000000-0005-0000-0000-000022000000}"/>
    <cellStyle name="40% - Акцент6 2 2" xfId="39" xr:uid="{00000000-0005-0000-0000-000023000000}"/>
    <cellStyle name="60% - Accent1" xfId="40" xr:uid="{00000000-0005-0000-0000-000024000000}"/>
    <cellStyle name="60% - Accent2" xfId="41" xr:uid="{00000000-0005-0000-0000-000025000000}"/>
    <cellStyle name="60% - Accent3" xfId="42" xr:uid="{00000000-0005-0000-0000-000026000000}"/>
    <cellStyle name="60% - Accent4" xfId="43" xr:uid="{00000000-0005-0000-0000-000027000000}"/>
    <cellStyle name="60% - Accent5" xfId="44" xr:uid="{00000000-0005-0000-0000-000028000000}"/>
    <cellStyle name="60% - Accent6" xfId="45" xr:uid="{00000000-0005-0000-0000-000029000000}"/>
    <cellStyle name="60% - Акцент1 2" xfId="46" xr:uid="{00000000-0005-0000-0000-00002A000000}"/>
    <cellStyle name="60% - Акцент2 2" xfId="47" xr:uid="{00000000-0005-0000-0000-00002B000000}"/>
    <cellStyle name="60% - Акцент3 2" xfId="48" xr:uid="{00000000-0005-0000-0000-00002C000000}"/>
    <cellStyle name="60% - Акцент4 2" xfId="49" xr:uid="{00000000-0005-0000-0000-00002D000000}"/>
    <cellStyle name="60% - Акцент5 2" xfId="50" xr:uid="{00000000-0005-0000-0000-00002E000000}"/>
    <cellStyle name="60% - Акцент6 2" xfId="51" xr:uid="{00000000-0005-0000-0000-00002F000000}"/>
    <cellStyle name="Accent1" xfId="52" xr:uid="{00000000-0005-0000-0000-000030000000}"/>
    <cellStyle name="Accent1 - 20%" xfId="53" xr:uid="{00000000-0005-0000-0000-000031000000}"/>
    <cellStyle name="Accent1 - 40%" xfId="54" xr:uid="{00000000-0005-0000-0000-000032000000}"/>
    <cellStyle name="Accent1 - 60%" xfId="55" xr:uid="{00000000-0005-0000-0000-000033000000}"/>
    <cellStyle name="Accent2" xfId="56" xr:uid="{00000000-0005-0000-0000-000034000000}"/>
    <cellStyle name="Accent2 - 20%" xfId="57" xr:uid="{00000000-0005-0000-0000-000035000000}"/>
    <cellStyle name="Accent2 - 40%" xfId="58" xr:uid="{00000000-0005-0000-0000-000036000000}"/>
    <cellStyle name="Accent2 - 60%" xfId="59" xr:uid="{00000000-0005-0000-0000-000037000000}"/>
    <cellStyle name="Accent3" xfId="60" xr:uid="{00000000-0005-0000-0000-000038000000}"/>
    <cellStyle name="Accent3 - 20%" xfId="61" xr:uid="{00000000-0005-0000-0000-000039000000}"/>
    <cellStyle name="Accent3 - 40%" xfId="62" xr:uid="{00000000-0005-0000-0000-00003A000000}"/>
    <cellStyle name="Accent3 - 60%" xfId="63" xr:uid="{00000000-0005-0000-0000-00003B000000}"/>
    <cellStyle name="Accent3_10" xfId="64" xr:uid="{00000000-0005-0000-0000-00003C000000}"/>
    <cellStyle name="Accent4" xfId="65" xr:uid="{00000000-0005-0000-0000-00003D000000}"/>
    <cellStyle name="Accent4 - 20%" xfId="66" xr:uid="{00000000-0005-0000-0000-00003E000000}"/>
    <cellStyle name="Accent4 - 40%" xfId="67" xr:uid="{00000000-0005-0000-0000-00003F000000}"/>
    <cellStyle name="Accent4 - 60%" xfId="68" xr:uid="{00000000-0005-0000-0000-000040000000}"/>
    <cellStyle name="Accent4_10" xfId="69" xr:uid="{00000000-0005-0000-0000-000041000000}"/>
    <cellStyle name="Accent5" xfId="70" xr:uid="{00000000-0005-0000-0000-000042000000}"/>
    <cellStyle name="Accent5 - 20%" xfId="71" xr:uid="{00000000-0005-0000-0000-000043000000}"/>
    <cellStyle name="Accent5 - 40%" xfId="72" xr:uid="{00000000-0005-0000-0000-000044000000}"/>
    <cellStyle name="Accent5 - 60%" xfId="73" xr:uid="{00000000-0005-0000-0000-000045000000}"/>
    <cellStyle name="Accent5_10" xfId="74" xr:uid="{00000000-0005-0000-0000-000046000000}"/>
    <cellStyle name="Accent6" xfId="75" xr:uid="{00000000-0005-0000-0000-000047000000}"/>
    <cellStyle name="Accent6 - 20%" xfId="76" xr:uid="{00000000-0005-0000-0000-000048000000}"/>
    <cellStyle name="Accent6 - 40%" xfId="77" xr:uid="{00000000-0005-0000-0000-000049000000}"/>
    <cellStyle name="Accent6 - 60%" xfId="78" xr:uid="{00000000-0005-0000-0000-00004A000000}"/>
    <cellStyle name="Accent6_10" xfId="79" xr:uid="{00000000-0005-0000-0000-00004B000000}"/>
    <cellStyle name="Bad" xfId="80" xr:uid="{00000000-0005-0000-0000-00004C000000}"/>
    <cellStyle name="Calculation" xfId="81" xr:uid="{00000000-0005-0000-0000-00004D000000}"/>
    <cellStyle name="Check Cell" xfId="82" xr:uid="{00000000-0005-0000-0000-00004E000000}"/>
    <cellStyle name="Emphasis 1" xfId="83" xr:uid="{00000000-0005-0000-0000-00004F000000}"/>
    <cellStyle name="Emphasis 2" xfId="84" xr:uid="{00000000-0005-0000-0000-000050000000}"/>
    <cellStyle name="Emphasis 3" xfId="85" xr:uid="{00000000-0005-0000-0000-000051000000}"/>
    <cellStyle name="Explanatory Text" xfId="86" xr:uid="{00000000-0005-0000-0000-000052000000}"/>
    <cellStyle name="Good" xfId="87" xr:uid="{00000000-0005-0000-0000-000053000000}"/>
    <cellStyle name="Heading 1" xfId="88" xr:uid="{00000000-0005-0000-0000-000054000000}"/>
    <cellStyle name="Heading 2" xfId="89" xr:uid="{00000000-0005-0000-0000-000055000000}"/>
    <cellStyle name="Heading 3" xfId="90" xr:uid="{00000000-0005-0000-0000-000056000000}"/>
    <cellStyle name="Heading 4" xfId="91" xr:uid="{00000000-0005-0000-0000-000057000000}"/>
    <cellStyle name="Input" xfId="92" xr:uid="{00000000-0005-0000-0000-000058000000}"/>
    <cellStyle name="Linked Cell" xfId="93" xr:uid="{00000000-0005-0000-0000-000059000000}"/>
    <cellStyle name="Neutral" xfId="94" xr:uid="{00000000-0005-0000-0000-00005A000000}"/>
    <cellStyle name="Normal" xfId="95" xr:uid="{00000000-0005-0000-0000-00005B000000}"/>
    <cellStyle name="Note" xfId="96" xr:uid="{00000000-0005-0000-0000-00005C000000}"/>
    <cellStyle name="Output" xfId="97" xr:uid="{00000000-0005-0000-0000-00005D000000}"/>
    <cellStyle name="SAPBEXaggData" xfId="98" xr:uid="{00000000-0005-0000-0000-00005E000000}"/>
    <cellStyle name="SAPBEXaggData 2" xfId="99" xr:uid="{00000000-0005-0000-0000-00005F000000}"/>
    <cellStyle name="SAPBEXaggData 3" xfId="100" xr:uid="{00000000-0005-0000-0000-000060000000}"/>
    <cellStyle name="SAPBEXaggData_Приложения к закону (поправки)" xfId="101" xr:uid="{00000000-0005-0000-0000-000061000000}"/>
    <cellStyle name="SAPBEXaggDataEmph" xfId="102" xr:uid="{00000000-0005-0000-0000-000062000000}"/>
    <cellStyle name="SAPBEXaggDataEmph 2" xfId="103" xr:uid="{00000000-0005-0000-0000-000063000000}"/>
    <cellStyle name="SAPBEXaggDataEmph 3" xfId="104" xr:uid="{00000000-0005-0000-0000-000064000000}"/>
    <cellStyle name="SAPBEXaggItem" xfId="105" xr:uid="{00000000-0005-0000-0000-000065000000}"/>
    <cellStyle name="SAPBEXaggItem 2" xfId="106" xr:uid="{00000000-0005-0000-0000-000066000000}"/>
    <cellStyle name="SAPBEXaggItem 3" xfId="107" xr:uid="{00000000-0005-0000-0000-000067000000}"/>
    <cellStyle name="SAPBEXaggItem_8" xfId="108" xr:uid="{00000000-0005-0000-0000-000068000000}"/>
    <cellStyle name="SAPBEXaggItemX" xfId="109" xr:uid="{00000000-0005-0000-0000-000069000000}"/>
    <cellStyle name="SAPBEXaggItemX 2" xfId="110" xr:uid="{00000000-0005-0000-0000-00006A000000}"/>
    <cellStyle name="SAPBEXaggItemX 3" xfId="111" xr:uid="{00000000-0005-0000-0000-00006B000000}"/>
    <cellStyle name="SAPBEXchaText" xfId="112" xr:uid="{00000000-0005-0000-0000-00006C000000}"/>
    <cellStyle name="SAPBEXchaText 2" xfId="113" xr:uid="{00000000-0005-0000-0000-00006D000000}"/>
    <cellStyle name="SAPBEXchaText 3" xfId="114" xr:uid="{00000000-0005-0000-0000-00006E000000}"/>
    <cellStyle name="SAPBEXexcBad7" xfId="115" xr:uid="{00000000-0005-0000-0000-00006F000000}"/>
    <cellStyle name="SAPBEXexcBad7 2" xfId="116" xr:uid="{00000000-0005-0000-0000-000070000000}"/>
    <cellStyle name="SAPBEXexcBad7 3" xfId="117" xr:uid="{00000000-0005-0000-0000-000071000000}"/>
    <cellStyle name="SAPBEXexcBad8" xfId="118" xr:uid="{00000000-0005-0000-0000-000072000000}"/>
    <cellStyle name="SAPBEXexcBad8 2" xfId="119" xr:uid="{00000000-0005-0000-0000-000073000000}"/>
    <cellStyle name="SAPBEXexcBad8 3" xfId="120" xr:uid="{00000000-0005-0000-0000-000074000000}"/>
    <cellStyle name="SAPBEXexcBad9" xfId="121" xr:uid="{00000000-0005-0000-0000-000075000000}"/>
    <cellStyle name="SAPBEXexcBad9 2" xfId="122" xr:uid="{00000000-0005-0000-0000-000076000000}"/>
    <cellStyle name="SAPBEXexcBad9 3" xfId="123" xr:uid="{00000000-0005-0000-0000-000077000000}"/>
    <cellStyle name="SAPBEXexcCritical4" xfId="124" xr:uid="{00000000-0005-0000-0000-000078000000}"/>
    <cellStyle name="SAPBEXexcCritical4 2" xfId="125" xr:uid="{00000000-0005-0000-0000-000079000000}"/>
    <cellStyle name="SAPBEXexcCritical4 3" xfId="126" xr:uid="{00000000-0005-0000-0000-00007A000000}"/>
    <cellStyle name="SAPBEXexcCritical5" xfId="127" xr:uid="{00000000-0005-0000-0000-00007B000000}"/>
    <cellStyle name="SAPBEXexcCritical5 2" xfId="128" xr:uid="{00000000-0005-0000-0000-00007C000000}"/>
    <cellStyle name="SAPBEXexcCritical5 3" xfId="129" xr:uid="{00000000-0005-0000-0000-00007D000000}"/>
    <cellStyle name="SAPBEXexcCritical6" xfId="130" xr:uid="{00000000-0005-0000-0000-00007E000000}"/>
    <cellStyle name="SAPBEXexcCritical6 2" xfId="131" xr:uid="{00000000-0005-0000-0000-00007F000000}"/>
    <cellStyle name="SAPBEXexcCritical6 3" xfId="132" xr:uid="{00000000-0005-0000-0000-000080000000}"/>
    <cellStyle name="SAPBEXexcGood1" xfId="133" xr:uid="{00000000-0005-0000-0000-000081000000}"/>
    <cellStyle name="SAPBEXexcGood1 2" xfId="134" xr:uid="{00000000-0005-0000-0000-000082000000}"/>
    <cellStyle name="SAPBEXexcGood1 3" xfId="135" xr:uid="{00000000-0005-0000-0000-000083000000}"/>
    <cellStyle name="SAPBEXexcGood2" xfId="136" xr:uid="{00000000-0005-0000-0000-000084000000}"/>
    <cellStyle name="SAPBEXexcGood2 2" xfId="137" xr:uid="{00000000-0005-0000-0000-000085000000}"/>
    <cellStyle name="SAPBEXexcGood2 3" xfId="138" xr:uid="{00000000-0005-0000-0000-000086000000}"/>
    <cellStyle name="SAPBEXexcGood3" xfId="139" xr:uid="{00000000-0005-0000-0000-000087000000}"/>
    <cellStyle name="SAPBEXexcGood3 2" xfId="140" xr:uid="{00000000-0005-0000-0000-000088000000}"/>
    <cellStyle name="SAPBEXexcGood3 3" xfId="141" xr:uid="{00000000-0005-0000-0000-000089000000}"/>
    <cellStyle name="SAPBEXfilterDrill" xfId="142" xr:uid="{00000000-0005-0000-0000-00008A000000}"/>
    <cellStyle name="SAPBEXfilterDrill 2" xfId="143" xr:uid="{00000000-0005-0000-0000-00008B000000}"/>
    <cellStyle name="SAPBEXfilterDrill 3" xfId="144" xr:uid="{00000000-0005-0000-0000-00008C000000}"/>
    <cellStyle name="SAPBEXfilterItem" xfId="145" xr:uid="{00000000-0005-0000-0000-00008D000000}"/>
    <cellStyle name="SAPBEXfilterItem 2" xfId="146" xr:uid="{00000000-0005-0000-0000-00008E000000}"/>
    <cellStyle name="SAPBEXfilterItem 3" xfId="147" xr:uid="{00000000-0005-0000-0000-00008F000000}"/>
    <cellStyle name="SAPBEXfilterText" xfId="148" xr:uid="{00000000-0005-0000-0000-000090000000}"/>
    <cellStyle name="SAPBEXfilterText 2" xfId="149" xr:uid="{00000000-0005-0000-0000-000091000000}"/>
    <cellStyle name="SAPBEXfilterText 3" xfId="150" xr:uid="{00000000-0005-0000-0000-000092000000}"/>
    <cellStyle name="SAPBEXformats" xfId="151" xr:uid="{00000000-0005-0000-0000-000093000000}"/>
    <cellStyle name="SAPBEXformats 2" xfId="152" xr:uid="{00000000-0005-0000-0000-000094000000}"/>
    <cellStyle name="SAPBEXformats 3" xfId="153" xr:uid="{00000000-0005-0000-0000-000095000000}"/>
    <cellStyle name="SAPBEXheaderItem" xfId="154" xr:uid="{00000000-0005-0000-0000-000096000000}"/>
    <cellStyle name="SAPBEXheaderItem 2" xfId="155" xr:uid="{00000000-0005-0000-0000-000097000000}"/>
    <cellStyle name="SAPBEXheaderItem 3" xfId="156" xr:uid="{00000000-0005-0000-0000-000098000000}"/>
    <cellStyle name="SAPBEXheaderText" xfId="157" xr:uid="{00000000-0005-0000-0000-000099000000}"/>
    <cellStyle name="SAPBEXheaderText 2" xfId="158" xr:uid="{00000000-0005-0000-0000-00009A000000}"/>
    <cellStyle name="SAPBEXheaderText 3" xfId="159" xr:uid="{00000000-0005-0000-0000-00009B000000}"/>
    <cellStyle name="SAPBEXHLevel0" xfId="160" xr:uid="{00000000-0005-0000-0000-00009C000000}"/>
    <cellStyle name="SAPBEXHLevel0 2" xfId="161" xr:uid="{00000000-0005-0000-0000-00009D000000}"/>
    <cellStyle name="SAPBEXHLevel0 2 2 3" xfId="162" xr:uid="{00000000-0005-0000-0000-00009E000000}"/>
    <cellStyle name="SAPBEXHLevel0X" xfId="163" xr:uid="{00000000-0005-0000-0000-00009F000000}"/>
    <cellStyle name="SAPBEXHLevel0X 2" xfId="164" xr:uid="{00000000-0005-0000-0000-0000A0000000}"/>
    <cellStyle name="SAPBEXHLevel0X 3" xfId="165" xr:uid="{00000000-0005-0000-0000-0000A1000000}"/>
    <cellStyle name="SAPBEXHLevel1" xfId="166" xr:uid="{00000000-0005-0000-0000-0000A2000000}"/>
    <cellStyle name="SAPBEXHLevel1 2" xfId="167" xr:uid="{00000000-0005-0000-0000-0000A3000000}"/>
    <cellStyle name="SAPBEXHLevel1X" xfId="168" xr:uid="{00000000-0005-0000-0000-0000A4000000}"/>
    <cellStyle name="SAPBEXHLevel1X 2" xfId="169" xr:uid="{00000000-0005-0000-0000-0000A5000000}"/>
    <cellStyle name="SAPBEXHLevel1X 3" xfId="170" xr:uid="{00000000-0005-0000-0000-0000A6000000}"/>
    <cellStyle name="SAPBEXHLevel2" xfId="171" xr:uid="{00000000-0005-0000-0000-0000A7000000}"/>
    <cellStyle name="SAPBEXHLevel2 2" xfId="172" xr:uid="{00000000-0005-0000-0000-0000A8000000}"/>
    <cellStyle name="SAPBEXHLevel2X" xfId="173" xr:uid="{00000000-0005-0000-0000-0000A9000000}"/>
    <cellStyle name="SAPBEXHLevel2X 2" xfId="174" xr:uid="{00000000-0005-0000-0000-0000AA000000}"/>
    <cellStyle name="SAPBEXHLevel2X 3" xfId="175" xr:uid="{00000000-0005-0000-0000-0000AB000000}"/>
    <cellStyle name="SAPBEXHLevel3" xfId="176" xr:uid="{00000000-0005-0000-0000-0000AC000000}"/>
    <cellStyle name="SAPBEXHLevel3 2" xfId="177" xr:uid="{00000000-0005-0000-0000-0000AD000000}"/>
    <cellStyle name="SAPBEXHLevel3 3" xfId="178" xr:uid="{00000000-0005-0000-0000-0000AE000000}"/>
    <cellStyle name="SAPBEXHLevel3X" xfId="179" xr:uid="{00000000-0005-0000-0000-0000AF000000}"/>
    <cellStyle name="SAPBEXHLevel3X 2" xfId="180" xr:uid="{00000000-0005-0000-0000-0000B0000000}"/>
    <cellStyle name="SAPBEXHLevel3X 3" xfId="181" xr:uid="{00000000-0005-0000-0000-0000B1000000}"/>
    <cellStyle name="SAPBEXinputData" xfId="182" xr:uid="{00000000-0005-0000-0000-0000B2000000}"/>
    <cellStyle name="SAPBEXinputData 2" xfId="183" xr:uid="{00000000-0005-0000-0000-0000B3000000}"/>
    <cellStyle name="SAPBEXinputData 3" xfId="184" xr:uid="{00000000-0005-0000-0000-0000B4000000}"/>
    <cellStyle name="SAPBEXItemHeader" xfId="185" xr:uid="{00000000-0005-0000-0000-0000B5000000}"/>
    <cellStyle name="SAPBEXresData" xfId="186" xr:uid="{00000000-0005-0000-0000-0000B6000000}"/>
    <cellStyle name="SAPBEXresData 2" xfId="187" xr:uid="{00000000-0005-0000-0000-0000B7000000}"/>
    <cellStyle name="SAPBEXresData 3" xfId="188" xr:uid="{00000000-0005-0000-0000-0000B8000000}"/>
    <cellStyle name="SAPBEXresDataEmph" xfId="189" xr:uid="{00000000-0005-0000-0000-0000B9000000}"/>
    <cellStyle name="SAPBEXresDataEmph 2" xfId="190" xr:uid="{00000000-0005-0000-0000-0000BA000000}"/>
    <cellStyle name="SAPBEXresDataEmph 3" xfId="191" xr:uid="{00000000-0005-0000-0000-0000BB000000}"/>
    <cellStyle name="SAPBEXresItem" xfId="192" xr:uid="{00000000-0005-0000-0000-0000BC000000}"/>
    <cellStyle name="SAPBEXresItem 2" xfId="193" xr:uid="{00000000-0005-0000-0000-0000BD000000}"/>
    <cellStyle name="SAPBEXresItem 3" xfId="194" xr:uid="{00000000-0005-0000-0000-0000BE000000}"/>
    <cellStyle name="SAPBEXresItemX" xfId="195" xr:uid="{00000000-0005-0000-0000-0000BF000000}"/>
    <cellStyle name="SAPBEXresItemX 2" xfId="196" xr:uid="{00000000-0005-0000-0000-0000C0000000}"/>
    <cellStyle name="SAPBEXresItemX 3" xfId="197" xr:uid="{00000000-0005-0000-0000-0000C1000000}"/>
    <cellStyle name="SAPBEXstdData" xfId="198" xr:uid="{00000000-0005-0000-0000-0000C2000000}"/>
    <cellStyle name="SAPBEXstdData 2" xfId="199" xr:uid="{00000000-0005-0000-0000-0000C3000000}"/>
    <cellStyle name="SAPBEXstdData_726-ПК (прил.)" xfId="200" xr:uid="{00000000-0005-0000-0000-0000C4000000}"/>
    <cellStyle name="SAPBEXstdDataEmph" xfId="201" xr:uid="{00000000-0005-0000-0000-0000C5000000}"/>
    <cellStyle name="SAPBEXstdDataEmph 2" xfId="202" xr:uid="{00000000-0005-0000-0000-0000C6000000}"/>
    <cellStyle name="SAPBEXstdDataEmph 3" xfId="203" xr:uid="{00000000-0005-0000-0000-0000C7000000}"/>
    <cellStyle name="SAPBEXstdItem" xfId="204" xr:uid="{00000000-0005-0000-0000-0000C8000000}"/>
    <cellStyle name="SAPBEXstdItem 2" xfId="205" xr:uid="{00000000-0005-0000-0000-0000C9000000}"/>
    <cellStyle name="SAPBEXstdItem 3" xfId="206" xr:uid="{00000000-0005-0000-0000-0000CA000000}"/>
    <cellStyle name="SAPBEXstdItem_726-ПК (прил.)" xfId="207" xr:uid="{00000000-0005-0000-0000-0000CB000000}"/>
    <cellStyle name="SAPBEXstdItemX" xfId="208" xr:uid="{00000000-0005-0000-0000-0000CC000000}"/>
    <cellStyle name="SAPBEXstdItemX 2" xfId="209" xr:uid="{00000000-0005-0000-0000-0000CD000000}"/>
    <cellStyle name="SAPBEXstdItemX 3" xfId="210" xr:uid="{00000000-0005-0000-0000-0000CE000000}"/>
    <cellStyle name="SAPBEXtitle" xfId="211" xr:uid="{00000000-0005-0000-0000-0000CF000000}"/>
    <cellStyle name="SAPBEXtitle 2" xfId="212" xr:uid="{00000000-0005-0000-0000-0000D0000000}"/>
    <cellStyle name="SAPBEXtitle 3" xfId="213" xr:uid="{00000000-0005-0000-0000-0000D1000000}"/>
    <cellStyle name="SAPBEXunassignedItem" xfId="214" xr:uid="{00000000-0005-0000-0000-0000D2000000}"/>
    <cellStyle name="SAPBEXundefined" xfId="215" xr:uid="{00000000-0005-0000-0000-0000D3000000}"/>
    <cellStyle name="SAPBEXundefined 2" xfId="216" xr:uid="{00000000-0005-0000-0000-0000D4000000}"/>
    <cellStyle name="SAPBEXundefined 3" xfId="217" xr:uid="{00000000-0005-0000-0000-0000D5000000}"/>
    <cellStyle name="Sheet Title" xfId="218" xr:uid="{00000000-0005-0000-0000-0000D6000000}"/>
    <cellStyle name="Title" xfId="219" xr:uid="{00000000-0005-0000-0000-0000D7000000}"/>
    <cellStyle name="Total" xfId="220" xr:uid="{00000000-0005-0000-0000-0000D8000000}"/>
    <cellStyle name="Warning Text" xfId="221" xr:uid="{00000000-0005-0000-0000-0000D9000000}"/>
    <cellStyle name="Акцент1 2" xfId="222" xr:uid="{00000000-0005-0000-0000-0000DA000000}"/>
    <cellStyle name="Акцент2 2" xfId="223" xr:uid="{00000000-0005-0000-0000-0000DB000000}"/>
    <cellStyle name="Акцент3 2" xfId="224" xr:uid="{00000000-0005-0000-0000-0000DC000000}"/>
    <cellStyle name="Акцент4 2" xfId="225" xr:uid="{00000000-0005-0000-0000-0000DD000000}"/>
    <cellStyle name="Акцент5 2" xfId="226" xr:uid="{00000000-0005-0000-0000-0000DE000000}"/>
    <cellStyle name="Акцент6 2" xfId="227" xr:uid="{00000000-0005-0000-0000-0000DF000000}"/>
    <cellStyle name="Ввод  2" xfId="228" xr:uid="{00000000-0005-0000-0000-0000E0000000}"/>
    <cellStyle name="Вывод 2" xfId="229" xr:uid="{00000000-0005-0000-0000-0000E1000000}"/>
    <cellStyle name="Вычисление 2" xfId="230" xr:uid="{00000000-0005-0000-0000-0000E2000000}"/>
    <cellStyle name="Заголовок 1 2" xfId="231" xr:uid="{00000000-0005-0000-0000-0000E3000000}"/>
    <cellStyle name="Заголовок 2 2" xfId="232" xr:uid="{00000000-0005-0000-0000-0000E4000000}"/>
    <cellStyle name="Заголовок 3 2" xfId="233" xr:uid="{00000000-0005-0000-0000-0000E5000000}"/>
    <cellStyle name="Заголовок 4 2" xfId="234" xr:uid="{00000000-0005-0000-0000-0000E6000000}"/>
    <cellStyle name="Итог 2" xfId="235" xr:uid="{00000000-0005-0000-0000-0000E7000000}"/>
    <cellStyle name="Контрольная ячейка 2" xfId="236" xr:uid="{00000000-0005-0000-0000-0000E8000000}"/>
    <cellStyle name="Название 2" xfId="237" xr:uid="{00000000-0005-0000-0000-0000E9000000}"/>
    <cellStyle name="Нейтральный 2" xfId="238" xr:uid="{00000000-0005-0000-0000-0000EA000000}"/>
    <cellStyle name="Обычный" xfId="0" builtinId="0"/>
    <cellStyle name="Обычный 10" xfId="239" xr:uid="{00000000-0005-0000-0000-0000EC000000}"/>
    <cellStyle name="Обычный 10 2" xfId="240" xr:uid="{00000000-0005-0000-0000-0000ED000000}"/>
    <cellStyle name="Обычный 10 2 2" xfId="241" xr:uid="{00000000-0005-0000-0000-0000EE000000}"/>
    <cellStyle name="Обычный 10 2 2 2" xfId="242" xr:uid="{00000000-0005-0000-0000-0000EF000000}"/>
    <cellStyle name="Обычный 10 2 2 2 2" xfId="243" xr:uid="{00000000-0005-0000-0000-0000F0000000}"/>
    <cellStyle name="Обычный 10 2 2 3" xfId="244" xr:uid="{00000000-0005-0000-0000-0000F1000000}"/>
    <cellStyle name="Обычный 10 2 3" xfId="245" xr:uid="{00000000-0005-0000-0000-0000F2000000}"/>
    <cellStyle name="Обычный 10 2 3 2" xfId="246" xr:uid="{00000000-0005-0000-0000-0000F3000000}"/>
    <cellStyle name="Обычный 10 2 4" xfId="247" xr:uid="{00000000-0005-0000-0000-0000F4000000}"/>
    <cellStyle name="Обычный 10 3" xfId="248" xr:uid="{00000000-0005-0000-0000-0000F5000000}"/>
    <cellStyle name="Обычный 10 3 2" xfId="249" xr:uid="{00000000-0005-0000-0000-0000F6000000}"/>
    <cellStyle name="Обычный 10 3 2 2" xfId="250" xr:uid="{00000000-0005-0000-0000-0000F7000000}"/>
    <cellStyle name="Обычный 10 3 3" xfId="251" xr:uid="{00000000-0005-0000-0000-0000F8000000}"/>
    <cellStyle name="Обычный 10 4" xfId="252" xr:uid="{00000000-0005-0000-0000-0000F9000000}"/>
    <cellStyle name="Обычный 10 4 2" xfId="253" xr:uid="{00000000-0005-0000-0000-0000FA000000}"/>
    <cellStyle name="Обычный 10 5" xfId="254" xr:uid="{00000000-0005-0000-0000-0000FB000000}"/>
    <cellStyle name="Обычный 11" xfId="255" xr:uid="{00000000-0005-0000-0000-0000FC000000}"/>
    <cellStyle name="Обычный 11 2" xfId="256" xr:uid="{00000000-0005-0000-0000-0000FD000000}"/>
    <cellStyle name="Обычный 11 2 2" xfId="257" xr:uid="{00000000-0005-0000-0000-0000FE000000}"/>
    <cellStyle name="Обычный 11 2 2 2" xfId="258" xr:uid="{00000000-0005-0000-0000-0000FF000000}"/>
    <cellStyle name="Обычный 11 2 2 2 2" xfId="259" xr:uid="{00000000-0005-0000-0000-000000010000}"/>
    <cellStyle name="Обычный 11 2 2 2 2 2" xfId="260" xr:uid="{00000000-0005-0000-0000-000001010000}"/>
    <cellStyle name="Обычный 11 2 2 2 3" xfId="261" xr:uid="{00000000-0005-0000-0000-000002010000}"/>
    <cellStyle name="Обычный 11 2 2 3" xfId="262" xr:uid="{00000000-0005-0000-0000-000003010000}"/>
    <cellStyle name="Обычный 11 2 2 3 2" xfId="263" xr:uid="{00000000-0005-0000-0000-000004010000}"/>
    <cellStyle name="Обычный 11 2 2 4" xfId="264" xr:uid="{00000000-0005-0000-0000-000005010000}"/>
    <cellStyle name="Обычный 11 2 3" xfId="265" xr:uid="{00000000-0005-0000-0000-000006010000}"/>
    <cellStyle name="Обычный 11 2 3 2" xfId="266" xr:uid="{00000000-0005-0000-0000-000007010000}"/>
    <cellStyle name="Обычный 11 2 3 2 2" xfId="267" xr:uid="{00000000-0005-0000-0000-000008010000}"/>
    <cellStyle name="Обычный 11 2 3 3" xfId="268" xr:uid="{00000000-0005-0000-0000-000009010000}"/>
    <cellStyle name="Обычный 11 2 4" xfId="269" xr:uid="{00000000-0005-0000-0000-00000A010000}"/>
    <cellStyle name="Обычный 11 2 4 2" xfId="270" xr:uid="{00000000-0005-0000-0000-00000B010000}"/>
    <cellStyle name="Обычный 11 2 5" xfId="271" xr:uid="{00000000-0005-0000-0000-00000C010000}"/>
    <cellStyle name="Обычный 11 3" xfId="272" xr:uid="{00000000-0005-0000-0000-00000D010000}"/>
    <cellStyle name="Обычный 11 4" xfId="273" xr:uid="{00000000-0005-0000-0000-00000E010000}"/>
    <cellStyle name="Обычный 11 4 2" xfId="274" xr:uid="{00000000-0005-0000-0000-00000F010000}"/>
    <cellStyle name="Обычный 11 4 2 2" xfId="275" xr:uid="{00000000-0005-0000-0000-000010010000}"/>
    <cellStyle name="Обычный 11 4 2 2 2" xfId="276" xr:uid="{00000000-0005-0000-0000-000011010000}"/>
    <cellStyle name="Обычный 11 4 2 3" xfId="277" xr:uid="{00000000-0005-0000-0000-000012010000}"/>
    <cellStyle name="Обычный 11 4 3" xfId="278" xr:uid="{00000000-0005-0000-0000-000013010000}"/>
    <cellStyle name="Обычный 11 4 3 2" xfId="279" xr:uid="{00000000-0005-0000-0000-000014010000}"/>
    <cellStyle name="Обычный 11 4 4" xfId="280" xr:uid="{00000000-0005-0000-0000-000015010000}"/>
    <cellStyle name="Обычный 11 5" xfId="281" xr:uid="{00000000-0005-0000-0000-000016010000}"/>
    <cellStyle name="Обычный 11 5 2" xfId="282" xr:uid="{00000000-0005-0000-0000-000017010000}"/>
    <cellStyle name="Обычный 11 5 2 2" xfId="283" xr:uid="{00000000-0005-0000-0000-000018010000}"/>
    <cellStyle name="Обычный 11 5 3" xfId="284" xr:uid="{00000000-0005-0000-0000-000019010000}"/>
    <cellStyle name="Обычный 11 6" xfId="285" xr:uid="{00000000-0005-0000-0000-00001A010000}"/>
    <cellStyle name="Обычный 11 6 2" xfId="286" xr:uid="{00000000-0005-0000-0000-00001B010000}"/>
    <cellStyle name="Обычный 11 7" xfId="287" xr:uid="{00000000-0005-0000-0000-00001C010000}"/>
    <cellStyle name="Обычный 12" xfId="288" xr:uid="{00000000-0005-0000-0000-00001D010000}"/>
    <cellStyle name="Обычный 13" xfId="2" xr:uid="{00000000-0005-0000-0000-00001E010000}"/>
    <cellStyle name="Обычный 14" xfId="289" xr:uid="{00000000-0005-0000-0000-00001F010000}"/>
    <cellStyle name="Обычный 15" xfId="290" xr:uid="{00000000-0005-0000-0000-000020010000}"/>
    <cellStyle name="Обычный 15 2" xfId="291" xr:uid="{00000000-0005-0000-0000-000021010000}"/>
    <cellStyle name="Обычный 15 2 2" xfId="292" xr:uid="{00000000-0005-0000-0000-000022010000}"/>
    <cellStyle name="Обычный 15 2 2 2" xfId="293" xr:uid="{00000000-0005-0000-0000-000023010000}"/>
    <cellStyle name="Обычный 15 2 2 2 2" xfId="294" xr:uid="{00000000-0005-0000-0000-000024010000}"/>
    <cellStyle name="Обычный 15 2 2 3" xfId="295" xr:uid="{00000000-0005-0000-0000-000025010000}"/>
    <cellStyle name="Обычный 15 2 3" xfId="296" xr:uid="{00000000-0005-0000-0000-000026010000}"/>
    <cellStyle name="Обычный 15 2 3 2" xfId="297" xr:uid="{00000000-0005-0000-0000-000027010000}"/>
    <cellStyle name="Обычный 15 2 4" xfId="298" xr:uid="{00000000-0005-0000-0000-000028010000}"/>
    <cellStyle name="Обычный 15 3" xfId="299" xr:uid="{00000000-0005-0000-0000-000029010000}"/>
    <cellStyle name="Обычный 15 3 2" xfId="300" xr:uid="{00000000-0005-0000-0000-00002A010000}"/>
    <cellStyle name="Обычный 15 3 2 2" xfId="301" xr:uid="{00000000-0005-0000-0000-00002B010000}"/>
    <cellStyle name="Обычный 15 3 3" xfId="302" xr:uid="{00000000-0005-0000-0000-00002C010000}"/>
    <cellStyle name="Обычный 15 4" xfId="303" xr:uid="{00000000-0005-0000-0000-00002D010000}"/>
    <cellStyle name="Обычный 15 4 2" xfId="304" xr:uid="{00000000-0005-0000-0000-00002E010000}"/>
    <cellStyle name="Обычный 15 5" xfId="305" xr:uid="{00000000-0005-0000-0000-00002F010000}"/>
    <cellStyle name="Обычный 16" xfId="306" xr:uid="{00000000-0005-0000-0000-000030010000}"/>
    <cellStyle name="Обычный 16 2" xfId="307" xr:uid="{00000000-0005-0000-0000-000031010000}"/>
    <cellStyle name="Обычный 16 2 2" xfId="308" xr:uid="{00000000-0005-0000-0000-000032010000}"/>
    <cellStyle name="Обычный 16 2 2 2" xfId="309" xr:uid="{00000000-0005-0000-0000-000033010000}"/>
    <cellStyle name="Обычный 16 2 2 2 2" xfId="310" xr:uid="{00000000-0005-0000-0000-000034010000}"/>
    <cellStyle name="Обычный 16 2 2 3" xfId="311" xr:uid="{00000000-0005-0000-0000-000035010000}"/>
    <cellStyle name="Обычный 16 2 3" xfId="312" xr:uid="{00000000-0005-0000-0000-000036010000}"/>
    <cellStyle name="Обычный 16 2 3 2" xfId="313" xr:uid="{00000000-0005-0000-0000-000037010000}"/>
    <cellStyle name="Обычный 16 2 4" xfId="314" xr:uid="{00000000-0005-0000-0000-000038010000}"/>
    <cellStyle name="Обычный 16 3" xfId="315" xr:uid="{00000000-0005-0000-0000-000039010000}"/>
    <cellStyle name="Обычный 16 3 2" xfId="316" xr:uid="{00000000-0005-0000-0000-00003A010000}"/>
    <cellStyle name="Обычный 16 3 2 2" xfId="317" xr:uid="{00000000-0005-0000-0000-00003B010000}"/>
    <cellStyle name="Обычный 16 3 3" xfId="318" xr:uid="{00000000-0005-0000-0000-00003C010000}"/>
    <cellStyle name="Обычный 16 4" xfId="319" xr:uid="{00000000-0005-0000-0000-00003D010000}"/>
    <cellStyle name="Обычный 16 4 2" xfId="320" xr:uid="{00000000-0005-0000-0000-00003E010000}"/>
    <cellStyle name="Обычный 16 5" xfId="321" xr:uid="{00000000-0005-0000-0000-00003F010000}"/>
    <cellStyle name="Обычный 16 6 2" xfId="322" xr:uid="{00000000-0005-0000-0000-000040010000}"/>
    <cellStyle name="Обычный 16 6 2 2" xfId="323" xr:uid="{00000000-0005-0000-0000-000041010000}"/>
    <cellStyle name="Обычный 16 6 2 2 2" xfId="324" xr:uid="{00000000-0005-0000-0000-000042010000}"/>
    <cellStyle name="Обычный 16 6 2 2 2 2" xfId="325" xr:uid="{00000000-0005-0000-0000-000043010000}"/>
    <cellStyle name="Обычный 16 6 2 2 2 2 2" xfId="326" xr:uid="{00000000-0005-0000-0000-000044010000}"/>
    <cellStyle name="Обычный 16 6 2 2 2 3" xfId="327" xr:uid="{00000000-0005-0000-0000-000045010000}"/>
    <cellStyle name="Обычный 16 6 2 2 3" xfId="328" xr:uid="{00000000-0005-0000-0000-000046010000}"/>
    <cellStyle name="Обычный 16 6 2 2 3 2" xfId="329" xr:uid="{00000000-0005-0000-0000-000047010000}"/>
    <cellStyle name="Обычный 16 6 2 2 4" xfId="330" xr:uid="{00000000-0005-0000-0000-000048010000}"/>
    <cellStyle name="Обычный 16 6 2 3" xfId="331" xr:uid="{00000000-0005-0000-0000-000049010000}"/>
    <cellStyle name="Обычный 16 6 2 3 2" xfId="332" xr:uid="{00000000-0005-0000-0000-00004A010000}"/>
    <cellStyle name="Обычный 16 6 2 3 2 2" xfId="333" xr:uid="{00000000-0005-0000-0000-00004B010000}"/>
    <cellStyle name="Обычный 16 6 2 3 3" xfId="334" xr:uid="{00000000-0005-0000-0000-00004C010000}"/>
    <cellStyle name="Обычный 16 6 2 3 4" xfId="335" xr:uid="{00000000-0005-0000-0000-00004D010000}"/>
    <cellStyle name="Обычный 16 6 2 4" xfId="336" xr:uid="{00000000-0005-0000-0000-00004E010000}"/>
    <cellStyle name="Обычный 16 6 2 4 2" xfId="337" xr:uid="{00000000-0005-0000-0000-00004F010000}"/>
    <cellStyle name="Обычный 16 6 2 5" xfId="338" xr:uid="{00000000-0005-0000-0000-000050010000}"/>
    <cellStyle name="Обычный 17" xfId="339" xr:uid="{00000000-0005-0000-0000-000051010000}"/>
    <cellStyle name="Обычный 17 2" xfId="340" xr:uid="{00000000-0005-0000-0000-000052010000}"/>
    <cellStyle name="Обычный 17 2 2" xfId="341" xr:uid="{00000000-0005-0000-0000-000053010000}"/>
    <cellStyle name="Обычный 17 2 2 2" xfId="342" xr:uid="{00000000-0005-0000-0000-000054010000}"/>
    <cellStyle name="Обычный 17 2 2 2 2" xfId="343" xr:uid="{00000000-0005-0000-0000-000055010000}"/>
    <cellStyle name="Обычный 17 2 2 3" xfId="344" xr:uid="{00000000-0005-0000-0000-000056010000}"/>
    <cellStyle name="Обычный 17 2 3" xfId="345" xr:uid="{00000000-0005-0000-0000-000057010000}"/>
    <cellStyle name="Обычный 17 2 3 2" xfId="346" xr:uid="{00000000-0005-0000-0000-000058010000}"/>
    <cellStyle name="Обычный 17 2 4" xfId="347" xr:uid="{00000000-0005-0000-0000-000059010000}"/>
    <cellStyle name="Обычный 17 3" xfId="348" xr:uid="{00000000-0005-0000-0000-00005A010000}"/>
    <cellStyle name="Обычный 17 3 2" xfId="349" xr:uid="{00000000-0005-0000-0000-00005B010000}"/>
    <cellStyle name="Обычный 17 3 2 2" xfId="350" xr:uid="{00000000-0005-0000-0000-00005C010000}"/>
    <cellStyle name="Обычный 17 3 3" xfId="351" xr:uid="{00000000-0005-0000-0000-00005D010000}"/>
    <cellStyle name="Обычный 17 4" xfId="352" xr:uid="{00000000-0005-0000-0000-00005E010000}"/>
    <cellStyle name="Обычный 17 4 2" xfId="353" xr:uid="{00000000-0005-0000-0000-00005F010000}"/>
    <cellStyle name="Обычный 17 5" xfId="354" xr:uid="{00000000-0005-0000-0000-000060010000}"/>
    <cellStyle name="Обычный 17 6" xfId="355" xr:uid="{00000000-0005-0000-0000-000061010000}"/>
    <cellStyle name="Обычный 18" xfId="356" xr:uid="{00000000-0005-0000-0000-000062010000}"/>
    <cellStyle name="Обычный 18 2" xfId="357" xr:uid="{00000000-0005-0000-0000-000063010000}"/>
    <cellStyle name="Обычный 18 2 2" xfId="358" xr:uid="{00000000-0005-0000-0000-000064010000}"/>
    <cellStyle name="Обычный 18 2 2 2" xfId="359" xr:uid="{00000000-0005-0000-0000-000065010000}"/>
    <cellStyle name="Обычный 18 2 2 2 2" xfId="360" xr:uid="{00000000-0005-0000-0000-000066010000}"/>
    <cellStyle name="Обычный 18 2 2 3" xfId="361" xr:uid="{00000000-0005-0000-0000-000067010000}"/>
    <cellStyle name="Обычный 18 2 3" xfId="362" xr:uid="{00000000-0005-0000-0000-000068010000}"/>
    <cellStyle name="Обычный 18 2 3 2" xfId="363" xr:uid="{00000000-0005-0000-0000-000069010000}"/>
    <cellStyle name="Обычный 18 2 4" xfId="364" xr:uid="{00000000-0005-0000-0000-00006A010000}"/>
    <cellStyle name="Обычный 18 3" xfId="365" xr:uid="{00000000-0005-0000-0000-00006B010000}"/>
    <cellStyle name="Обычный 18 3 2" xfId="366" xr:uid="{00000000-0005-0000-0000-00006C010000}"/>
    <cellStyle name="Обычный 18 3 2 2" xfId="367" xr:uid="{00000000-0005-0000-0000-00006D010000}"/>
    <cellStyle name="Обычный 18 3 3" xfId="368" xr:uid="{00000000-0005-0000-0000-00006E010000}"/>
    <cellStyle name="Обычный 18 4" xfId="369" xr:uid="{00000000-0005-0000-0000-00006F010000}"/>
    <cellStyle name="Обычный 18 4 2" xfId="370" xr:uid="{00000000-0005-0000-0000-000070010000}"/>
    <cellStyle name="Обычный 18 5" xfId="371" xr:uid="{00000000-0005-0000-0000-000071010000}"/>
    <cellStyle name="Обычный 19" xfId="372" xr:uid="{00000000-0005-0000-0000-000072010000}"/>
    <cellStyle name="Обычный 19 2" xfId="373" xr:uid="{00000000-0005-0000-0000-000073010000}"/>
    <cellStyle name="Обычный 19 2 2" xfId="374" xr:uid="{00000000-0005-0000-0000-000074010000}"/>
    <cellStyle name="Обычный 19 2 2 2" xfId="375" xr:uid="{00000000-0005-0000-0000-000075010000}"/>
    <cellStyle name="Обычный 19 2 2 2 2" xfId="376" xr:uid="{00000000-0005-0000-0000-000076010000}"/>
    <cellStyle name="Обычный 19 2 2 3" xfId="377" xr:uid="{00000000-0005-0000-0000-000077010000}"/>
    <cellStyle name="Обычный 19 2 3" xfId="378" xr:uid="{00000000-0005-0000-0000-000078010000}"/>
    <cellStyle name="Обычный 19 2 3 2" xfId="379" xr:uid="{00000000-0005-0000-0000-000079010000}"/>
    <cellStyle name="Обычный 19 2 4" xfId="380" xr:uid="{00000000-0005-0000-0000-00007A010000}"/>
    <cellStyle name="Обычный 19 3" xfId="381" xr:uid="{00000000-0005-0000-0000-00007B010000}"/>
    <cellStyle name="Обычный 19 3 2" xfId="382" xr:uid="{00000000-0005-0000-0000-00007C010000}"/>
    <cellStyle name="Обычный 19 3 2 2" xfId="383" xr:uid="{00000000-0005-0000-0000-00007D010000}"/>
    <cellStyle name="Обычный 19 3 3" xfId="384" xr:uid="{00000000-0005-0000-0000-00007E010000}"/>
    <cellStyle name="Обычный 19 4" xfId="385" xr:uid="{00000000-0005-0000-0000-00007F010000}"/>
    <cellStyle name="Обычный 19 4 2" xfId="386" xr:uid="{00000000-0005-0000-0000-000080010000}"/>
    <cellStyle name="Обычный 19 5" xfId="387" xr:uid="{00000000-0005-0000-0000-000081010000}"/>
    <cellStyle name="Обычный 2" xfId="388" xr:uid="{00000000-0005-0000-0000-000082010000}"/>
    <cellStyle name="Обычный 2 2" xfId="1" xr:uid="{00000000-0005-0000-0000-000083010000}"/>
    <cellStyle name="Обычный 2 2 2" xfId="389" xr:uid="{00000000-0005-0000-0000-000084010000}"/>
    <cellStyle name="Обычный 2 2 2 2" xfId="390" xr:uid="{00000000-0005-0000-0000-000085010000}"/>
    <cellStyle name="Обычный 2 2 2 2 2" xfId="391" xr:uid="{00000000-0005-0000-0000-000086010000}"/>
    <cellStyle name="Обычный 2 2 2 2 2 2" xfId="392" xr:uid="{00000000-0005-0000-0000-000087010000}"/>
    <cellStyle name="Обычный 2 2 2 2 3" xfId="393" xr:uid="{00000000-0005-0000-0000-000088010000}"/>
    <cellStyle name="Обычный 2 2 2 3" xfId="394" xr:uid="{00000000-0005-0000-0000-000089010000}"/>
    <cellStyle name="Обычный 2 2 2 3 2" xfId="395" xr:uid="{00000000-0005-0000-0000-00008A010000}"/>
    <cellStyle name="Обычный 2 2 2 4" xfId="396" xr:uid="{00000000-0005-0000-0000-00008B010000}"/>
    <cellStyle name="Обычный 2 2 3" xfId="397" xr:uid="{00000000-0005-0000-0000-00008C010000}"/>
    <cellStyle name="Обычный 2 2 3 2" xfId="398" xr:uid="{00000000-0005-0000-0000-00008D010000}"/>
    <cellStyle name="Обычный 2 2 3 2 2" xfId="399" xr:uid="{00000000-0005-0000-0000-00008E010000}"/>
    <cellStyle name="Обычный 2 2 3 3" xfId="400" xr:uid="{00000000-0005-0000-0000-00008F010000}"/>
    <cellStyle name="Обычный 2 2 4" xfId="401" xr:uid="{00000000-0005-0000-0000-000090010000}"/>
    <cellStyle name="Обычный 2 2 4 2" xfId="402" xr:uid="{00000000-0005-0000-0000-000091010000}"/>
    <cellStyle name="Обычный 2 2 5" xfId="403" xr:uid="{00000000-0005-0000-0000-000092010000}"/>
    <cellStyle name="Обычный 2 2 6" xfId="404" xr:uid="{00000000-0005-0000-0000-000093010000}"/>
    <cellStyle name="Обычный 2 3" xfId="405" xr:uid="{00000000-0005-0000-0000-000094010000}"/>
    <cellStyle name="Обычный 2 3 2" xfId="406" xr:uid="{00000000-0005-0000-0000-000095010000}"/>
    <cellStyle name="Обычный 2 3 3" xfId="407" xr:uid="{00000000-0005-0000-0000-000096010000}"/>
    <cellStyle name="Обычный 2 3 3 2" xfId="408" xr:uid="{00000000-0005-0000-0000-000097010000}"/>
    <cellStyle name="Обычный 2 3 3 2 2" xfId="409" xr:uid="{00000000-0005-0000-0000-000098010000}"/>
    <cellStyle name="Обычный 2 3 3 2 2 2" xfId="410" xr:uid="{00000000-0005-0000-0000-000099010000}"/>
    <cellStyle name="Обычный 2 3 3 2 3" xfId="411" xr:uid="{00000000-0005-0000-0000-00009A010000}"/>
    <cellStyle name="Обычный 2 3 3 3" xfId="412" xr:uid="{00000000-0005-0000-0000-00009B010000}"/>
    <cellStyle name="Обычный 2 3 3 3 2" xfId="413" xr:uid="{00000000-0005-0000-0000-00009C010000}"/>
    <cellStyle name="Обычный 2 3 3 4" xfId="414" xr:uid="{00000000-0005-0000-0000-00009D010000}"/>
    <cellStyle name="Обычный 2 3 4" xfId="415" xr:uid="{00000000-0005-0000-0000-00009E010000}"/>
    <cellStyle name="Обычный 2 3 4 2" xfId="416" xr:uid="{00000000-0005-0000-0000-00009F010000}"/>
    <cellStyle name="Обычный 2 3 4 2 2" xfId="417" xr:uid="{00000000-0005-0000-0000-0000A0010000}"/>
    <cellStyle name="Обычный 2 3 4 3" xfId="418" xr:uid="{00000000-0005-0000-0000-0000A1010000}"/>
    <cellStyle name="Обычный 2 3 5" xfId="419" xr:uid="{00000000-0005-0000-0000-0000A2010000}"/>
    <cellStyle name="Обычный 2 3 5 2" xfId="420" xr:uid="{00000000-0005-0000-0000-0000A3010000}"/>
    <cellStyle name="Обычный 2 3 6" xfId="421" xr:uid="{00000000-0005-0000-0000-0000A4010000}"/>
    <cellStyle name="Обычный 2 4" xfId="422" xr:uid="{00000000-0005-0000-0000-0000A5010000}"/>
    <cellStyle name="Обычный 2 4 2" xfId="423" xr:uid="{00000000-0005-0000-0000-0000A6010000}"/>
    <cellStyle name="Обычный 2 4 2 2" xfId="424" xr:uid="{00000000-0005-0000-0000-0000A7010000}"/>
    <cellStyle name="Обычный 2 4 2 2 2" xfId="425" xr:uid="{00000000-0005-0000-0000-0000A8010000}"/>
    <cellStyle name="Обычный 2 4 2 2 2 2" xfId="426" xr:uid="{00000000-0005-0000-0000-0000A9010000}"/>
    <cellStyle name="Обычный 2 4 2 2 3" xfId="427" xr:uid="{00000000-0005-0000-0000-0000AA010000}"/>
    <cellStyle name="Обычный 2 4 2 3" xfId="428" xr:uid="{00000000-0005-0000-0000-0000AB010000}"/>
    <cellStyle name="Обычный 2 4 2 3 2" xfId="429" xr:uid="{00000000-0005-0000-0000-0000AC010000}"/>
    <cellStyle name="Обычный 2 4 2 4" xfId="430" xr:uid="{00000000-0005-0000-0000-0000AD010000}"/>
    <cellStyle name="Обычный 2 4 3" xfId="431" xr:uid="{00000000-0005-0000-0000-0000AE010000}"/>
    <cellStyle name="Обычный 2 4 3 2" xfId="432" xr:uid="{00000000-0005-0000-0000-0000AF010000}"/>
    <cellStyle name="Обычный 2 4 3 2 2" xfId="433" xr:uid="{00000000-0005-0000-0000-0000B0010000}"/>
    <cellStyle name="Обычный 2 4 3 3" xfId="434" xr:uid="{00000000-0005-0000-0000-0000B1010000}"/>
    <cellStyle name="Обычный 2 4 4" xfId="435" xr:uid="{00000000-0005-0000-0000-0000B2010000}"/>
    <cellStyle name="Обычный 2 4 4 2" xfId="436" xr:uid="{00000000-0005-0000-0000-0000B3010000}"/>
    <cellStyle name="Обычный 2 4 5" xfId="437" xr:uid="{00000000-0005-0000-0000-0000B4010000}"/>
    <cellStyle name="Обычный 2 5" xfId="438" xr:uid="{00000000-0005-0000-0000-0000B5010000}"/>
    <cellStyle name="Обычный 2 5 2" xfId="439" xr:uid="{00000000-0005-0000-0000-0000B6010000}"/>
    <cellStyle name="Обычный 2 5 2 2" xfId="440" xr:uid="{00000000-0005-0000-0000-0000B7010000}"/>
    <cellStyle name="Обычный 2 5 2 2 2" xfId="441" xr:uid="{00000000-0005-0000-0000-0000B8010000}"/>
    <cellStyle name="Обычный 2 5 2 2 2 2" xfId="442" xr:uid="{00000000-0005-0000-0000-0000B9010000}"/>
    <cellStyle name="Обычный 2 5 2 2 3" xfId="443" xr:uid="{00000000-0005-0000-0000-0000BA010000}"/>
    <cellStyle name="Обычный 2 5 2 3" xfId="444" xr:uid="{00000000-0005-0000-0000-0000BB010000}"/>
    <cellStyle name="Обычный 2 5 2 3 2" xfId="445" xr:uid="{00000000-0005-0000-0000-0000BC010000}"/>
    <cellStyle name="Обычный 2 5 2 4" xfId="446" xr:uid="{00000000-0005-0000-0000-0000BD010000}"/>
    <cellStyle name="Обычный 2 5 3" xfId="447" xr:uid="{00000000-0005-0000-0000-0000BE010000}"/>
    <cellStyle name="Обычный 2 5 3 2" xfId="448" xr:uid="{00000000-0005-0000-0000-0000BF010000}"/>
    <cellStyle name="Обычный 2 5 3 2 2" xfId="449" xr:uid="{00000000-0005-0000-0000-0000C0010000}"/>
    <cellStyle name="Обычный 2 5 3 3" xfId="450" xr:uid="{00000000-0005-0000-0000-0000C1010000}"/>
    <cellStyle name="Обычный 2 5 4" xfId="451" xr:uid="{00000000-0005-0000-0000-0000C2010000}"/>
    <cellStyle name="Обычный 2 5 4 2" xfId="452" xr:uid="{00000000-0005-0000-0000-0000C3010000}"/>
    <cellStyle name="Обычный 2 5 5" xfId="453" xr:uid="{00000000-0005-0000-0000-0000C4010000}"/>
    <cellStyle name="Обычный 2 6" xfId="454" xr:uid="{00000000-0005-0000-0000-0000C5010000}"/>
    <cellStyle name="Обычный 2 6 2" xfId="455" xr:uid="{00000000-0005-0000-0000-0000C6010000}"/>
    <cellStyle name="Обычный 2 6 2 2" xfId="456" xr:uid="{00000000-0005-0000-0000-0000C7010000}"/>
    <cellStyle name="Обычный 2 6 2 2 2" xfId="457" xr:uid="{00000000-0005-0000-0000-0000C8010000}"/>
    <cellStyle name="Обычный 2 6 2 2 2 2" xfId="458" xr:uid="{00000000-0005-0000-0000-0000C9010000}"/>
    <cellStyle name="Обычный 2 6 2 2 3" xfId="459" xr:uid="{00000000-0005-0000-0000-0000CA010000}"/>
    <cellStyle name="Обычный 2 6 2 3" xfId="460" xr:uid="{00000000-0005-0000-0000-0000CB010000}"/>
    <cellStyle name="Обычный 2 6 2 3 2" xfId="461" xr:uid="{00000000-0005-0000-0000-0000CC010000}"/>
    <cellStyle name="Обычный 2 6 2 4" xfId="462" xr:uid="{00000000-0005-0000-0000-0000CD010000}"/>
    <cellStyle name="Обычный 2 6 3" xfId="463" xr:uid="{00000000-0005-0000-0000-0000CE010000}"/>
    <cellStyle name="Обычный 2 6 3 2" xfId="464" xr:uid="{00000000-0005-0000-0000-0000CF010000}"/>
    <cellStyle name="Обычный 2 6 3 2 2" xfId="465" xr:uid="{00000000-0005-0000-0000-0000D0010000}"/>
    <cellStyle name="Обычный 2 6 3 3" xfId="466" xr:uid="{00000000-0005-0000-0000-0000D1010000}"/>
    <cellStyle name="Обычный 2 6 4" xfId="467" xr:uid="{00000000-0005-0000-0000-0000D2010000}"/>
    <cellStyle name="Обычный 2 6 4 2" xfId="468" xr:uid="{00000000-0005-0000-0000-0000D3010000}"/>
    <cellStyle name="Обычный 2 6 5" xfId="469" xr:uid="{00000000-0005-0000-0000-0000D4010000}"/>
    <cellStyle name="Обычный 2 7" xfId="470" xr:uid="{00000000-0005-0000-0000-0000D5010000}"/>
    <cellStyle name="Обычный 20" xfId="3" xr:uid="{00000000-0005-0000-0000-0000D6010000}"/>
    <cellStyle name="Обычный 20 2" xfId="471" xr:uid="{00000000-0005-0000-0000-0000D7010000}"/>
    <cellStyle name="Обычный 20 2 2" xfId="472" xr:uid="{00000000-0005-0000-0000-0000D8010000}"/>
    <cellStyle name="Обычный 20 2 2 2" xfId="473" xr:uid="{00000000-0005-0000-0000-0000D9010000}"/>
    <cellStyle name="Обычный 20 2 2 2 2" xfId="474" xr:uid="{00000000-0005-0000-0000-0000DA010000}"/>
    <cellStyle name="Обычный 20 2 2 3" xfId="475" xr:uid="{00000000-0005-0000-0000-0000DB010000}"/>
    <cellStyle name="Обычный 20 2 3" xfId="476" xr:uid="{00000000-0005-0000-0000-0000DC010000}"/>
    <cellStyle name="Обычный 20 2 3 2" xfId="477" xr:uid="{00000000-0005-0000-0000-0000DD010000}"/>
    <cellStyle name="Обычный 20 2 4" xfId="478" xr:uid="{00000000-0005-0000-0000-0000DE010000}"/>
    <cellStyle name="Обычный 20 3" xfId="479" xr:uid="{00000000-0005-0000-0000-0000DF010000}"/>
    <cellStyle name="Обычный 20 3 2" xfId="480" xr:uid="{00000000-0005-0000-0000-0000E0010000}"/>
    <cellStyle name="Обычный 20 3 2 2" xfId="481" xr:uid="{00000000-0005-0000-0000-0000E1010000}"/>
    <cellStyle name="Обычный 20 3 3" xfId="482" xr:uid="{00000000-0005-0000-0000-0000E2010000}"/>
    <cellStyle name="Обычный 20 4" xfId="483" xr:uid="{00000000-0005-0000-0000-0000E3010000}"/>
    <cellStyle name="Обычный 20 4 2" xfId="484" xr:uid="{00000000-0005-0000-0000-0000E4010000}"/>
    <cellStyle name="Обычный 20 5" xfId="485" xr:uid="{00000000-0005-0000-0000-0000E5010000}"/>
    <cellStyle name="Обычный 21" xfId="486" xr:uid="{00000000-0005-0000-0000-0000E6010000}"/>
    <cellStyle name="Обычный 21 2" xfId="487" xr:uid="{00000000-0005-0000-0000-0000E7010000}"/>
    <cellStyle name="Обычный 21 2 2" xfId="488" xr:uid="{00000000-0005-0000-0000-0000E8010000}"/>
    <cellStyle name="Обычный 21 2 2 2" xfId="489" xr:uid="{00000000-0005-0000-0000-0000E9010000}"/>
    <cellStyle name="Обычный 21 2 2 2 2" xfId="490" xr:uid="{00000000-0005-0000-0000-0000EA010000}"/>
    <cellStyle name="Обычный 21 2 2 3" xfId="491" xr:uid="{00000000-0005-0000-0000-0000EB010000}"/>
    <cellStyle name="Обычный 21 2 3" xfId="492" xr:uid="{00000000-0005-0000-0000-0000EC010000}"/>
    <cellStyle name="Обычный 21 2 3 2" xfId="493" xr:uid="{00000000-0005-0000-0000-0000ED010000}"/>
    <cellStyle name="Обычный 21 2 4" xfId="494" xr:uid="{00000000-0005-0000-0000-0000EE010000}"/>
    <cellStyle name="Обычный 21 3" xfId="495" xr:uid="{00000000-0005-0000-0000-0000EF010000}"/>
    <cellStyle name="Обычный 21 3 2" xfId="496" xr:uid="{00000000-0005-0000-0000-0000F0010000}"/>
    <cellStyle name="Обычный 21 3 2 2" xfId="497" xr:uid="{00000000-0005-0000-0000-0000F1010000}"/>
    <cellStyle name="Обычный 21 3 3" xfId="498" xr:uid="{00000000-0005-0000-0000-0000F2010000}"/>
    <cellStyle name="Обычный 21 4" xfId="499" xr:uid="{00000000-0005-0000-0000-0000F3010000}"/>
    <cellStyle name="Обычный 21 4 2" xfId="500" xr:uid="{00000000-0005-0000-0000-0000F4010000}"/>
    <cellStyle name="Обычный 21 5" xfId="501" xr:uid="{00000000-0005-0000-0000-0000F5010000}"/>
    <cellStyle name="Обычный 22" xfId="502" xr:uid="{00000000-0005-0000-0000-0000F6010000}"/>
    <cellStyle name="Обычный 22 2" xfId="503" xr:uid="{00000000-0005-0000-0000-0000F7010000}"/>
    <cellStyle name="Обычный 22 2 2" xfId="504" xr:uid="{00000000-0005-0000-0000-0000F8010000}"/>
    <cellStyle name="Обычный 22 2 2 2" xfId="505" xr:uid="{00000000-0005-0000-0000-0000F9010000}"/>
    <cellStyle name="Обычный 22 2 2 2 2" xfId="506" xr:uid="{00000000-0005-0000-0000-0000FA010000}"/>
    <cellStyle name="Обычный 22 2 2 3" xfId="507" xr:uid="{00000000-0005-0000-0000-0000FB010000}"/>
    <cellStyle name="Обычный 22 2 3" xfId="508" xr:uid="{00000000-0005-0000-0000-0000FC010000}"/>
    <cellStyle name="Обычный 22 2 3 2" xfId="509" xr:uid="{00000000-0005-0000-0000-0000FD010000}"/>
    <cellStyle name="Обычный 22 2 4" xfId="510" xr:uid="{00000000-0005-0000-0000-0000FE010000}"/>
    <cellStyle name="Обычный 22 3" xfId="511" xr:uid="{00000000-0005-0000-0000-0000FF010000}"/>
    <cellStyle name="Обычный 22 3 2" xfId="512" xr:uid="{00000000-0005-0000-0000-000000020000}"/>
    <cellStyle name="Обычный 22 3 2 2" xfId="513" xr:uid="{00000000-0005-0000-0000-000001020000}"/>
    <cellStyle name="Обычный 22 3 3" xfId="514" xr:uid="{00000000-0005-0000-0000-000002020000}"/>
    <cellStyle name="Обычный 22 4" xfId="515" xr:uid="{00000000-0005-0000-0000-000003020000}"/>
    <cellStyle name="Обычный 22 4 2" xfId="516" xr:uid="{00000000-0005-0000-0000-000004020000}"/>
    <cellStyle name="Обычный 22 5" xfId="517" xr:uid="{00000000-0005-0000-0000-000005020000}"/>
    <cellStyle name="Обычный 23" xfId="518" xr:uid="{00000000-0005-0000-0000-000006020000}"/>
    <cellStyle name="Обычный 23 2" xfId="519" xr:uid="{00000000-0005-0000-0000-000007020000}"/>
    <cellStyle name="Обычный 23 2 2" xfId="520" xr:uid="{00000000-0005-0000-0000-000008020000}"/>
    <cellStyle name="Обычный 23 2 2 2" xfId="521" xr:uid="{00000000-0005-0000-0000-000009020000}"/>
    <cellStyle name="Обычный 23 2 2 2 2" xfId="522" xr:uid="{00000000-0005-0000-0000-00000A020000}"/>
    <cellStyle name="Обычный 23 2 2 3" xfId="523" xr:uid="{00000000-0005-0000-0000-00000B020000}"/>
    <cellStyle name="Обычный 23 2 3" xfId="524" xr:uid="{00000000-0005-0000-0000-00000C020000}"/>
    <cellStyle name="Обычный 23 2 3 2" xfId="525" xr:uid="{00000000-0005-0000-0000-00000D020000}"/>
    <cellStyle name="Обычный 23 2 4" xfId="526" xr:uid="{00000000-0005-0000-0000-00000E020000}"/>
    <cellStyle name="Обычный 23 3" xfId="527" xr:uid="{00000000-0005-0000-0000-00000F020000}"/>
    <cellStyle name="Обычный 23 3 2" xfId="528" xr:uid="{00000000-0005-0000-0000-000010020000}"/>
    <cellStyle name="Обычный 23 3 2 2" xfId="529" xr:uid="{00000000-0005-0000-0000-000011020000}"/>
    <cellStyle name="Обычный 23 3 3" xfId="530" xr:uid="{00000000-0005-0000-0000-000012020000}"/>
    <cellStyle name="Обычный 23 4" xfId="531" xr:uid="{00000000-0005-0000-0000-000013020000}"/>
    <cellStyle name="Обычный 23 4 2" xfId="532" xr:uid="{00000000-0005-0000-0000-000014020000}"/>
    <cellStyle name="Обычный 23 5" xfId="533" xr:uid="{00000000-0005-0000-0000-000015020000}"/>
    <cellStyle name="Обычный 24" xfId="534" xr:uid="{00000000-0005-0000-0000-000016020000}"/>
    <cellStyle name="Обычный 25" xfId="535" xr:uid="{00000000-0005-0000-0000-000017020000}"/>
    <cellStyle name="Обычный 25 2" xfId="536" xr:uid="{00000000-0005-0000-0000-000018020000}"/>
    <cellStyle name="Обычный 25 2 2" xfId="537" xr:uid="{00000000-0005-0000-0000-000019020000}"/>
    <cellStyle name="Обычный 25 2 2 2" xfId="538" xr:uid="{00000000-0005-0000-0000-00001A020000}"/>
    <cellStyle name="Обычный 25 2 2 2 2" xfId="539" xr:uid="{00000000-0005-0000-0000-00001B020000}"/>
    <cellStyle name="Обычный 25 2 2 3" xfId="540" xr:uid="{00000000-0005-0000-0000-00001C020000}"/>
    <cellStyle name="Обычный 25 2 3" xfId="541" xr:uid="{00000000-0005-0000-0000-00001D020000}"/>
    <cellStyle name="Обычный 25 2 3 2" xfId="542" xr:uid="{00000000-0005-0000-0000-00001E020000}"/>
    <cellStyle name="Обычный 25 2 4" xfId="543" xr:uid="{00000000-0005-0000-0000-00001F020000}"/>
    <cellStyle name="Обычный 25 3" xfId="544" xr:uid="{00000000-0005-0000-0000-000020020000}"/>
    <cellStyle name="Обычный 25 3 2" xfId="545" xr:uid="{00000000-0005-0000-0000-000021020000}"/>
    <cellStyle name="Обычный 25 3 2 2" xfId="546" xr:uid="{00000000-0005-0000-0000-000022020000}"/>
    <cellStyle name="Обычный 25 3 3" xfId="547" xr:uid="{00000000-0005-0000-0000-000023020000}"/>
    <cellStyle name="Обычный 25 4" xfId="548" xr:uid="{00000000-0005-0000-0000-000024020000}"/>
    <cellStyle name="Обычный 25 4 2" xfId="549" xr:uid="{00000000-0005-0000-0000-000025020000}"/>
    <cellStyle name="Обычный 25 5" xfId="550" xr:uid="{00000000-0005-0000-0000-000026020000}"/>
    <cellStyle name="Обычный 26" xfId="551" xr:uid="{00000000-0005-0000-0000-000027020000}"/>
    <cellStyle name="Обычный 26 2" xfId="552" xr:uid="{00000000-0005-0000-0000-000028020000}"/>
    <cellStyle name="Обычный 27" xfId="553" xr:uid="{00000000-0005-0000-0000-000029020000}"/>
    <cellStyle name="Обычный 27 2" xfId="554" xr:uid="{00000000-0005-0000-0000-00002A020000}"/>
    <cellStyle name="Обычный 28" xfId="555" xr:uid="{00000000-0005-0000-0000-00002B020000}"/>
    <cellStyle name="Обычный 28 2" xfId="556" xr:uid="{00000000-0005-0000-0000-00002C020000}"/>
    <cellStyle name="Обычный 29" xfId="557" xr:uid="{00000000-0005-0000-0000-00002D020000}"/>
    <cellStyle name="Обычный 29 2" xfId="558" xr:uid="{00000000-0005-0000-0000-00002E020000}"/>
    <cellStyle name="Обычный 3" xfId="559" xr:uid="{00000000-0005-0000-0000-00002F020000}"/>
    <cellStyle name="Обычный 3 2" xfId="560" xr:uid="{00000000-0005-0000-0000-000030020000}"/>
    <cellStyle name="Обычный 3 3" xfId="561" xr:uid="{00000000-0005-0000-0000-000031020000}"/>
    <cellStyle name="Обычный 30" xfId="562" xr:uid="{00000000-0005-0000-0000-000032020000}"/>
    <cellStyle name="Обычный 30 2" xfId="563" xr:uid="{00000000-0005-0000-0000-000033020000}"/>
    <cellStyle name="Обычный 31" xfId="564" xr:uid="{00000000-0005-0000-0000-000034020000}"/>
    <cellStyle name="Обычный 32" xfId="565" xr:uid="{00000000-0005-0000-0000-000035020000}"/>
    <cellStyle name="Обычный 4" xfId="566" xr:uid="{00000000-0005-0000-0000-000036020000}"/>
    <cellStyle name="Обычный 4 2" xfId="567" xr:uid="{00000000-0005-0000-0000-000037020000}"/>
    <cellStyle name="Обычный 4 3" xfId="568" xr:uid="{00000000-0005-0000-0000-000038020000}"/>
    <cellStyle name="Обычный 4 3 2" xfId="569" xr:uid="{00000000-0005-0000-0000-000039020000}"/>
    <cellStyle name="Обычный 4 3 2 2" xfId="570" xr:uid="{00000000-0005-0000-0000-00003A020000}"/>
    <cellStyle name="Обычный 4 3 2 2 2" xfId="571" xr:uid="{00000000-0005-0000-0000-00003B020000}"/>
    <cellStyle name="Обычный 4 3 2 2 2 2" xfId="572" xr:uid="{00000000-0005-0000-0000-00003C020000}"/>
    <cellStyle name="Обычный 4 3 2 2 2 2 2" xfId="573" xr:uid="{00000000-0005-0000-0000-00003D020000}"/>
    <cellStyle name="Обычный 4 3 2 2 2 2 2 2" xfId="574" xr:uid="{00000000-0005-0000-0000-00003E020000}"/>
    <cellStyle name="Обычный 4 3 2 2 2 2 3" xfId="575" xr:uid="{00000000-0005-0000-0000-00003F020000}"/>
    <cellStyle name="Обычный 4 3 2 2 2 3" xfId="576" xr:uid="{00000000-0005-0000-0000-000040020000}"/>
    <cellStyle name="Обычный 4 3 2 2 2 3 2" xfId="577" xr:uid="{00000000-0005-0000-0000-000041020000}"/>
    <cellStyle name="Обычный 4 3 2 2 2 4" xfId="578" xr:uid="{00000000-0005-0000-0000-000042020000}"/>
    <cellStyle name="Обычный 4 3 2 2 3" xfId="579" xr:uid="{00000000-0005-0000-0000-000043020000}"/>
    <cellStyle name="Обычный 4 3 2 2 3 2" xfId="580" xr:uid="{00000000-0005-0000-0000-000044020000}"/>
    <cellStyle name="Обычный 4 3 2 2 3 2 2" xfId="581" xr:uid="{00000000-0005-0000-0000-000045020000}"/>
    <cellStyle name="Обычный 4 3 2 2 3 3" xfId="582" xr:uid="{00000000-0005-0000-0000-000046020000}"/>
    <cellStyle name="Обычный 4 3 2 2 4" xfId="583" xr:uid="{00000000-0005-0000-0000-000047020000}"/>
    <cellStyle name="Обычный 4 3 2 2 4 2" xfId="584" xr:uid="{00000000-0005-0000-0000-000048020000}"/>
    <cellStyle name="Обычный 4 3 2 2 5" xfId="585" xr:uid="{00000000-0005-0000-0000-000049020000}"/>
    <cellStyle name="Обычный 4 3 2 2 5 2" xfId="586" xr:uid="{00000000-0005-0000-0000-00004A020000}"/>
    <cellStyle name="Обычный 4 3 2 2 6" xfId="587" xr:uid="{00000000-0005-0000-0000-00004B020000}"/>
    <cellStyle name="Обычный 4 3 2 3" xfId="588" xr:uid="{00000000-0005-0000-0000-00004C020000}"/>
    <cellStyle name="Обычный 4 3 2 3 2" xfId="589" xr:uid="{00000000-0005-0000-0000-00004D020000}"/>
    <cellStyle name="Обычный 4 3 2 3 2 2" xfId="590" xr:uid="{00000000-0005-0000-0000-00004E020000}"/>
    <cellStyle name="Обычный 4 3 2 3 2 2 2" xfId="591" xr:uid="{00000000-0005-0000-0000-00004F020000}"/>
    <cellStyle name="Обычный 4 3 2 3 2 3" xfId="592" xr:uid="{00000000-0005-0000-0000-000050020000}"/>
    <cellStyle name="Обычный 4 3 2 3 3" xfId="593" xr:uid="{00000000-0005-0000-0000-000051020000}"/>
    <cellStyle name="Обычный 4 3 2 3 3 2" xfId="594" xr:uid="{00000000-0005-0000-0000-000052020000}"/>
    <cellStyle name="Обычный 4 3 2 3 4" xfId="595" xr:uid="{00000000-0005-0000-0000-000053020000}"/>
    <cellStyle name="Обычный 4 3 2 4" xfId="596" xr:uid="{00000000-0005-0000-0000-000054020000}"/>
    <cellStyle name="Обычный 4 3 2 4 2" xfId="597" xr:uid="{00000000-0005-0000-0000-000055020000}"/>
    <cellStyle name="Обычный 4 3 2 4 2 2" xfId="598" xr:uid="{00000000-0005-0000-0000-000056020000}"/>
    <cellStyle name="Обычный 4 3 2 4 3" xfId="599" xr:uid="{00000000-0005-0000-0000-000057020000}"/>
    <cellStyle name="Обычный 4 3 2 5" xfId="600" xr:uid="{00000000-0005-0000-0000-000058020000}"/>
    <cellStyle name="Обычный 4 3 2 5 2" xfId="601" xr:uid="{00000000-0005-0000-0000-000059020000}"/>
    <cellStyle name="Обычный 4 3 2 6" xfId="602" xr:uid="{00000000-0005-0000-0000-00005A020000}"/>
    <cellStyle name="Обычный 4 3 3" xfId="603" xr:uid="{00000000-0005-0000-0000-00005B020000}"/>
    <cellStyle name="Обычный 4 3 3 2" xfId="604" xr:uid="{00000000-0005-0000-0000-00005C020000}"/>
    <cellStyle name="Обычный 4 3 3 2 2" xfId="605" xr:uid="{00000000-0005-0000-0000-00005D020000}"/>
    <cellStyle name="Обычный 4 3 3 2 2 2" xfId="606" xr:uid="{00000000-0005-0000-0000-00005E020000}"/>
    <cellStyle name="Обычный 4 3 3 2 3" xfId="607" xr:uid="{00000000-0005-0000-0000-00005F020000}"/>
    <cellStyle name="Обычный 4 3 3 3" xfId="608" xr:uid="{00000000-0005-0000-0000-000060020000}"/>
    <cellStyle name="Обычный 4 3 3 3 2" xfId="609" xr:uid="{00000000-0005-0000-0000-000061020000}"/>
    <cellStyle name="Обычный 4 3 3 4" xfId="610" xr:uid="{00000000-0005-0000-0000-000062020000}"/>
    <cellStyle name="Обычный 4 3 4" xfId="611" xr:uid="{00000000-0005-0000-0000-000063020000}"/>
    <cellStyle name="Обычный 4 3 4 2" xfId="612" xr:uid="{00000000-0005-0000-0000-000064020000}"/>
    <cellStyle name="Обычный 4 3 4 2 2" xfId="613" xr:uid="{00000000-0005-0000-0000-000065020000}"/>
    <cellStyle name="Обычный 4 3 4 3" xfId="614" xr:uid="{00000000-0005-0000-0000-000066020000}"/>
    <cellStyle name="Обычный 4 3 5" xfId="615" xr:uid="{00000000-0005-0000-0000-000067020000}"/>
    <cellStyle name="Обычный 4 3 5 2" xfId="616" xr:uid="{00000000-0005-0000-0000-000068020000}"/>
    <cellStyle name="Обычный 4 3 6" xfId="617" xr:uid="{00000000-0005-0000-0000-000069020000}"/>
    <cellStyle name="Обычный 5" xfId="618" xr:uid="{00000000-0005-0000-0000-00006A020000}"/>
    <cellStyle name="Обычный 5 2" xfId="619" xr:uid="{00000000-0005-0000-0000-00006B020000}"/>
    <cellStyle name="Обычный 6" xfId="620" xr:uid="{00000000-0005-0000-0000-00006C020000}"/>
    <cellStyle name="Обычный 7" xfId="621" xr:uid="{00000000-0005-0000-0000-00006D020000}"/>
    <cellStyle name="Обычный 7 2" xfId="622" xr:uid="{00000000-0005-0000-0000-00006E020000}"/>
    <cellStyle name="Обычный 7 2 2" xfId="623" xr:uid="{00000000-0005-0000-0000-00006F020000}"/>
    <cellStyle name="Обычный 7 2 2 2" xfId="624" xr:uid="{00000000-0005-0000-0000-000070020000}"/>
    <cellStyle name="Обычный 7 2 2 2 2" xfId="625" xr:uid="{00000000-0005-0000-0000-000071020000}"/>
    <cellStyle name="Обычный 7 2 2 2 2 2" xfId="626" xr:uid="{00000000-0005-0000-0000-000072020000}"/>
    <cellStyle name="Обычный 7 2 2 2 3" xfId="627" xr:uid="{00000000-0005-0000-0000-000073020000}"/>
    <cellStyle name="Обычный 7 2 2 3" xfId="628" xr:uid="{00000000-0005-0000-0000-000074020000}"/>
    <cellStyle name="Обычный 7 2 2 3 2" xfId="629" xr:uid="{00000000-0005-0000-0000-000075020000}"/>
    <cellStyle name="Обычный 7 2 2 4" xfId="630" xr:uid="{00000000-0005-0000-0000-000076020000}"/>
    <cellStyle name="Обычный 7 2 3" xfId="631" xr:uid="{00000000-0005-0000-0000-000077020000}"/>
    <cellStyle name="Обычный 7 2 3 2" xfId="632" xr:uid="{00000000-0005-0000-0000-000078020000}"/>
    <cellStyle name="Обычный 7 2 3 2 2" xfId="633" xr:uid="{00000000-0005-0000-0000-000079020000}"/>
    <cellStyle name="Обычный 7 2 3 3" xfId="634" xr:uid="{00000000-0005-0000-0000-00007A020000}"/>
    <cellStyle name="Обычный 7 2 4" xfId="635" xr:uid="{00000000-0005-0000-0000-00007B020000}"/>
    <cellStyle name="Обычный 7 2 4 2" xfId="636" xr:uid="{00000000-0005-0000-0000-00007C020000}"/>
    <cellStyle name="Обычный 7 2 5" xfId="637" xr:uid="{00000000-0005-0000-0000-00007D020000}"/>
    <cellStyle name="Обычный 7 3" xfId="638" xr:uid="{00000000-0005-0000-0000-00007E020000}"/>
    <cellStyle name="Обычный 8" xfId="639" xr:uid="{00000000-0005-0000-0000-00007F020000}"/>
    <cellStyle name="Обычный 8 2" xfId="640" xr:uid="{00000000-0005-0000-0000-000080020000}"/>
    <cellStyle name="Обычный 9" xfId="641" xr:uid="{00000000-0005-0000-0000-000081020000}"/>
    <cellStyle name="Обычный 9 2" xfId="642" xr:uid="{00000000-0005-0000-0000-000082020000}"/>
    <cellStyle name="Плохой 2" xfId="643" xr:uid="{00000000-0005-0000-0000-000083020000}"/>
    <cellStyle name="Пояснение 2" xfId="644" xr:uid="{00000000-0005-0000-0000-000084020000}"/>
    <cellStyle name="Примечание 2" xfId="645" xr:uid="{00000000-0005-0000-0000-000085020000}"/>
    <cellStyle name="Процентный 2" xfId="646" xr:uid="{00000000-0005-0000-0000-000086020000}"/>
    <cellStyle name="Процентный 2 2" xfId="647" xr:uid="{00000000-0005-0000-0000-000087020000}"/>
    <cellStyle name="Процентный 3" xfId="648" xr:uid="{00000000-0005-0000-0000-000088020000}"/>
    <cellStyle name="Процентный 3 2" xfId="649" xr:uid="{00000000-0005-0000-0000-000089020000}"/>
    <cellStyle name="Процентный 3 3" xfId="650" xr:uid="{00000000-0005-0000-0000-00008A020000}"/>
    <cellStyle name="Процентный 4" xfId="651" xr:uid="{00000000-0005-0000-0000-00008B020000}"/>
    <cellStyle name="Процентный 5" xfId="652" xr:uid="{00000000-0005-0000-0000-00008C020000}"/>
    <cellStyle name="Процентный 6" xfId="653" xr:uid="{00000000-0005-0000-0000-00008D020000}"/>
    <cellStyle name="Связанная ячейка 2" xfId="654" xr:uid="{00000000-0005-0000-0000-00008E020000}"/>
    <cellStyle name="Стиль 1" xfId="655" xr:uid="{00000000-0005-0000-0000-00008F020000}"/>
    <cellStyle name="Текст предупреждения 2" xfId="656" xr:uid="{00000000-0005-0000-0000-000090020000}"/>
    <cellStyle name="Финансовый 2" xfId="657" xr:uid="{00000000-0005-0000-0000-000091020000}"/>
    <cellStyle name="Финансовый 3" xfId="658" xr:uid="{00000000-0005-0000-0000-000092020000}"/>
    <cellStyle name="Финансовый 4" xfId="659" xr:uid="{00000000-0005-0000-0000-000093020000}"/>
    <cellStyle name="Финансовый 5" xfId="660" xr:uid="{00000000-0005-0000-0000-000094020000}"/>
    <cellStyle name="Финансовый 5 2" xfId="661" xr:uid="{00000000-0005-0000-0000-000095020000}"/>
    <cellStyle name="Финансовый 6" xfId="662" xr:uid="{00000000-0005-0000-0000-000096020000}"/>
    <cellStyle name="Хороший 2" xfId="663" xr:uid="{00000000-0005-0000-0000-000097020000}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11"/>
  <sheetViews>
    <sheetView view="pageBreakPreview" zoomScale="110" zoomScaleSheetLayoutView="110" workbookViewId="0">
      <pane xSplit="3" ySplit="10" topLeftCell="D529" activePane="bottomRight" state="frozen"/>
      <selection pane="topRight" activeCell="D1" sqref="D1"/>
      <selection pane="bottomLeft" activeCell="A11" sqref="A11"/>
      <selection pane="bottomRight" activeCell="A220" sqref="A220:L221"/>
    </sheetView>
  </sheetViews>
  <sheetFormatPr defaultColWidth="9.140625" defaultRowHeight="12.75" x14ac:dyDescent="0.2"/>
  <cols>
    <col min="1" max="1" width="14.7109375" style="134" customWidth="1"/>
    <col min="2" max="2" width="12.5703125" style="134" customWidth="1"/>
    <col min="3" max="3" width="44.7109375" style="134" customWidth="1"/>
    <col min="4" max="4" width="17.28515625" style="134" hidden="1" customWidth="1"/>
    <col min="5" max="5" width="15.140625" style="134" hidden="1" customWidth="1"/>
    <col min="6" max="6" width="16.7109375" style="134" customWidth="1"/>
    <col min="7" max="8" width="15.140625" style="134" hidden="1" customWidth="1"/>
    <col min="9" max="9" width="15.140625" style="134" customWidth="1"/>
    <col min="10" max="11" width="15.140625" style="134" hidden="1" customWidth="1"/>
    <col min="12" max="12" width="15.140625" style="134" customWidth="1"/>
    <col min="13" max="13" width="11.85546875" style="134" bestFit="1" customWidth="1"/>
    <col min="14" max="16384" width="9.140625" style="134"/>
  </cols>
  <sheetData>
    <row r="1" spans="1:13" x14ac:dyDescent="0.2">
      <c r="G1" s="460" t="s">
        <v>652</v>
      </c>
      <c r="H1" s="460"/>
      <c r="I1" s="460"/>
      <c r="J1" s="460"/>
      <c r="K1" s="460"/>
      <c r="L1" s="460"/>
    </row>
    <row r="2" spans="1:13" x14ac:dyDescent="0.2">
      <c r="G2" s="460" t="s">
        <v>587</v>
      </c>
      <c r="H2" s="460"/>
      <c r="I2" s="460"/>
      <c r="J2" s="460"/>
      <c r="K2" s="460"/>
      <c r="L2" s="460"/>
    </row>
    <row r="3" spans="1:13" x14ac:dyDescent="0.2">
      <c r="G3" s="460" t="s">
        <v>586</v>
      </c>
      <c r="H3" s="460"/>
      <c r="I3" s="460"/>
      <c r="J3" s="460"/>
      <c r="K3" s="460"/>
      <c r="L3" s="460"/>
    </row>
    <row r="4" spans="1:13" x14ac:dyDescent="0.2">
      <c r="G4" s="460" t="s">
        <v>585</v>
      </c>
      <c r="H4" s="460"/>
      <c r="I4" s="460"/>
      <c r="J4" s="460"/>
      <c r="K4" s="460"/>
      <c r="L4" s="460"/>
    </row>
    <row r="5" spans="1:13" x14ac:dyDescent="0.2">
      <c r="G5" s="461" t="s">
        <v>936</v>
      </c>
      <c r="H5" s="461"/>
      <c r="I5" s="461"/>
      <c r="J5" s="461"/>
      <c r="K5" s="461"/>
      <c r="L5" s="461"/>
    </row>
    <row r="6" spans="1:13" ht="33" customHeight="1" x14ac:dyDescent="0.2">
      <c r="A6" s="459" t="s">
        <v>738</v>
      </c>
      <c r="B6" s="459"/>
      <c r="C6" s="459"/>
      <c r="D6" s="459"/>
      <c r="E6" s="459"/>
      <c r="F6" s="459"/>
      <c r="G6" s="459"/>
      <c r="H6" s="459"/>
      <c r="I6" s="459"/>
      <c r="J6" s="459"/>
    </row>
    <row r="7" spans="1:13" x14ac:dyDescent="0.2">
      <c r="J7" s="123"/>
      <c r="K7" s="123"/>
      <c r="L7" s="123" t="s">
        <v>584</v>
      </c>
    </row>
    <row r="8" spans="1:13" ht="14.25" customHeight="1" x14ac:dyDescent="0.2">
      <c r="A8" s="457" t="s">
        <v>581</v>
      </c>
      <c r="B8" s="457" t="s">
        <v>580</v>
      </c>
      <c r="C8" s="457" t="s">
        <v>579</v>
      </c>
      <c r="D8" s="408" t="s">
        <v>578</v>
      </c>
      <c r="E8" s="408" t="s">
        <v>578</v>
      </c>
      <c r="F8" s="408" t="s">
        <v>578</v>
      </c>
      <c r="G8" s="121" t="s">
        <v>577</v>
      </c>
      <c r="H8" s="121" t="s">
        <v>577</v>
      </c>
      <c r="I8" s="121" t="s">
        <v>577</v>
      </c>
      <c r="J8" s="121" t="s">
        <v>576</v>
      </c>
      <c r="K8" s="121" t="s">
        <v>576</v>
      </c>
      <c r="L8" s="121" t="s">
        <v>576</v>
      </c>
    </row>
    <row r="9" spans="1:13" ht="26.25" customHeight="1" x14ac:dyDescent="0.2">
      <c r="A9" s="458"/>
      <c r="B9" s="458"/>
      <c r="C9" s="458"/>
      <c r="D9" s="272" t="s">
        <v>822</v>
      </c>
      <c r="E9" s="272" t="s">
        <v>823</v>
      </c>
      <c r="F9" s="272" t="s">
        <v>822</v>
      </c>
      <c r="G9" s="280" t="s">
        <v>822</v>
      </c>
      <c r="H9" s="272" t="s">
        <v>823</v>
      </c>
      <c r="I9" s="280" t="s">
        <v>822</v>
      </c>
      <c r="J9" s="280" t="s">
        <v>822</v>
      </c>
      <c r="K9" s="272" t="s">
        <v>823</v>
      </c>
      <c r="L9" s="280" t="s">
        <v>822</v>
      </c>
    </row>
    <row r="10" spans="1:13" ht="11.25" hidden="1" customHeight="1" x14ac:dyDescent="0.2">
      <c r="A10" s="133"/>
      <c r="B10" s="133"/>
      <c r="C10" s="133"/>
      <c r="D10" s="186" t="e">
        <f>D11-D12-D13-D14-D15</f>
        <v>#REF!</v>
      </c>
      <c r="E10" s="186" t="e">
        <f>E11-E12-E13-E14-E15</f>
        <v>#REF!</v>
      </c>
      <c r="F10" s="186" t="e">
        <f>F11-F12-F13-F14-F15</f>
        <v>#REF!</v>
      </c>
      <c r="G10" s="186" t="e">
        <f>G11-G12-G13-G14-G15</f>
        <v>#REF!</v>
      </c>
      <c r="H10" s="307"/>
      <c r="I10" s="186" t="e">
        <f>I11-I12-I13-I14-I15</f>
        <v>#REF!</v>
      </c>
      <c r="J10" s="186" t="e">
        <f>J11-J12-J13-J14-J15</f>
        <v>#REF!</v>
      </c>
      <c r="K10" s="186" t="e">
        <f>K11-K12-K13-K14-K15</f>
        <v>#REF!</v>
      </c>
      <c r="L10" s="186" t="e">
        <f>L11-L12-L13-L14-L15</f>
        <v>#REF!</v>
      </c>
    </row>
    <row r="11" spans="1:13" ht="25.5" x14ac:dyDescent="0.2">
      <c r="A11" s="96" t="s">
        <v>36</v>
      </c>
      <c r="B11" s="187"/>
      <c r="C11" s="3" t="s">
        <v>35</v>
      </c>
      <c r="D11" s="248">
        <f t="shared" ref="D11:L11" si="0">D16+D65+D183+D207+D229+D296+D312+D331+D358+D442+D483+D495+D517+D528</f>
        <v>1106627.6494799999</v>
      </c>
      <c r="E11" s="248">
        <f t="shared" si="0"/>
        <v>2934.3712599999999</v>
      </c>
      <c r="F11" s="248">
        <f t="shared" si="0"/>
        <v>1109562.0207400001</v>
      </c>
      <c r="G11" s="248">
        <f t="shared" si="0"/>
        <v>839132.78374999994</v>
      </c>
      <c r="H11" s="248">
        <f t="shared" si="0"/>
        <v>-4760.6069099999995</v>
      </c>
      <c r="I11" s="248">
        <f t="shared" si="0"/>
        <v>834372.17683999985</v>
      </c>
      <c r="J11" s="248">
        <f t="shared" si="0"/>
        <v>835528.10005999974</v>
      </c>
      <c r="K11" s="248">
        <f t="shared" si="0"/>
        <v>0</v>
      </c>
      <c r="L11" s="248">
        <f t="shared" si="0"/>
        <v>835528.10005999974</v>
      </c>
    </row>
    <row r="12" spans="1:13" hidden="1" x14ac:dyDescent="0.2">
      <c r="A12" s="96"/>
      <c r="B12" s="187"/>
      <c r="C12" s="3" t="s">
        <v>621</v>
      </c>
      <c r="D12" s="248" t="e">
        <f>D51+D53+D56+D106+D108+#REF!+D189+D203+D363+#REF!+D521+#REF!+#REF!</f>
        <v>#REF!</v>
      </c>
      <c r="E12" s="248" t="e">
        <f>E51+E53+E56+E106+E108+#REF!+E189+E203+E363+#REF!+E521+#REF!+#REF!</f>
        <v>#REF!</v>
      </c>
      <c r="F12" s="248" t="e">
        <f>F51+F53+F56+F106+F108+#REF!+F189+F203+F363+#REF!+F521+#REF!+#REF!</f>
        <v>#REF!</v>
      </c>
      <c r="G12" s="248" t="e">
        <f>G51+G53+G56+G106+G108+#REF!+G189+G203+G363+#REF!+G521+#REF!+#REF!</f>
        <v>#REF!</v>
      </c>
      <c r="H12" s="248" t="e">
        <f>H51+H53+H56+H106+H108+#REF!+H189+H203+H363+#REF!+H521+#REF!+#REF!</f>
        <v>#REF!</v>
      </c>
      <c r="I12" s="248" t="e">
        <f>I51+I53+I56+I106+I108+#REF!+I189+I203+I363+#REF!+I521+#REF!+#REF!</f>
        <v>#REF!</v>
      </c>
      <c r="J12" s="248" t="e">
        <f>J51+J53+J56+J106+J108+#REF!+J189+J203+J363+#REF!+J521+#REF!+#REF!</f>
        <v>#REF!</v>
      </c>
      <c r="K12" s="248" t="e">
        <f>K51+K53+K56+K106+K108+#REF!+K189+K203+K363+#REF!+K521+#REF!+#REF!</f>
        <v>#REF!</v>
      </c>
      <c r="L12" s="248" t="e">
        <f>L51+L53+L56+L106+L108+#REF!+L189+L203+L363+#REF!+L521+#REF!+#REF!</f>
        <v>#REF!</v>
      </c>
    </row>
    <row r="13" spans="1:13" hidden="1" x14ac:dyDescent="0.2">
      <c r="A13" s="96"/>
      <c r="B13" s="187"/>
      <c r="C13" s="3" t="s">
        <v>622</v>
      </c>
      <c r="D13" s="248" t="e">
        <f>D35+D38+D41+D43+D46+D49+D70+D73+D87+D91+D102+D104+D138+D149+D152+#REF!+D185+D190+D193+D195+D197+D224+#REF!+D323+D364+D457+#REF!+D493+D522+D534+#REF!+#REF!+D81+#REF!+#REF!+D304</f>
        <v>#REF!</v>
      </c>
      <c r="E13" s="248" t="e">
        <f>E35+E38+E41+E43+E46+E49+E70+E73+E87+E91+E102+E104+E138+E149+E152+#REF!+E185+E190+E193+E195+E197+E224+#REF!+E323+E364+E457+#REF!+E493+E522+E534+#REF!+#REF!+E81+#REF!+#REF!+E304</f>
        <v>#REF!</v>
      </c>
      <c r="F13" s="248" t="e">
        <f>F35+F38+F41+F43+F46+F49+F70+F73+F87+F91+F102+F104+F138+F149+F152+#REF!+F185+F190+F193+F195+F197+F224+#REF!+F323+F364+F457+#REF!+F493+F522+F534+#REF!+#REF!+F81+#REF!+#REF!+F304</f>
        <v>#REF!</v>
      </c>
      <c r="G13" s="248" t="e">
        <f>G35+G38+G41+G43+G46+G49+G70+G73+G87+G91+G102+G104+G138+G149+G152+#REF!+G185+G190+G193+G195+G197+G224+#REF!+G323+G364+G457+#REF!+G493+G522+G534+#REF!+#REF!+G81+#REF!+#REF!</f>
        <v>#REF!</v>
      </c>
      <c r="H13" s="248" t="e">
        <f>H35+H38+H41+H43+H46+H49+H70+H73+H87+H91+H102+H104+H138+H149+H152+#REF!+H185+H190+H193+H195+H197+H224+#REF!+H323+H364+H457+#REF!+H493+H522+H534+#REF!+#REF!+H81+#REF!+#REF!</f>
        <v>#REF!</v>
      </c>
      <c r="I13" s="248" t="e">
        <f>I35+I38+I41+I43+I46+I49+I70+I73+I87+I91+I102+I104+I138+I149+I152+#REF!+I185+I190+I193+I195+I197+I224+#REF!+I323+I364+I457+#REF!+I493+I522+I534+#REF!+#REF!+I81+#REF!+#REF!</f>
        <v>#REF!</v>
      </c>
      <c r="J13" s="248" t="e">
        <f>J35+J38+J41+J43+J46+J49+J70+J73+J87+J91+J102+J104+J138+J149+J152+#REF!+J185+J190+J193+J195+J197+J224+#REF!+J323+J364+J457+#REF!+J493+J522+J534+#REF!+#REF!+J81+#REF!+#REF!</f>
        <v>#REF!</v>
      </c>
      <c r="K13" s="248" t="e">
        <f>K35+K38+K41+K43+K46+K49+K70+K73+K87+K91+K102+K104+K138+K149+K152+#REF!+K185+K190+K193+K195+K197+K224+#REF!+K323+K364+K457+#REF!+K493+K522+K534+#REF!+#REF!+K81+#REF!+#REF!</f>
        <v>#REF!</v>
      </c>
      <c r="L13" s="248" t="e">
        <f>L35+L38+L41+L43+L46+L49+L70+L73+L87+L91+L102+L104+L138+L149+L152+#REF!+L185+L190+L193+L195+L197+L224+#REF!+L323+L364+L457+#REF!+L493+L522+L534+#REF!+#REF!+L81+#REF!+#REF!</f>
        <v>#REF!</v>
      </c>
    </row>
    <row r="14" spans="1:13" hidden="1" x14ac:dyDescent="0.2">
      <c r="A14" s="96"/>
      <c r="B14" s="187"/>
      <c r="C14" s="3" t="s">
        <v>623</v>
      </c>
      <c r="D14" s="248" t="e">
        <f>D19+D21+D25+D27+D31+D61+D63+D68+D75+D77+D85+D92+D94+D96+D98+D100+D112+D118+D120+D122+D124+D126+D128+D130+D134+D136+D144+D146+#REF!+#REF!+D181+D191+D205+D209+D211+D213+D216+D225+D228+D232+D235+D237+D240+D243+D246+D248+D250+#REF!+D263+D280+D283+D287+D291+D295+D299+D302+D309+D311+D316+D318+D324+D325+D327+D328+D330+D335+D337+D340+D348+D351+D353+D355+D357+D365+D373+D375+D377+D391+D393+D395+D397+D400+D402+#REF!+D408+D411+D423+D426+D428+#REF!+D432+D434+D446+D451+D458+D460+D462+D465+#REF!+D475+D479+D494+D498+D500+D502+D504+D508+D509+D512+D515+D523+D531+D535+D538+D258+D370+D386+D382+D405+D430+D82+D436+D268+D266+D219+D505+D378+D379+#REF!</f>
        <v>#REF!</v>
      </c>
      <c r="E14" s="248" t="e">
        <f>E19+E21+E25+E27+E31+E61+E63+E68+E75+E77+E85+E92+E94+E96+E98+E100+E112+E118+E120+E122+E124+E126+E128+E130+E134+E136+E144+E146+#REF!+#REF!+E181+E191+E205+E209+E211+E213+E216+E225+E228+E232+E235+E237+E240+E243+E246+E248+E250+#REF!+E263+E280+E283+E287+E291+E295+E299+E302+E309+E311+E316+E318+E324+E325+E327+E328+E330+E335+E337+E340+E348+E351+E353+E355+E357+E365+E373+E375+E377+E391+E393+E395+E397+E400+E402+#REF!+E408+E411+E423+E426+E428+#REF!+E432+E434+E446+E451+E458+E460+E462+E465+#REF!+E475+E479+E494+E498+E500+E502+E504+E508+E509+E512+E515+E523+E531+E535+E538+E258+E370+E386+E382+E405+E430+E82+E436+E268+E266+E219+E505+E378+E379+#REF!</f>
        <v>#REF!</v>
      </c>
      <c r="F14" s="248" t="e">
        <f>F19+F21+F25+F27+F31+F61+F63+F68+F75+F77+F85+F92+F94+F96+F98+F100+F112+F118+F120+F122+F124+F126+F128+F130+F134+F136+F144+F146+#REF!+#REF!+F181+F191+F205+F209+F211+F213+F216+F225+F228+F232+F235+F237+F240+F243+F246+F248+F250+#REF!+F263+F280+F283+F287+F291+F295+F299+F302+F309+F311+F316+F318+F324+F325+F327+F328+F330+F335+F337+F340+F348+F351+F353+F355+F357+F365+F373+F375+F377+F391+F393+F395+F397+F400+F402+#REF!+F408+F411+F423+F426+F428+#REF!+F432+F434+F446+F451+F458+F460+F462+F465+#REF!+F475+F479+F494+F498+F500+F502+F504+F508+F509+F512+F515+F523+F531+F535+F538+F258+F370+F386+F382+F405+F430+F82+F436+F268+F266+F219+F505+F378+F379+#REF!</f>
        <v>#REF!</v>
      </c>
      <c r="G14" s="248" t="e">
        <f>G19+G21+G25+G27+G31+G61+G63+G68+G75+G77+G85+G92+G94+G96+G98+G100+G112+G118+G120+G122+G124+G126+G128+G130+G134+G136+G144+G146+#REF!+#REF!+G181+G191+G205+G209+G211+G213+G216+G225+G228+G232+G235+G237+G240+G243+G246+G248+G250+#REF!+G263+G280+G283+G287+G291+G295+G299+G302+G309+G311+G316+G318+G324+G325+G327+G328+G330+G335+G337+G340+G348+G351+G353+G355+G357+G365+G373+G375+G377+G391+G393+G395+G397+G400+G402+#REF!+G408+G411+G423+G426+G428+#REF!+G432+G434+G446+G451+G458+G460+G462+G465+#REF!+G475+G479+G494+G498+G500+G502+G504+G508+G509+G512+G515+G523+G531+G535+G538+G258+G370+G386+G382+G405+G430+G82+G436+G268+G266+G219+G505+G378+G379+#REF!+G527</f>
        <v>#REF!</v>
      </c>
      <c r="H14" s="248" t="e">
        <f>H19+H21+H25+H27+H31+H61+H63+H68+H75+H77+H85+H92+H94+H96+H98+H100+H112+H118+H120+H122+H124+H126+H128+H130+H134+H136+H144+H146+#REF!+#REF!+H181+H191+H205+H209+H211+H213+H216+H225+H228+H232+H235+H237+H240+H243+H246+H248+H250+#REF!+H263+H280+H283+H287+H291+H295+H299+H302+H309+H311+H316+H318+H324+H325+H327+H328+H330+H335+H337+H340+H348+H351+H353+H355+H357+H365+H373+H375+H377+H391+H393+H395+H397+H400+H402+#REF!+H408+H411+H423+H426+H428+#REF!+H432+H434+H446+H451+H458+H460+H462+H465+#REF!+H475+H479+H494+H498+H500+H502+H504+H508+H509+H512+H515+H523+H531+H535+H538+H258+H370+H386+H382+H405+H430+H82+H436+H268+H266+H219+H505+H378+H379+#REF!+H527</f>
        <v>#REF!</v>
      </c>
      <c r="I14" s="248" t="e">
        <f>I19+I21+I25+I27+I31+I61+I63+I68+I75+I77+I85+I92+I94+I96+I98+I100+I112+I118+I120+I122+I124+I126+I128+I130+I134+I136+I144+I146+#REF!+#REF!+I181+I191+I205+I209+I211+I213+I216+I225+I228+I232+I235+I237+I240+I243+I246+I248+I250+#REF!+I263+I280+I283+I287+I291+I295+I299+I302+I309+I311+I316+I318+I324+I325+I327+I328+I330+I335+I337+I340+I348+I351+I353+I355+I357+I365+I373+I375+I377+I391+I393+I395+I397+I400+I402+#REF!+I408+I411+I423+I426+I428+#REF!+I432+I434+I446+I451+I458+I460+I462+I465+#REF!+I475+I479+I494+I498+I500+I502+I504+I508+I509+I512+I515+I523+I531+I535+I538+I258+I370+I386+I382+I405+I430+I82+I436+I268+I266+I219+I505+I378+I379+#REF!+I527</f>
        <v>#REF!</v>
      </c>
      <c r="J14" s="248" t="e">
        <f>J19+J21+J25+J27+J31+J61+J63+J68+J75+J77+J85+J92+J94+J96+J98+J100+J112+J118+J120+J122+J124+J126+J128+J130+J134+J136+J144+J146+#REF!+#REF!+J181+J191+J205+J209+J211+J213+J216+J225+J228+J232+J235+J237+J240+J243+J246+J248+J250+#REF!+J263+J280+J283+J287+J291+J295+J299+J302+J309+J311+J316+J318+J324+J325+J327+J328+J330+J335+J337+J340+J348+J351+J353+J355+J357+J365+J373+J375+J377+J391+J393+J395+J397+J400+J402+#REF!+J408+J411+J423+J426+J428+#REF!+J432+J434+J446+J451+J458+J460+J462+J465+#REF!+J475+J479+J494+J498+J500+J502+J504+J508+J509+J512+J515+J523+J531+J535+J538+J258+J370+J386+J382+J405+J430+J82+J436+J268+J266+J219+J505+J378+J379+#REF!+J527</f>
        <v>#REF!</v>
      </c>
      <c r="K14" s="248" t="e">
        <f>K19+K21+K25+K27+K31+K61+K63+K68+K75+K77+K85+K92+K94+K96+K98+K100+K112+K118+K120+K122+K124+K126+K128+K130+K134+K136+K144+K146+#REF!+#REF!+K181+K191+K205+K209+K211+K213+K216+K225+K228+K232+K235+K237+K240+K243+K246+K248+K250+#REF!+K263+K280+K283+K287+K291+K295+K299+K302+K309+K311+K316+K318+K324+K325+K327+K328+K330+K335+K337+K340+K348+K351+K353+K355+K357+K365+K373+K375+K377+K391+K393+K395+K397+K400+K402+#REF!+K408+K411+K423+K426+K428+#REF!+K432+K434+K446+K451+K458+K460+K462+K465+#REF!+K475+K479+K494+K498+K500+K502+K504+K508+K509+K512+K515+K523+K531+K535+K538+K258+K370+K386+K382+K405+K430+K82+K436+K268+K266+K219+K505+K378+K379+#REF!+K527</f>
        <v>#REF!</v>
      </c>
      <c r="L14" s="248" t="e">
        <f>L19+L21+L25+L27+L31+L61+L63+L68+L75+L77+L85+L92+L94+L96+L98+L100+L112+L118+L120+L122+L124+L126+L128+L130+L134+L136+L144+L146+#REF!+#REF!+L181+L191+L205+L209+L211+L213+L216+L225+L228+L232+L235+L237+L240+L243+L246+L248+L250+#REF!+L263+L280+L283+L287+L291+L295+L299+L302+L309+L311+L316+L318+L324+L325+L327+L328+L330+L335+L337+L340+L348+L351+L353+L355+L357+L365+L373+L375+L377+L391+L393+L395+L397+L400+L402+#REF!+L408+L411+L423+L426+L428+#REF!+L432+L434+L446+L451+L458+L460+L462+L465+#REF!+L475+L479+L494+L498+L500+L502+L504+L508+L509+L512+L515+L523+L531+L535+L538+L258+L370+L386+L382+L405+L430+L82+L436+L268+L266+L219+L505+L378+L379+#REF!+L527</f>
        <v>#REF!</v>
      </c>
    </row>
    <row r="15" spans="1:13" hidden="1" x14ac:dyDescent="0.2">
      <c r="A15" s="96"/>
      <c r="B15" s="187"/>
      <c r="C15" s="3" t="s">
        <v>624</v>
      </c>
      <c r="D15" s="248">
        <f t="shared" ref="D15:L15" si="1">D371+D206</f>
        <v>293.01636000000002</v>
      </c>
      <c r="E15" s="248">
        <f t="shared" si="1"/>
        <v>0</v>
      </c>
      <c r="F15" s="248">
        <f t="shared" si="1"/>
        <v>293.01636000000002</v>
      </c>
      <c r="G15" s="248">
        <f t="shared" si="1"/>
        <v>0</v>
      </c>
      <c r="H15" s="248">
        <f t="shared" si="1"/>
        <v>0</v>
      </c>
      <c r="I15" s="248">
        <f t="shared" si="1"/>
        <v>0</v>
      </c>
      <c r="J15" s="248">
        <f t="shared" si="1"/>
        <v>0</v>
      </c>
      <c r="K15" s="248">
        <f t="shared" si="1"/>
        <v>0</v>
      </c>
      <c r="L15" s="248">
        <f t="shared" si="1"/>
        <v>0</v>
      </c>
    </row>
    <row r="16" spans="1:13" s="1" customFormat="1" ht="39" x14ac:dyDescent="0.25">
      <c r="A16" s="225" t="s">
        <v>34</v>
      </c>
      <c r="B16" s="225"/>
      <c r="C16" s="226" t="s">
        <v>33</v>
      </c>
      <c r="D16" s="249">
        <f t="shared" ref="D16:L16" si="2">D17+D23+D33+D59</f>
        <v>86486.000000000015</v>
      </c>
      <c r="E16" s="249">
        <f t="shared" si="2"/>
        <v>50</v>
      </c>
      <c r="F16" s="249">
        <f t="shared" si="2"/>
        <v>86536.000000000015</v>
      </c>
      <c r="G16" s="249">
        <f t="shared" si="2"/>
        <v>84519.3</v>
      </c>
      <c r="H16" s="249">
        <f t="shared" si="2"/>
        <v>0</v>
      </c>
      <c r="I16" s="249">
        <f t="shared" si="2"/>
        <v>84519.3</v>
      </c>
      <c r="J16" s="249">
        <f t="shared" si="2"/>
        <v>88526.800000000017</v>
      </c>
      <c r="K16" s="249">
        <f t="shared" si="2"/>
        <v>0</v>
      </c>
      <c r="L16" s="249">
        <f t="shared" si="2"/>
        <v>88526.800000000017</v>
      </c>
      <c r="M16" s="270">
        <f>M17+M18+M19</f>
        <v>88526.800000000017</v>
      </c>
    </row>
    <row r="17" spans="1:14" s="1" customFormat="1" ht="26.25" x14ac:dyDescent="0.25">
      <c r="A17" s="30" t="s">
        <v>547</v>
      </c>
      <c r="B17" s="30"/>
      <c r="C17" s="50" t="s">
        <v>546</v>
      </c>
      <c r="D17" s="250">
        <f>D18</f>
        <v>1841.1000000000001</v>
      </c>
      <c r="E17" s="250"/>
      <c r="F17" s="250">
        <f>F18</f>
        <v>1841.1000000000001</v>
      </c>
      <c r="G17" s="250">
        <f>G18</f>
        <v>69.400000000000006</v>
      </c>
      <c r="H17" s="309"/>
      <c r="I17" s="250">
        <f>I18</f>
        <v>69.400000000000006</v>
      </c>
      <c r="J17" s="250">
        <f>J18</f>
        <v>822.1</v>
      </c>
      <c r="K17" s="250"/>
      <c r="L17" s="250">
        <f>L18</f>
        <v>822.1</v>
      </c>
      <c r="M17" s="270">
        <f>J19+J21+J25+J27+J31+J61+J63</f>
        <v>82627.700000000012</v>
      </c>
      <c r="N17" s="1" t="s">
        <v>623</v>
      </c>
    </row>
    <row r="18" spans="1:14" s="1" customFormat="1" ht="26.25" x14ac:dyDescent="0.25">
      <c r="A18" s="208" t="s">
        <v>545</v>
      </c>
      <c r="B18" s="208"/>
      <c r="C18" s="209" t="s">
        <v>544</v>
      </c>
      <c r="D18" s="251">
        <f>D19+D21</f>
        <v>1841.1000000000001</v>
      </c>
      <c r="E18" s="251"/>
      <c r="F18" s="251">
        <f>F19+F21</f>
        <v>1841.1000000000001</v>
      </c>
      <c r="G18" s="251">
        <f>G19+G21</f>
        <v>69.400000000000006</v>
      </c>
      <c r="H18" s="310"/>
      <c r="I18" s="251">
        <f>I19+I21</f>
        <v>69.400000000000006</v>
      </c>
      <c r="J18" s="251">
        <f>J19+J21</f>
        <v>822.1</v>
      </c>
      <c r="K18" s="251"/>
      <c r="L18" s="251">
        <f>L19+L21</f>
        <v>822.1</v>
      </c>
      <c r="M18" s="270">
        <f>J35+J38+J41+J43+J46+J49</f>
        <v>2650.6</v>
      </c>
      <c r="N18" s="1" t="s">
        <v>622</v>
      </c>
    </row>
    <row r="19" spans="1:14" s="1" customFormat="1" ht="77.25" x14ac:dyDescent="0.25">
      <c r="A19" s="7" t="s">
        <v>543</v>
      </c>
      <c r="B19" s="57"/>
      <c r="C19" s="6" t="s">
        <v>625</v>
      </c>
      <c r="D19" s="252">
        <f>D20</f>
        <v>1771.7</v>
      </c>
      <c r="E19" s="252"/>
      <c r="F19" s="252">
        <f>F20</f>
        <v>1771.7</v>
      </c>
      <c r="G19" s="252">
        <f>G20</f>
        <v>0</v>
      </c>
      <c r="H19" s="306"/>
      <c r="I19" s="252">
        <f>I20</f>
        <v>0</v>
      </c>
      <c r="J19" s="252">
        <f>J20</f>
        <v>752.7</v>
      </c>
      <c r="K19" s="252"/>
      <c r="L19" s="252">
        <f>L20</f>
        <v>752.7</v>
      </c>
      <c r="M19" s="270">
        <f>J51+J53+J56</f>
        <v>3248.5</v>
      </c>
      <c r="N19" s="1" t="s">
        <v>621</v>
      </c>
    </row>
    <row r="20" spans="1:14" s="1" customFormat="1" ht="26.25" x14ac:dyDescent="0.25">
      <c r="A20" s="7"/>
      <c r="B20" s="7" t="s">
        <v>12</v>
      </c>
      <c r="C20" s="6" t="s">
        <v>11</v>
      </c>
      <c r="D20" s="252">
        <v>1771.7</v>
      </c>
      <c r="E20" s="252"/>
      <c r="F20" s="252">
        <v>1771.7</v>
      </c>
      <c r="G20" s="252">
        <f>752.7-752.7</f>
        <v>0</v>
      </c>
      <c r="H20" s="306"/>
      <c r="I20" s="252">
        <f>752.7-752.7</f>
        <v>0</v>
      </c>
      <c r="J20" s="252">
        <v>752.7</v>
      </c>
      <c r="K20" s="252"/>
      <c r="L20" s="252">
        <v>752.7</v>
      </c>
    </row>
    <row r="21" spans="1:14" s="1" customFormat="1" ht="39" x14ac:dyDescent="0.25">
      <c r="A21" s="7" t="s">
        <v>743</v>
      </c>
      <c r="B21" s="7"/>
      <c r="C21" s="6" t="s">
        <v>541</v>
      </c>
      <c r="D21" s="252">
        <f>D22</f>
        <v>69.400000000000006</v>
      </c>
      <c r="E21" s="252"/>
      <c r="F21" s="252">
        <f>F22</f>
        <v>69.400000000000006</v>
      </c>
      <c r="G21" s="252">
        <f>G22</f>
        <v>69.400000000000006</v>
      </c>
      <c r="H21" s="306"/>
      <c r="I21" s="252">
        <f>I22</f>
        <v>69.400000000000006</v>
      </c>
      <c r="J21" s="252">
        <f>J22</f>
        <v>69.400000000000006</v>
      </c>
      <c r="K21" s="252"/>
      <c r="L21" s="252">
        <f>L22</f>
        <v>69.400000000000006</v>
      </c>
    </row>
    <row r="22" spans="1:14" s="1" customFormat="1" ht="26.25" x14ac:dyDescent="0.25">
      <c r="A22" s="7"/>
      <c r="B22" s="7" t="s">
        <v>12</v>
      </c>
      <c r="C22" s="6" t="s">
        <v>11</v>
      </c>
      <c r="D22" s="252">
        <v>69.400000000000006</v>
      </c>
      <c r="E22" s="252"/>
      <c r="F22" s="252">
        <v>69.400000000000006</v>
      </c>
      <c r="G22" s="252">
        <v>69.400000000000006</v>
      </c>
      <c r="H22" s="306"/>
      <c r="I22" s="252">
        <v>69.400000000000006</v>
      </c>
      <c r="J22" s="252">
        <v>69.400000000000006</v>
      </c>
      <c r="K22" s="252"/>
      <c r="L22" s="252">
        <v>69.400000000000006</v>
      </c>
    </row>
    <row r="23" spans="1:14" s="1" customFormat="1" ht="51.75" x14ac:dyDescent="0.25">
      <c r="A23" s="30" t="s">
        <v>32</v>
      </c>
      <c r="B23" s="30"/>
      <c r="C23" s="29" t="s">
        <v>31</v>
      </c>
      <c r="D23" s="250">
        <f t="shared" ref="D23:L23" si="3">D24</f>
        <v>78849.100000000006</v>
      </c>
      <c r="E23" s="250">
        <f t="shared" si="3"/>
        <v>50</v>
      </c>
      <c r="F23" s="250">
        <f t="shared" si="3"/>
        <v>78899.100000000006</v>
      </c>
      <c r="G23" s="250">
        <f t="shared" si="3"/>
        <v>78338.600000000006</v>
      </c>
      <c r="H23" s="250">
        <f t="shared" si="3"/>
        <v>0</v>
      </c>
      <c r="I23" s="250">
        <f t="shared" si="3"/>
        <v>78338.600000000006</v>
      </c>
      <c r="J23" s="250">
        <f t="shared" si="3"/>
        <v>81553.600000000006</v>
      </c>
      <c r="K23" s="250">
        <f t="shared" si="3"/>
        <v>0</v>
      </c>
      <c r="L23" s="250">
        <f t="shared" si="3"/>
        <v>81553.600000000006</v>
      </c>
    </row>
    <row r="24" spans="1:14" s="1" customFormat="1" ht="66" customHeight="1" x14ac:dyDescent="0.25">
      <c r="A24" s="208" t="s">
        <v>30</v>
      </c>
      <c r="B24" s="208"/>
      <c r="C24" s="209" t="s">
        <v>29</v>
      </c>
      <c r="D24" s="251">
        <f t="shared" ref="D24:L24" si="4">D25+D27+D31</f>
        <v>78849.100000000006</v>
      </c>
      <c r="E24" s="251">
        <f t="shared" si="4"/>
        <v>50</v>
      </c>
      <c r="F24" s="251">
        <f t="shared" si="4"/>
        <v>78899.100000000006</v>
      </c>
      <c r="G24" s="251">
        <f t="shared" si="4"/>
        <v>78338.600000000006</v>
      </c>
      <c r="H24" s="251">
        <f t="shared" si="4"/>
        <v>0</v>
      </c>
      <c r="I24" s="251">
        <f t="shared" si="4"/>
        <v>78338.600000000006</v>
      </c>
      <c r="J24" s="251">
        <f t="shared" si="4"/>
        <v>81553.600000000006</v>
      </c>
      <c r="K24" s="251">
        <f t="shared" si="4"/>
        <v>0</v>
      </c>
      <c r="L24" s="251">
        <f t="shared" si="4"/>
        <v>81553.600000000006</v>
      </c>
    </row>
    <row r="25" spans="1:14" s="1" customFormat="1" ht="51.75" x14ac:dyDescent="0.25">
      <c r="A25" s="7" t="s">
        <v>572</v>
      </c>
      <c r="B25" s="7"/>
      <c r="C25" s="6" t="s">
        <v>571</v>
      </c>
      <c r="D25" s="253">
        <f>D26</f>
        <v>2911.1</v>
      </c>
      <c r="E25" s="253"/>
      <c r="F25" s="253">
        <f>F26</f>
        <v>2911.1</v>
      </c>
      <c r="G25" s="253">
        <f>G26</f>
        <v>3022</v>
      </c>
      <c r="H25" s="311"/>
      <c r="I25" s="253">
        <f>I26</f>
        <v>3022</v>
      </c>
      <c r="J25" s="253">
        <f>J26</f>
        <v>3022</v>
      </c>
      <c r="K25" s="253"/>
      <c r="L25" s="253">
        <f>L26</f>
        <v>3022</v>
      </c>
    </row>
    <row r="26" spans="1:14" s="1" customFormat="1" ht="64.5" x14ac:dyDescent="0.25">
      <c r="A26" s="7"/>
      <c r="B26" s="7" t="s">
        <v>2</v>
      </c>
      <c r="C26" s="6" t="s">
        <v>1</v>
      </c>
      <c r="D26" s="252">
        <f>2693+218.1</f>
        <v>2911.1</v>
      </c>
      <c r="E26" s="252"/>
      <c r="F26" s="252">
        <f>2693+218.1</f>
        <v>2911.1</v>
      </c>
      <c r="G26" s="252">
        <f>2795.5+226.5</f>
        <v>3022</v>
      </c>
      <c r="H26" s="306"/>
      <c r="I26" s="252">
        <f>2795.5+226.5</f>
        <v>3022</v>
      </c>
      <c r="J26" s="252">
        <f>2795.5+226.5</f>
        <v>3022</v>
      </c>
      <c r="K26" s="252"/>
      <c r="L26" s="252">
        <f>2795.5+226.5</f>
        <v>3022</v>
      </c>
    </row>
    <row r="27" spans="1:14" s="1" customFormat="1" ht="39" x14ac:dyDescent="0.25">
      <c r="A27" s="7" t="s">
        <v>28</v>
      </c>
      <c r="B27" s="7"/>
      <c r="C27" s="6" t="s">
        <v>829</v>
      </c>
      <c r="D27" s="252">
        <f>D28+D29</f>
        <v>67331.5</v>
      </c>
      <c r="E27" s="252">
        <f>E30</f>
        <v>50</v>
      </c>
      <c r="F27" s="252">
        <f>F28+F29+F30</f>
        <v>67381.5</v>
      </c>
      <c r="G27" s="252">
        <f>G28+G29</f>
        <v>66564.5</v>
      </c>
      <c r="H27" s="306"/>
      <c r="I27" s="252">
        <f>I28+I29</f>
        <v>66564.5</v>
      </c>
      <c r="J27" s="252">
        <f>J28+J29</f>
        <v>69779.5</v>
      </c>
      <c r="K27" s="252"/>
      <c r="L27" s="252">
        <f>L28+L29</f>
        <v>69779.5</v>
      </c>
    </row>
    <row r="28" spans="1:14" s="1" customFormat="1" ht="64.5" x14ac:dyDescent="0.25">
      <c r="A28" s="7"/>
      <c r="B28" s="7" t="s">
        <v>2</v>
      </c>
      <c r="C28" s="6" t="s">
        <v>1</v>
      </c>
      <c r="D28" s="252">
        <v>64116.5</v>
      </c>
      <c r="E28" s="252"/>
      <c r="F28" s="252">
        <f>65053.6-3206.7-598.3+2682.8+157.2+27.9</f>
        <v>64116.5</v>
      </c>
      <c r="G28" s="252">
        <v>66564.5</v>
      </c>
      <c r="H28" s="306"/>
      <c r="I28" s="252">
        <f>67190.4-3206.7-617.7+3026.7+163.3+8.5</f>
        <v>66564.5</v>
      </c>
      <c r="J28" s="252">
        <v>66564.5</v>
      </c>
      <c r="K28" s="252"/>
      <c r="L28" s="252">
        <f>67190.4-3206.7-617.7+3026.7+163.3+8.5</f>
        <v>66564.5</v>
      </c>
    </row>
    <row r="29" spans="1:14" s="1" customFormat="1" ht="26.25" x14ac:dyDescent="0.25">
      <c r="A29" s="7"/>
      <c r="B29" s="7" t="s">
        <v>12</v>
      </c>
      <c r="C29" s="6" t="s">
        <v>11</v>
      </c>
      <c r="D29" s="252">
        <f>3206.7+33.2-33.2+8.3</f>
        <v>3215</v>
      </c>
      <c r="E29" s="252"/>
      <c r="F29" s="252">
        <f>3206.7+33.2-33.2+8.3</f>
        <v>3215</v>
      </c>
      <c r="G29" s="252">
        <v>0</v>
      </c>
      <c r="H29" s="306"/>
      <c r="I29" s="252">
        <v>0</v>
      </c>
      <c r="J29" s="252">
        <f>3206.7+33.2-33.2+8.3</f>
        <v>3215</v>
      </c>
      <c r="K29" s="252"/>
      <c r="L29" s="252">
        <f>3206.7+33.2-33.2+8.3</f>
        <v>3215</v>
      </c>
    </row>
    <row r="30" spans="1:14" s="1" customFormat="1" ht="15" x14ac:dyDescent="0.25">
      <c r="A30" s="409"/>
      <c r="B30" s="409" t="s">
        <v>22</v>
      </c>
      <c r="C30" s="419" t="s">
        <v>21</v>
      </c>
      <c r="D30" s="410"/>
      <c r="E30" s="410">
        <v>50</v>
      </c>
      <c r="F30" s="410">
        <v>50</v>
      </c>
      <c r="G30" s="410"/>
      <c r="H30" s="410"/>
      <c r="I30" s="410"/>
      <c r="J30" s="410"/>
      <c r="K30" s="410"/>
      <c r="L30" s="410"/>
    </row>
    <row r="31" spans="1:14" s="1" customFormat="1" ht="39" x14ac:dyDescent="0.25">
      <c r="A31" s="7" t="s">
        <v>288</v>
      </c>
      <c r="B31" s="7"/>
      <c r="C31" s="12" t="s">
        <v>287</v>
      </c>
      <c r="D31" s="252">
        <f>D32</f>
        <v>8606.5</v>
      </c>
      <c r="E31" s="252"/>
      <c r="F31" s="252">
        <f>F32</f>
        <v>8606.5</v>
      </c>
      <c r="G31" s="252">
        <f>G32</f>
        <v>8752.0999999999985</v>
      </c>
      <c r="H31" s="306"/>
      <c r="I31" s="252">
        <f>I32</f>
        <v>8752.0999999999985</v>
      </c>
      <c r="J31" s="252">
        <f>J32</f>
        <v>8752.0999999999985</v>
      </c>
      <c r="K31" s="252"/>
      <c r="L31" s="252">
        <f>L32</f>
        <v>8752.0999999999985</v>
      </c>
    </row>
    <row r="32" spans="1:14" s="1" customFormat="1" ht="26.25" x14ac:dyDescent="0.25">
      <c r="A32" s="7"/>
      <c r="B32" s="7" t="s">
        <v>79</v>
      </c>
      <c r="C32" s="6" t="s">
        <v>78</v>
      </c>
      <c r="D32" s="252">
        <f>8660.1+6.6-60.2</f>
        <v>8606.5</v>
      </c>
      <c r="E32" s="252"/>
      <c r="F32" s="252">
        <f>8660.1+6.6-60.2</f>
        <v>8606.5</v>
      </c>
      <c r="G32" s="252">
        <f>8812.3-60.2</f>
        <v>8752.0999999999985</v>
      </c>
      <c r="H32" s="306"/>
      <c r="I32" s="252">
        <f>8812.3-60.2</f>
        <v>8752.0999999999985</v>
      </c>
      <c r="J32" s="252">
        <f>8812.3-60.2</f>
        <v>8752.0999999999985</v>
      </c>
      <c r="K32" s="252"/>
      <c r="L32" s="252">
        <f>8812.3-60.2</f>
        <v>8752.0999999999985</v>
      </c>
    </row>
    <row r="33" spans="1:12" s="1" customFormat="1" ht="64.5" x14ac:dyDescent="0.25">
      <c r="A33" s="30" t="s">
        <v>518</v>
      </c>
      <c r="B33" s="30"/>
      <c r="C33" s="50" t="s">
        <v>540</v>
      </c>
      <c r="D33" s="250">
        <f>D34</f>
        <v>5543.8</v>
      </c>
      <c r="E33" s="250"/>
      <c r="F33" s="250">
        <f>F34</f>
        <v>5543.8</v>
      </c>
      <c r="G33" s="250">
        <f>G34</f>
        <v>5859.3</v>
      </c>
      <c r="H33" s="309"/>
      <c r="I33" s="250">
        <f>I34</f>
        <v>5859.3</v>
      </c>
      <c r="J33" s="250">
        <f>J34</f>
        <v>5899.1</v>
      </c>
      <c r="K33" s="250"/>
      <c r="L33" s="250">
        <f>L34</f>
        <v>5899.1</v>
      </c>
    </row>
    <row r="34" spans="1:12" s="1" customFormat="1" ht="39" x14ac:dyDescent="0.25">
      <c r="A34" s="208" t="s">
        <v>516</v>
      </c>
      <c r="B34" s="216"/>
      <c r="C34" s="209" t="s">
        <v>539</v>
      </c>
      <c r="D34" s="251">
        <f>D35+D38+D41+D43+D46+D49+D51+D53+D56</f>
        <v>5543.8</v>
      </c>
      <c r="E34" s="251"/>
      <c r="F34" s="251">
        <f>F35+F38+F41+F43+F46+F49+F51+F53+F56</f>
        <v>5543.8</v>
      </c>
      <c r="G34" s="251">
        <f>G35+G38+G41+G43+G46+G49+G51+G53+G56</f>
        <v>5859.3</v>
      </c>
      <c r="H34" s="310"/>
      <c r="I34" s="251">
        <f>I35+I38+I41+I43+I46+I49+I51+I53+I56</f>
        <v>5859.3</v>
      </c>
      <c r="J34" s="251">
        <f>J35+J38+J41+J43+J46+J49+J51+J53+J56</f>
        <v>5899.1</v>
      </c>
      <c r="K34" s="251"/>
      <c r="L34" s="251">
        <f>L35+L38+L41+L43+L46+L49+L51+L53+L56</f>
        <v>5899.1</v>
      </c>
    </row>
    <row r="35" spans="1:12" s="1" customFormat="1" ht="39" x14ac:dyDescent="0.25">
      <c r="A35" s="69" t="s">
        <v>568</v>
      </c>
      <c r="B35" s="7"/>
      <c r="C35" s="12" t="s">
        <v>567</v>
      </c>
      <c r="D35" s="252">
        <f>D36+D37</f>
        <v>1372.2</v>
      </c>
      <c r="E35" s="252"/>
      <c r="F35" s="252">
        <f>F36+F37</f>
        <v>1372.2</v>
      </c>
      <c r="G35" s="252">
        <f>G36+G37</f>
        <v>1411.5</v>
      </c>
      <c r="H35" s="306"/>
      <c r="I35" s="252">
        <f>I36+I37</f>
        <v>1411.5</v>
      </c>
      <c r="J35" s="252">
        <f>J36+J37</f>
        <v>1411.5</v>
      </c>
      <c r="K35" s="252"/>
      <c r="L35" s="252">
        <f>L36+L37</f>
        <v>1411.5</v>
      </c>
    </row>
    <row r="36" spans="1:12" s="1" customFormat="1" ht="64.5" x14ac:dyDescent="0.25">
      <c r="A36" s="7"/>
      <c r="B36" s="7" t="s">
        <v>2</v>
      </c>
      <c r="C36" s="6" t="s">
        <v>1</v>
      </c>
      <c r="D36" s="252">
        <v>1196.7</v>
      </c>
      <c r="E36" s="252"/>
      <c r="F36" s="252">
        <v>1196.7</v>
      </c>
      <c r="G36" s="252">
        <v>1242.8</v>
      </c>
      <c r="H36" s="306"/>
      <c r="I36" s="252">
        <v>1242.8</v>
      </c>
      <c r="J36" s="252">
        <v>1242.8</v>
      </c>
      <c r="K36" s="252"/>
      <c r="L36" s="252">
        <v>1242.8</v>
      </c>
    </row>
    <row r="37" spans="1:12" s="1" customFormat="1" ht="26.25" x14ac:dyDescent="0.25">
      <c r="A37" s="7"/>
      <c r="B37" s="7" t="s">
        <v>12</v>
      </c>
      <c r="C37" s="6" t="s">
        <v>11</v>
      </c>
      <c r="D37" s="252">
        <v>175.5</v>
      </c>
      <c r="E37" s="252"/>
      <c r="F37" s="252">
        <v>175.5</v>
      </c>
      <c r="G37" s="252">
        <v>168.7</v>
      </c>
      <c r="H37" s="306"/>
      <c r="I37" s="252">
        <v>168.7</v>
      </c>
      <c r="J37" s="252">
        <v>168.7</v>
      </c>
      <c r="K37" s="252"/>
      <c r="L37" s="252">
        <v>168.7</v>
      </c>
    </row>
    <row r="38" spans="1:12" s="1" customFormat="1" ht="51.75" x14ac:dyDescent="0.25">
      <c r="A38" s="7" t="s">
        <v>794</v>
      </c>
      <c r="B38" s="7"/>
      <c r="C38" s="12" t="s">
        <v>627</v>
      </c>
      <c r="D38" s="252">
        <f>D39+D40</f>
        <v>649.5</v>
      </c>
      <c r="E38" s="252"/>
      <c r="F38" s="252">
        <f>F39+F40</f>
        <v>649.5</v>
      </c>
      <c r="G38" s="252">
        <f>G39+G40</f>
        <v>667.6</v>
      </c>
      <c r="H38" s="306"/>
      <c r="I38" s="252">
        <f>I39+I40</f>
        <v>667.6</v>
      </c>
      <c r="J38" s="252">
        <f>J39+J40</f>
        <v>667.6</v>
      </c>
      <c r="K38" s="252"/>
      <c r="L38" s="252">
        <f>L39+L40</f>
        <v>667.6</v>
      </c>
    </row>
    <row r="39" spans="1:12" s="1" customFormat="1" ht="64.5" x14ac:dyDescent="0.25">
      <c r="A39" s="7"/>
      <c r="B39" s="7" t="s">
        <v>2</v>
      </c>
      <c r="C39" s="6" t="s">
        <v>1</v>
      </c>
      <c r="D39" s="252">
        <v>598.4</v>
      </c>
      <c r="E39" s="252"/>
      <c r="F39" s="252">
        <v>598.4</v>
      </c>
      <c r="G39" s="252">
        <v>621.4</v>
      </c>
      <c r="H39" s="306"/>
      <c r="I39" s="252">
        <v>621.4</v>
      </c>
      <c r="J39" s="252">
        <v>621.4</v>
      </c>
      <c r="K39" s="252"/>
      <c r="L39" s="252">
        <v>621.4</v>
      </c>
    </row>
    <row r="40" spans="1:12" s="1" customFormat="1" ht="26.25" x14ac:dyDescent="0.25">
      <c r="A40" s="7"/>
      <c r="B40" s="7" t="s">
        <v>12</v>
      </c>
      <c r="C40" s="6" t="s">
        <v>11</v>
      </c>
      <c r="D40" s="252">
        <v>51.1</v>
      </c>
      <c r="E40" s="252"/>
      <c r="F40" s="252">
        <v>51.1</v>
      </c>
      <c r="G40" s="252">
        <v>46.2</v>
      </c>
      <c r="H40" s="306"/>
      <c r="I40" s="252">
        <v>46.2</v>
      </c>
      <c r="J40" s="252">
        <v>46.2</v>
      </c>
      <c r="K40" s="252"/>
      <c r="L40" s="252">
        <v>46.2</v>
      </c>
    </row>
    <row r="41" spans="1:12" s="1" customFormat="1" ht="26.25" x14ac:dyDescent="0.25">
      <c r="A41" s="7" t="s">
        <v>565</v>
      </c>
      <c r="B41" s="7"/>
      <c r="C41" s="12" t="s">
        <v>564</v>
      </c>
      <c r="D41" s="252">
        <f>D42</f>
        <v>12.2</v>
      </c>
      <c r="E41" s="252"/>
      <c r="F41" s="252">
        <f>F42</f>
        <v>12.2</v>
      </c>
      <c r="G41" s="252">
        <f>G42</f>
        <v>12.2</v>
      </c>
      <c r="H41" s="306"/>
      <c r="I41" s="252">
        <f>I42</f>
        <v>12.2</v>
      </c>
      <c r="J41" s="252">
        <f>J42</f>
        <v>12.2</v>
      </c>
      <c r="K41" s="252"/>
      <c r="L41" s="252">
        <f>L42</f>
        <v>12.2</v>
      </c>
    </row>
    <row r="42" spans="1:12" s="1" customFormat="1" ht="26.25" x14ac:dyDescent="0.25">
      <c r="A42" s="7"/>
      <c r="B42" s="7" t="s">
        <v>12</v>
      </c>
      <c r="C42" s="6" t="s">
        <v>11</v>
      </c>
      <c r="D42" s="252">
        <v>12.2</v>
      </c>
      <c r="E42" s="252"/>
      <c r="F42" s="252">
        <v>12.2</v>
      </c>
      <c r="G42" s="252">
        <v>12.2</v>
      </c>
      <c r="H42" s="306"/>
      <c r="I42" s="252">
        <v>12.2</v>
      </c>
      <c r="J42" s="252">
        <v>12.2</v>
      </c>
      <c r="K42" s="252"/>
      <c r="L42" s="252">
        <v>12.2</v>
      </c>
    </row>
    <row r="43" spans="1:12" s="1" customFormat="1" ht="39" x14ac:dyDescent="0.25">
      <c r="A43" s="7" t="s">
        <v>563</v>
      </c>
      <c r="B43" s="7"/>
      <c r="C43" s="6" t="s">
        <v>562</v>
      </c>
      <c r="D43" s="252">
        <f>D44+D45</f>
        <v>73.599999999999994</v>
      </c>
      <c r="E43" s="252"/>
      <c r="F43" s="252">
        <f>F44+F45</f>
        <v>73.599999999999994</v>
      </c>
      <c r="G43" s="252">
        <f>G44+G45</f>
        <v>75.8</v>
      </c>
      <c r="H43" s="306"/>
      <c r="I43" s="252">
        <f>I44+I45</f>
        <v>75.8</v>
      </c>
      <c r="J43" s="252">
        <f>J44+J45</f>
        <v>75.8</v>
      </c>
      <c r="K43" s="252"/>
      <c r="L43" s="252">
        <f>L44+L45</f>
        <v>75.8</v>
      </c>
    </row>
    <row r="44" spans="1:12" s="1" customFormat="1" ht="64.5" x14ac:dyDescent="0.25">
      <c r="A44" s="7"/>
      <c r="B44" s="7" t="s">
        <v>2</v>
      </c>
      <c r="C44" s="6" t="s">
        <v>1</v>
      </c>
      <c r="D44" s="252">
        <v>59.8</v>
      </c>
      <c r="E44" s="252"/>
      <c r="F44" s="252">
        <v>59.8</v>
      </c>
      <c r="G44" s="252">
        <v>62.1</v>
      </c>
      <c r="H44" s="306"/>
      <c r="I44" s="252">
        <v>62.1</v>
      </c>
      <c r="J44" s="252">
        <v>62.1</v>
      </c>
      <c r="K44" s="252"/>
      <c r="L44" s="252">
        <v>62.1</v>
      </c>
    </row>
    <row r="45" spans="1:12" s="1" customFormat="1" ht="26.25" x14ac:dyDescent="0.25">
      <c r="A45" s="7"/>
      <c r="B45" s="7" t="s">
        <v>12</v>
      </c>
      <c r="C45" s="6" t="s">
        <v>11</v>
      </c>
      <c r="D45" s="252">
        <v>13.8</v>
      </c>
      <c r="E45" s="252"/>
      <c r="F45" s="252">
        <v>13.8</v>
      </c>
      <c r="G45" s="252">
        <v>13.7</v>
      </c>
      <c r="H45" s="306"/>
      <c r="I45" s="252">
        <v>13.7</v>
      </c>
      <c r="J45" s="252">
        <v>13.7</v>
      </c>
      <c r="K45" s="252"/>
      <c r="L45" s="252">
        <v>13.7</v>
      </c>
    </row>
    <row r="46" spans="1:12" s="1" customFormat="1" ht="39" x14ac:dyDescent="0.25">
      <c r="A46" s="7" t="s">
        <v>561</v>
      </c>
      <c r="B46" s="7"/>
      <c r="C46" s="12" t="s">
        <v>560</v>
      </c>
      <c r="D46" s="252">
        <f>D47+D48</f>
        <v>453.3</v>
      </c>
      <c r="E46" s="252"/>
      <c r="F46" s="252">
        <f>F47+F48</f>
        <v>453.3</v>
      </c>
      <c r="G46" s="252">
        <f>G47+G48</f>
        <v>466.8</v>
      </c>
      <c r="H46" s="306"/>
      <c r="I46" s="252">
        <f>I47+I48</f>
        <v>466.8</v>
      </c>
      <c r="J46" s="252">
        <f>J47+J48</f>
        <v>466.8</v>
      </c>
      <c r="K46" s="252"/>
      <c r="L46" s="252">
        <f>L47+L48</f>
        <v>466.8</v>
      </c>
    </row>
    <row r="47" spans="1:12" s="1" customFormat="1" ht="64.5" x14ac:dyDescent="0.25">
      <c r="A47" s="7"/>
      <c r="B47" s="7" t="s">
        <v>2</v>
      </c>
      <c r="C47" s="6" t="s">
        <v>1</v>
      </c>
      <c r="D47" s="252">
        <v>404.8</v>
      </c>
      <c r="E47" s="252"/>
      <c r="F47" s="252">
        <v>404.8</v>
      </c>
      <c r="G47" s="252">
        <v>420.5</v>
      </c>
      <c r="H47" s="306"/>
      <c r="I47" s="252">
        <v>420.5</v>
      </c>
      <c r="J47" s="252">
        <v>420.5</v>
      </c>
      <c r="K47" s="252"/>
      <c r="L47" s="252">
        <v>420.5</v>
      </c>
    </row>
    <row r="48" spans="1:12" s="1" customFormat="1" ht="26.25" x14ac:dyDescent="0.25">
      <c r="A48" s="7"/>
      <c r="B48" s="7" t="s">
        <v>12</v>
      </c>
      <c r="C48" s="6" t="s">
        <v>11</v>
      </c>
      <c r="D48" s="252">
        <v>48.5</v>
      </c>
      <c r="E48" s="252"/>
      <c r="F48" s="252">
        <v>48.5</v>
      </c>
      <c r="G48" s="252">
        <v>46.3</v>
      </c>
      <c r="H48" s="306"/>
      <c r="I48" s="252">
        <v>46.3</v>
      </c>
      <c r="J48" s="252">
        <v>46.3</v>
      </c>
      <c r="K48" s="252"/>
      <c r="L48" s="252">
        <v>46.3</v>
      </c>
    </row>
    <row r="49" spans="1:12" s="1" customFormat="1" ht="64.5" x14ac:dyDescent="0.25">
      <c r="A49" s="7" t="s">
        <v>559</v>
      </c>
      <c r="B49" s="7"/>
      <c r="C49" s="12" t="s">
        <v>558</v>
      </c>
      <c r="D49" s="252">
        <f>D50</f>
        <v>16.2</v>
      </c>
      <c r="E49" s="252"/>
      <c r="F49" s="252">
        <f>F50</f>
        <v>16.2</v>
      </c>
      <c r="G49" s="252">
        <f>G50</f>
        <v>16.7</v>
      </c>
      <c r="H49" s="306"/>
      <c r="I49" s="252">
        <f>I50</f>
        <v>16.7</v>
      </c>
      <c r="J49" s="252">
        <f>J50</f>
        <v>16.7</v>
      </c>
      <c r="K49" s="252"/>
      <c r="L49" s="252">
        <f>L50</f>
        <v>16.7</v>
      </c>
    </row>
    <row r="50" spans="1:12" s="1" customFormat="1" ht="26.25" x14ac:dyDescent="0.25">
      <c r="A50" s="7"/>
      <c r="B50" s="7" t="s">
        <v>12</v>
      </c>
      <c r="C50" s="6" t="s">
        <v>11</v>
      </c>
      <c r="D50" s="252">
        <v>16.2</v>
      </c>
      <c r="E50" s="252"/>
      <c r="F50" s="252">
        <v>16.2</v>
      </c>
      <c r="G50" s="252">
        <v>16.7</v>
      </c>
      <c r="H50" s="306"/>
      <c r="I50" s="252">
        <v>16.7</v>
      </c>
      <c r="J50" s="252">
        <v>16.7</v>
      </c>
      <c r="K50" s="252"/>
      <c r="L50" s="252">
        <v>16.7</v>
      </c>
    </row>
    <row r="51" spans="1:12" s="1" customFormat="1" ht="51.75" x14ac:dyDescent="0.25">
      <c r="A51" s="7" t="s">
        <v>549</v>
      </c>
      <c r="B51" s="7"/>
      <c r="C51" s="6" t="s">
        <v>548</v>
      </c>
      <c r="D51" s="252">
        <f>D52</f>
        <v>2.2999999999999998</v>
      </c>
      <c r="E51" s="252"/>
      <c r="F51" s="252">
        <f>F52</f>
        <v>2.2999999999999998</v>
      </c>
      <c r="G51" s="252">
        <f>G52</f>
        <v>34.5</v>
      </c>
      <c r="H51" s="306"/>
      <c r="I51" s="252">
        <f>I52</f>
        <v>34.5</v>
      </c>
      <c r="J51" s="252">
        <f>J52</f>
        <v>2.3000000000000043</v>
      </c>
      <c r="K51" s="252"/>
      <c r="L51" s="252">
        <f>L52</f>
        <v>2.3000000000000043</v>
      </c>
    </row>
    <row r="52" spans="1:12" s="1" customFormat="1" ht="26.25" x14ac:dyDescent="0.25">
      <c r="A52" s="7"/>
      <c r="B52" s="7" t="s">
        <v>12</v>
      </c>
      <c r="C52" s="6" t="s">
        <v>11</v>
      </c>
      <c r="D52" s="252">
        <v>2.2999999999999998</v>
      </c>
      <c r="E52" s="252"/>
      <c r="F52" s="252">
        <v>2.2999999999999998</v>
      </c>
      <c r="G52" s="252">
        <v>34.5</v>
      </c>
      <c r="H52" s="306"/>
      <c r="I52" s="252">
        <v>34.5</v>
      </c>
      <c r="J52" s="252">
        <v>2.3000000000000043</v>
      </c>
      <c r="K52" s="252"/>
      <c r="L52" s="252">
        <v>2.3000000000000043</v>
      </c>
    </row>
    <row r="53" spans="1:12" s="1" customFormat="1" ht="26.25" x14ac:dyDescent="0.25">
      <c r="A53" s="7" t="s">
        <v>538</v>
      </c>
      <c r="B53" s="7"/>
      <c r="C53" s="6" t="s">
        <v>537</v>
      </c>
      <c r="D53" s="252">
        <f>D54+D55</f>
        <v>1159.2</v>
      </c>
      <c r="E53" s="252"/>
      <c r="F53" s="252">
        <f>F54+F55</f>
        <v>1159.2</v>
      </c>
      <c r="G53" s="252">
        <f>G54+G55</f>
        <v>1194.9000000000001</v>
      </c>
      <c r="H53" s="306"/>
      <c r="I53" s="252">
        <f>I54+I55</f>
        <v>1194.9000000000001</v>
      </c>
      <c r="J53" s="252">
        <f>J54+J55</f>
        <v>1194.9000000000001</v>
      </c>
      <c r="K53" s="252"/>
      <c r="L53" s="252">
        <f>L54+L55</f>
        <v>1194.9000000000001</v>
      </c>
    </row>
    <row r="54" spans="1:12" s="1" customFormat="1" ht="64.5" x14ac:dyDescent="0.25">
      <c r="A54" s="7"/>
      <c r="B54" s="7" t="s">
        <v>2</v>
      </c>
      <c r="C54" s="6" t="s">
        <v>1</v>
      </c>
      <c r="D54" s="252">
        <v>1145.8</v>
      </c>
      <c r="E54" s="252"/>
      <c r="F54" s="252">
        <v>1145.8</v>
      </c>
      <c r="G54" s="252">
        <v>1190</v>
      </c>
      <c r="H54" s="306"/>
      <c r="I54" s="252">
        <v>1190</v>
      </c>
      <c r="J54" s="252">
        <v>1190</v>
      </c>
      <c r="K54" s="252"/>
      <c r="L54" s="252">
        <v>1190</v>
      </c>
    </row>
    <row r="55" spans="1:12" s="1" customFormat="1" ht="26.25" x14ac:dyDescent="0.25">
      <c r="A55" s="7"/>
      <c r="B55" s="7" t="s">
        <v>12</v>
      </c>
      <c r="C55" s="6" t="s">
        <v>11</v>
      </c>
      <c r="D55" s="252">
        <v>13.4000000000001</v>
      </c>
      <c r="E55" s="252"/>
      <c r="F55" s="252">
        <v>13.4000000000001</v>
      </c>
      <c r="G55" s="252">
        <v>4.9000000000000901</v>
      </c>
      <c r="H55" s="306"/>
      <c r="I55" s="252">
        <v>4.9000000000000901</v>
      </c>
      <c r="J55" s="252">
        <v>4.9000000000000901</v>
      </c>
      <c r="K55" s="252"/>
      <c r="L55" s="252">
        <v>4.9000000000000901</v>
      </c>
    </row>
    <row r="56" spans="1:12" s="1" customFormat="1" ht="39" x14ac:dyDescent="0.25">
      <c r="A56" s="7" t="s">
        <v>514</v>
      </c>
      <c r="B56" s="7"/>
      <c r="C56" s="12" t="s">
        <v>878</v>
      </c>
      <c r="D56" s="252">
        <f>D57+D58</f>
        <v>1805.3</v>
      </c>
      <c r="E56" s="252"/>
      <c r="F56" s="252">
        <f>F57+F58</f>
        <v>1805.3</v>
      </c>
      <c r="G56" s="252">
        <f>G57+G58</f>
        <v>1979.3</v>
      </c>
      <c r="H56" s="306"/>
      <c r="I56" s="252">
        <f>I57+I58</f>
        <v>1979.3</v>
      </c>
      <c r="J56" s="252">
        <f>J57+J58</f>
        <v>2051.2999999999997</v>
      </c>
      <c r="K56" s="252"/>
      <c r="L56" s="252">
        <f>L57+L58</f>
        <v>2051.2999999999997</v>
      </c>
    </row>
    <row r="57" spans="1:12" s="1" customFormat="1" ht="64.5" x14ac:dyDescent="0.25">
      <c r="A57" s="7"/>
      <c r="B57" s="7" t="s">
        <v>2</v>
      </c>
      <c r="C57" s="6" t="s">
        <v>1</v>
      </c>
      <c r="D57" s="252">
        <v>1719.8</v>
      </c>
      <c r="E57" s="252"/>
      <c r="F57" s="252">
        <v>1719.8</v>
      </c>
      <c r="G57" s="252">
        <v>1786.1</v>
      </c>
      <c r="H57" s="306"/>
      <c r="I57" s="252">
        <v>1786.1</v>
      </c>
      <c r="J57" s="252">
        <v>1786.1</v>
      </c>
      <c r="K57" s="252"/>
      <c r="L57" s="252">
        <v>1786.1</v>
      </c>
    </row>
    <row r="58" spans="1:12" s="1" customFormat="1" ht="26.25" x14ac:dyDescent="0.25">
      <c r="A58" s="7"/>
      <c r="B58" s="7" t="s">
        <v>12</v>
      </c>
      <c r="C58" s="6" t="s">
        <v>11</v>
      </c>
      <c r="D58" s="252">
        <f>131.1-45.6</f>
        <v>85.5</v>
      </c>
      <c r="E58" s="252"/>
      <c r="F58" s="252">
        <f>131.1-45.6</f>
        <v>85.5</v>
      </c>
      <c r="G58" s="252">
        <f>234-40.8</f>
        <v>193.2</v>
      </c>
      <c r="H58" s="306"/>
      <c r="I58" s="252">
        <f>234-40.8</f>
        <v>193.2</v>
      </c>
      <c r="J58" s="252">
        <f>234+31.2</f>
        <v>265.2</v>
      </c>
      <c r="K58" s="252"/>
      <c r="L58" s="252">
        <f>234+31.2</f>
        <v>265.2</v>
      </c>
    </row>
    <row r="59" spans="1:12" s="1" customFormat="1" ht="39" x14ac:dyDescent="0.25">
      <c r="A59" s="30" t="s">
        <v>536</v>
      </c>
      <c r="B59" s="30"/>
      <c r="C59" s="50" t="s">
        <v>535</v>
      </c>
      <c r="D59" s="250">
        <f>D60</f>
        <v>252</v>
      </c>
      <c r="E59" s="250"/>
      <c r="F59" s="250">
        <f>F60</f>
        <v>252</v>
      </c>
      <c r="G59" s="250">
        <f>G60</f>
        <v>252</v>
      </c>
      <c r="H59" s="309"/>
      <c r="I59" s="250">
        <f>I60</f>
        <v>252</v>
      </c>
      <c r="J59" s="250">
        <f>J60</f>
        <v>252</v>
      </c>
      <c r="K59" s="250"/>
      <c r="L59" s="250">
        <f>L60</f>
        <v>252</v>
      </c>
    </row>
    <row r="60" spans="1:12" s="1" customFormat="1" ht="77.25" x14ac:dyDescent="0.25">
      <c r="A60" s="208" t="s">
        <v>534</v>
      </c>
      <c r="B60" s="216"/>
      <c r="C60" s="209" t="s">
        <v>628</v>
      </c>
      <c r="D60" s="251">
        <f>D61+D63</f>
        <v>252</v>
      </c>
      <c r="E60" s="251"/>
      <c r="F60" s="251">
        <f>F61+F63</f>
        <v>252</v>
      </c>
      <c r="G60" s="251">
        <f>G61+G63</f>
        <v>252</v>
      </c>
      <c r="H60" s="310"/>
      <c r="I60" s="251">
        <f>I61+I63</f>
        <v>252</v>
      </c>
      <c r="J60" s="251">
        <f>J61+J63</f>
        <v>252</v>
      </c>
      <c r="K60" s="251"/>
      <c r="L60" s="251">
        <f>L61+L63</f>
        <v>252</v>
      </c>
    </row>
    <row r="61" spans="1:12" s="1" customFormat="1" ht="15" x14ac:dyDescent="0.25">
      <c r="A61" s="7" t="s">
        <v>532</v>
      </c>
      <c r="B61" s="7"/>
      <c r="C61" s="12" t="s">
        <v>531</v>
      </c>
      <c r="D61" s="252">
        <f>D62</f>
        <v>133.30000000000001</v>
      </c>
      <c r="E61" s="252"/>
      <c r="F61" s="252">
        <f>F62</f>
        <v>133.30000000000001</v>
      </c>
      <c r="G61" s="252">
        <f>G62</f>
        <v>133.30000000000001</v>
      </c>
      <c r="H61" s="306"/>
      <c r="I61" s="252">
        <f>I62</f>
        <v>133.30000000000001</v>
      </c>
      <c r="J61" s="252">
        <f>J62</f>
        <v>133.30000000000001</v>
      </c>
      <c r="K61" s="252"/>
      <c r="L61" s="252">
        <f>L62</f>
        <v>133.30000000000001</v>
      </c>
    </row>
    <row r="62" spans="1:12" s="1" customFormat="1" ht="26.25" x14ac:dyDescent="0.25">
      <c r="A62" s="7"/>
      <c r="B62" s="7" t="s">
        <v>12</v>
      </c>
      <c r="C62" s="6" t="s">
        <v>11</v>
      </c>
      <c r="D62" s="254">
        <f>133.3</f>
        <v>133.30000000000001</v>
      </c>
      <c r="E62" s="254"/>
      <c r="F62" s="254">
        <f>133.3</f>
        <v>133.30000000000001</v>
      </c>
      <c r="G62" s="252">
        <v>133.30000000000001</v>
      </c>
      <c r="H62" s="306"/>
      <c r="I62" s="252">
        <v>133.30000000000001</v>
      </c>
      <c r="J62" s="252">
        <v>133.30000000000001</v>
      </c>
      <c r="K62" s="252"/>
      <c r="L62" s="252">
        <v>133.30000000000001</v>
      </c>
    </row>
    <row r="63" spans="1:12" s="1" customFormat="1" ht="51.75" x14ac:dyDescent="0.25">
      <c r="A63" s="7" t="s">
        <v>530</v>
      </c>
      <c r="B63" s="7"/>
      <c r="C63" s="12" t="s">
        <v>626</v>
      </c>
      <c r="D63" s="252">
        <f>D64</f>
        <v>118.7</v>
      </c>
      <c r="E63" s="252"/>
      <c r="F63" s="252">
        <f>F64</f>
        <v>118.7</v>
      </c>
      <c r="G63" s="252">
        <f>G64</f>
        <v>118.7</v>
      </c>
      <c r="H63" s="306"/>
      <c r="I63" s="252">
        <f>I64</f>
        <v>118.7</v>
      </c>
      <c r="J63" s="252">
        <f>J64</f>
        <v>118.7</v>
      </c>
      <c r="K63" s="252"/>
      <c r="L63" s="252">
        <f>L64</f>
        <v>118.7</v>
      </c>
    </row>
    <row r="64" spans="1:12" s="1" customFormat="1" ht="26.25" x14ac:dyDescent="0.25">
      <c r="A64" s="7"/>
      <c r="B64" s="7" t="s">
        <v>12</v>
      </c>
      <c r="C64" s="6" t="s">
        <v>11</v>
      </c>
      <c r="D64" s="252">
        <f>34.7+84</f>
        <v>118.7</v>
      </c>
      <c r="E64" s="252"/>
      <c r="F64" s="252">
        <f>34.7+84</f>
        <v>118.7</v>
      </c>
      <c r="G64" s="252">
        <f>34.7+84</f>
        <v>118.7</v>
      </c>
      <c r="H64" s="306"/>
      <c r="I64" s="252">
        <f>34.7+84</f>
        <v>118.7</v>
      </c>
      <c r="J64" s="252">
        <f>34.7+84</f>
        <v>118.7</v>
      </c>
      <c r="K64" s="252"/>
      <c r="L64" s="252">
        <f>34.7+84</f>
        <v>118.7</v>
      </c>
    </row>
    <row r="65" spans="1:12" ht="38.25" x14ac:dyDescent="0.2">
      <c r="A65" s="225" t="s">
        <v>87</v>
      </c>
      <c r="B65" s="225"/>
      <c r="C65" s="227" t="s">
        <v>227</v>
      </c>
      <c r="D65" s="249">
        <f t="shared" ref="D65:J65" si="5">D66+D83+D116+D132+D142+D155+D179</f>
        <v>586168.46406999999</v>
      </c>
      <c r="E65" s="249">
        <f t="shared" si="5"/>
        <v>1422.3000000000002</v>
      </c>
      <c r="F65" s="249">
        <f t="shared" si="5"/>
        <v>587590.76407000003</v>
      </c>
      <c r="G65" s="249">
        <f t="shared" si="5"/>
        <v>492557.8861</v>
      </c>
      <c r="H65" s="249">
        <f t="shared" si="5"/>
        <v>-4599.8999999999996</v>
      </c>
      <c r="I65" s="249">
        <f t="shared" si="5"/>
        <v>487957.98609999998</v>
      </c>
      <c r="J65" s="249">
        <f t="shared" si="5"/>
        <v>482690.01419999992</v>
      </c>
      <c r="K65" s="249"/>
      <c r="L65" s="249">
        <f>L66+L83+L116+L132+L142+L155+L179</f>
        <v>482690.01419999992</v>
      </c>
    </row>
    <row r="66" spans="1:12" x14ac:dyDescent="0.2">
      <c r="A66" s="30" t="s">
        <v>177</v>
      </c>
      <c r="B66" s="30"/>
      <c r="C66" s="135" t="s">
        <v>176</v>
      </c>
      <c r="D66" s="250">
        <f t="shared" ref="D66:L66" si="6">D67</f>
        <v>128371.6394</v>
      </c>
      <c r="E66" s="250">
        <f t="shared" si="6"/>
        <v>-3660</v>
      </c>
      <c r="F66" s="250">
        <f t="shared" si="6"/>
        <v>124711.6394</v>
      </c>
      <c r="G66" s="250">
        <f t="shared" si="6"/>
        <v>122227.29399999999</v>
      </c>
      <c r="H66" s="250"/>
      <c r="I66" s="250">
        <f t="shared" si="6"/>
        <v>122227.29399999999</v>
      </c>
      <c r="J66" s="250">
        <f t="shared" si="6"/>
        <v>120195.09659999999</v>
      </c>
      <c r="K66" s="250"/>
      <c r="L66" s="250">
        <f t="shared" si="6"/>
        <v>120195.09659999999</v>
      </c>
    </row>
    <row r="67" spans="1:12" ht="51" x14ac:dyDescent="0.2">
      <c r="A67" s="208" t="s">
        <v>175</v>
      </c>
      <c r="B67" s="208"/>
      <c r="C67" s="219" t="s">
        <v>193</v>
      </c>
      <c r="D67" s="251">
        <f>D68+D70+D73+D75+D77+D79</f>
        <v>128371.6394</v>
      </c>
      <c r="E67" s="251">
        <f>E68+E70+E73+E75+E77+E79</f>
        <v>-3660</v>
      </c>
      <c r="F67" s="251">
        <f>F68+F70+F73+F75+F77+F79</f>
        <v>124711.6394</v>
      </c>
      <c r="G67" s="251">
        <f t="shared" ref="G67:L67" si="7">G68+G70+G73+G75+G77</f>
        <v>122227.29399999999</v>
      </c>
      <c r="H67" s="251"/>
      <c r="I67" s="251">
        <f t="shared" si="7"/>
        <v>122227.29399999999</v>
      </c>
      <c r="J67" s="251">
        <f t="shared" si="7"/>
        <v>120195.09659999999</v>
      </c>
      <c r="K67" s="251"/>
      <c r="L67" s="251">
        <f t="shared" si="7"/>
        <v>120195.09659999999</v>
      </c>
    </row>
    <row r="68" spans="1:12" ht="38.25" x14ac:dyDescent="0.2">
      <c r="A68" s="7" t="s">
        <v>259</v>
      </c>
      <c r="B68" s="57"/>
      <c r="C68" s="136" t="s">
        <v>258</v>
      </c>
      <c r="D68" s="252">
        <f>D69</f>
        <v>28230</v>
      </c>
      <c r="E68" s="252">
        <f>E69</f>
        <v>-3660</v>
      </c>
      <c r="F68" s="252">
        <f>F69</f>
        <v>24570</v>
      </c>
      <c r="G68" s="252">
        <f>G69</f>
        <v>28230</v>
      </c>
      <c r="H68" s="306"/>
      <c r="I68" s="252">
        <f>I69</f>
        <v>28230</v>
      </c>
      <c r="J68" s="252">
        <f>J69</f>
        <v>28230</v>
      </c>
      <c r="K68" s="252"/>
      <c r="L68" s="252">
        <f>L69</f>
        <v>28230</v>
      </c>
    </row>
    <row r="69" spans="1:12" ht="38.25" x14ac:dyDescent="0.2">
      <c r="A69" s="7"/>
      <c r="B69" s="7" t="s">
        <v>57</v>
      </c>
      <c r="C69" s="136" t="s">
        <v>56</v>
      </c>
      <c r="D69" s="252">
        <v>28230</v>
      </c>
      <c r="E69" s="252">
        <v>-3660</v>
      </c>
      <c r="F69" s="252">
        <v>24570</v>
      </c>
      <c r="G69" s="252">
        <v>28230</v>
      </c>
      <c r="H69" s="306"/>
      <c r="I69" s="252">
        <v>28230</v>
      </c>
      <c r="J69" s="252">
        <v>28230</v>
      </c>
      <c r="K69" s="252"/>
      <c r="L69" s="252">
        <v>28230</v>
      </c>
    </row>
    <row r="70" spans="1:12" ht="51" x14ac:dyDescent="0.2">
      <c r="A70" s="7" t="s">
        <v>257</v>
      </c>
      <c r="B70" s="7"/>
      <c r="C70" s="136" t="s">
        <v>256</v>
      </c>
      <c r="D70" s="252">
        <f>D71+D72</f>
        <v>93455.039399999994</v>
      </c>
      <c r="E70" s="252"/>
      <c r="F70" s="252">
        <f>F71+F72</f>
        <v>93455.039399999994</v>
      </c>
      <c r="G70" s="252">
        <f>G71+G72</f>
        <v>89362.793999999994</v>
      </c>
      <c r="H70" s="306"/>
      <c r="I70" s="252">
        <f>I71+I72</f>
        <v>89362.793999999994</v>
      </c>
      <c r="J70" s="252">
        <f>J71+J72</f>
        <v>87388.896599999993</v>
      </c>
      <c r="K70" s="252"/>
      <c r="L70" s="252">
        <f>L71+L72</f>
        <v>87388.896599999993</v>
      </c>
    </row>
    <row r="71" spans="1:12" ht="25.5" x14ac:dyDescent="0.2">
      <c r="A71" s="7"/>
      <c r="B71" s="7" t="s">
        <v>79</v>
      </c>
      <c r="C71" s="136" t="s">
        <v>78</v>
      </c>
      <c r="D71" s="252">
        <v>23.352499999999999</v>
      </c>
      <c r="E71" s="252"/>
      <c r="F71" s="252">
        <v>23.352499999999999</v>
      </c>
      <c r="G71" s="252">
        <v>23.352499999999999</v>
      </c>
      <c r="H71" s="306"/>
      <c r="I71" s="252">
        <v>23.352499999999999</v>
      </c>
      <c r="J71" s="252">
        <v>23.352499999999999</v>
      </c>
      <c r="K71" s="252"/>
      <c r="L71" s="252">
        <v>23.352499999999999</v>
      </c>
    </row>
    <row r="72" spans="1:12" ht="38.25" x14ac:dyDescent="0.2">
      <c r="A72" s="7"/>
      <c r="B72" s="7" t="s">
        <v>57</v>
      </c>
      <c r="C72" s="136" t="s">
        <v>56</v>
      </c>
      <c r="D72" s="252">
        <v>93431.686900000001</v>
      </c>
      <c r="E72" s="252"/>
      <c r="F72" s="252">
        <v>93431.686900000001</v>
      </c>
      <c r="G72" s="252">
        <v>89339.441500000001</v>
      </c>
      <c r="H72" s="306"/>
      <c r="I72" s="252">
        <v>89339.441500000001</v>
      </c>
      <c r="J72" s="252">
        <v>87365.544099999999</v>
      </c>
      <c r="K72" s="252"/>
      <c r="L72" s="252">
        <v>87365.544099999999</v>
      </c>
    </row>
    <row r="73" spans="1:12" ht="63.75" x14ac:dyDescent="0.2">
      <c r="A73" s="7" t="s">
        <v>173</v>
      </c>
      <c r="B73" s="7"/>
      <c r="C73" s="136" t="s">
        <v>9</v>
      </c>
      <c r="D73" s="252">
        <f>D74</f>
        <v>4574.3</v>
      </c>
      <c r="E73" s="252"/>
      <c r="F73" s="252">
        <f>F74</f>
        <v>4574.3</v>
      </c>
      <c r="G73" s="252">
        <f>G74</f>
        <v>3572.2</v>
      </c>
      <c r="H73" s="306"/>
      <c r="I73" s="252">
        <f>I74</f>
        <v>3572.2</v>
      </c>
      <c r="J73" s="252">
        <f>J74</f>
        <v>3513.9</v>
      </c>
      <c r="K73" s="252"/>
      <c r="L73" s="252">
        <f>L74</f>
        <v>3513.9</v>
      </c>
    </row>
    <row r="74" spans="1:12" ht="38.25" x14ac:dyDescent="0.2">
      <c r="A74" s="7"/>
      <c r="B74" s="7" t="s">
        <v>57</v>
      </c>
      <c r="C74" s="136" t="s">
        <v>56</v>
      </c>
      <c r="D74" s="252">
        <v>4574.3</v>
      </c>
      <c r="E74" s="252"/>
      <c r="F74" s="252">
        <v>4574.3</v>
      </c>
      <c r="G74" s="252">
        <v>3572.2</v>
      </c>
      <c r="H74" s="306"/>
      <c r="I74" s="252">
        <v>3572.2</v>
      </c>
      <c r="J74" s="252">
        <v>3513.9</v>
      </c>
      <c r="K74" s="252"/>
      <c r="L74" s="252">
        <v>3513.9</v>
      </c>
    </row>
    <row r="75" spans="1:12" ht="25.5" x14ac:dyDescent="0.2">
      <c r="A75" s="7" t="s">
        <v>255</v>
      </c>
      <c r="B75" s="7"/>
      <c r="C75" s="136" t="s">
        <v>254</v>
      </c>
      <c r="D75" s="252">
        <f>D76</f>
        <v>924.1</v>
      </c>
      <c r="E75" s="252"/>
      <c r="F75" s="252">
        <f>F76</f>
        <v>924.1</v>
      </c>
      <c r="G75" s="252">
        <f>G76</f>
        <v>924.1</v>
      </c>
      <c r="H75" s="306"/>
      <c r="I75" s="252">
        <f>I76</f>
        <v>924.1</v>
      </c>
      <c r="J75" s="252">
        <f>J76</f>
        <v>924.1</v>
      </c>
      <c r="K75" s="252"/>
      <c r="L75" s="252">
        <f>L76</f>
        <v>924.1</v>
      </c>
    </row>
    <row r="76" spans="1:12" ht="38.25" x14ac:dyDescent="0.2">
      <c r="A76" s="7"/>
      <c r="B76" s="7" t="s">
        <v>57</v>
      </c>
      <c r="C76" s="136" t="s">
        <v>56</v>
      </c>
      <c r="D76" s="252">
        <v>924.1</v>
      </c>
      <c r="E76" s="252"/>
      <c r="F76" s="252">
        <v>924.1</v>
      </c>
      <c r="G76" s="252">
        <v>924.1</v>
      </c>
      <c r="H76" s="306"/>
      <c r="I76" s="252">
        <v>924.1</v>
      </c>
      <c r="J76" s="252">
        <v>924.1</v>
      </c>
      <c r="K76" s="252"/>
      <c r="L76" s="252">
        <v>924.1</v>
      </c>
    </row>
    <row r="77" spans="1:12" ht="38.25" x14ac:dyDescent="0.2">
      <c r="A77" s="52" t="s">
        <v>192</v>
      </c>
      <c r="B77" s="7"/>
      <c r="C77" s="136" t="s">
        <v>742</v>
      </c>
      <c r="D77" s="252">
        <f>D78</f>
        <v>138.19999999999999</v>
      </c>
      <c r="E77" s="252"/>
      <c r="F77" s="252">
        <f>F78</f>
        <v>138.19999999999999</v>
      </c>
      <c r="G77" s="252">
        <f>G78</f>
        <v>138.19999999999999</v>
      </c>
      <c r="H77" s="306"/>
      <c r="I77" s="252">
        <f>I78</f>
        <v>138.19999999999999</v>
      </c>
      <c r="J77" s="252">
        <f>J78</f>
        <v>138.19999999999999</v>
      </c>
      <c r="K77" s="252"/>
      <c r="L77" s="252">
        <f>L78</f>
        <v>138.19999999999999</v>
      </c>
    </row>
    <row r="78" spans="1:12" ht="38.25" x14ac:dyDescent="0.2">
      <c r="A78" s="52"/>
      <c r="B78" s="7" t="s">
        <v>57</v>
      </c>
      <c r="C78" s="136" t="s">
        <v>56</v>
      </c>
      <c r="D78" s="252">
        <v>138.19999999999999</v>
      </c>
      <c r="E78" s="252"/>
      <c r="F78" s="252">
        <v>138.19999999999999</v>
      </c>
      <c r="G78" s="252">
        <v>138.19999999999999</v>
      </c>
      <c r="H78" s="306"/>
      <c r="I78" s="252">
        <v>138.19999999999999</v>
      </c>
      <c r="J78" s="252">
        <v>138.19999999999999</v>
      </c>
      <c r="K78" s="252"/>
      <c r="L78" s="252">
        <v>138.19999999999999</v>
      </c>
    </row>
    <row r="79" spans="1:12" ht="38.25" x14ac:dyDescent="0.2">
      <c r="A79" s="7" t="s">
        <v>798</v>
      </c>
      <c r="B79" s="7"/>
      <c r="C79" s="136" t="s">
        <v>629</v>
      </c>
      <c r="D79" s="252">
        <f>D80</f>
        <v>1050</v>
      </c>
      <c r="E79" s="252"/>
      <c r="F79" s="252">
        <f>F80</f>
        <v>1050</v>
      </c>
      <c r="G79" s="252">
        <v>0</v>
      </c>
      <c r="H79" s="306"/>
      <c r="I79" s="252">
        <v>0</v>
      </c>
      <c r="J79" s="252">
        <v>0</v>
      </c>
      <c r="K79" s="252"/>
      <c r="L79" s="252">
        <v>0</v>
      </c>
    </row>
    <row r="80" spans="1:12" ht="38.25" x14ac:dyDescent="0.2">
      <c r="A80" s="7"/>
      <c r="B80" s="7" t="s">
        <v>57</v>
      </c>
      <c r="C80" s="136" t="s">
        <v>56</v>
      </c>
      <c r="D80" s="252">
        <f>D81+D82</f>
        <v>1050</v>
      </c>
      <c r="E80" s="252"/>
      <c r="F80" s="252">
        <f>F81+F82</f>
        <v>1050</v>
      </c>
      <c r="G80" s="252">
        <v>0</v>
      </c>
      <c r="H80" s="306"/>
      <c r="I80" s="252">
        <v>0</v>
      </c>
      <c r="J80" s="252">
        <v>0</v>
      </c>
      <c r="K80" s="252"/>
      <c r="L80" s="252">
        <v>0</v>
      </c>
    </row>
    <row r="81" spans="1:12" x14ac:dyDescent="0.2">
      <c r="A81" s="7"/>
      <c r="B81" s="7"/>
      <c r="C81" s="136" t="s">
        <v>165</v>
      </c>
      <c r="D81" s="252">
        <v>1050</v>
      </c>
      <c r="E81" s="252"/>
      <c r="F81" s="252">
        <v>1050</v>
      </c>
      <c r="G81" s="252">
        <v>0</v>
      </c>
      <c r="H81" s="306"/>
      <c r="I81" s="252">
        <v>0</v>
      </c>
      <c r="J81" s="252">
        <v>0</v>
      </c>
      <c r="K81" s="252"/>
      <c r="L81" s="252">
        <v>0</v>
      </c>
    </row>
    <row r="82" spans="1:12" x14ac:dyDescent="0.2">
      <c r="A82" s="7"/>
      <c r="B82" s="7"/>
      <c r="C82" s="136" t="s">
        <v>164</v>
      </c>
      <c r="D82" s="253">
        <v>0</v>
      </c>
      <c r="E82" s="253"/>
      <c r="F82" s="253">
        <v>0</v>
      </c>
      <c r="G82" s="253">
        <v>0</v>
      </c>
      <c r="H82" s="311"/>
      <c r="I82" s="253">
        <v>0</v>
      </c>
      <c r="J82" s="253">
        <v>0</v>
      </c>
      <c r="K82" s="253"/>
      <c r="L82" s="253">
        <v>0</v>
      </c>
    </row>
    <row r="83" spans="1:12" ht="25.5" x14ac:dyDescent="0.2">
      <c r="A83" s="30" t="s">
        <v>191</v>
      </c>
      <c r="B83" s="30"/>
      <c r="C83" s="135" t="s">
        <v>190</v>
      </c>
      <c r="D83" s="250">
        <f t="shared" ref="D83:L83" si="8">D84+D93+D110+D113</f>
        <v>304938.83799999999</v>
      </c>
      <c r="E83" s="250">
        <f t="shared" si="8"/>
        <v>-486.8</v>
      </c>
      <c r="F83" s="250">
        <f t="shared" si="8"/>
        <v>304452.038</v>
      </c>
      <c r="G83" s="250">
        <f t="shared" si="8"/>
        <v>300251.54719999997</v>
      </c>
      <c r="H83" s="250">
        <f t="shared" si="8"/>
        <v>0</v>
      </c>
      <c r="I83" s="250">
        <f t="shared" si="8"/>
        <v>300251.54719999997</v>
      </c>
      <c r="J83" s="250">
        <f t="shared" si="8"/>
        <v>290834.84819999995</v>
      </c>
      <c r="K83" s="250">
        <f t="shared" si="8"/>
        <v>0</v>
      </c>
      <c r="L83" s="250">
        <f t="shared" si="8"/>
        <v>290834.84819999995</v>
      </c>
    </row>
    <row r="84" spans="1:12" ht="51" x14ac:dyDescent="0.2">
      <c r="A84" s="208" t="s">
        <v>251</v>
      </c>
      <c r="B84" s="208"/>
      <c r="C84" s="219" t="s">
        <v>174</v>
      </c>
      <c r="D84" s="251">
        <f t="shared" ref="D84:L84" si="9">D85+D87+D89</f>
        <v>263357.32459999999</v>
      </c>
      <c r="E84" s="251">
        <f t="shared" si="9"/>
        <v>-486.8</v>
      </c>
      <c r="F84" s="251">
        <f>F85+F87+F89</f>
        <v>262870.5246</v>
      </c>
      <c r="G84" s="251">
        <f t="shared" si="9"/>
        <v>259433.1974</v>
      </c>
      <c r="H84" s="251">
        <f t="shared" si="9"/>
        <v>0</v>
      </c>
      <c r="I84" s="251">
        <f t="shared" si="9"/>
        <v>259433.1974</v>
      </c>
      <c r="J84" s="251">
        <f t="shared" si="9"/>
        <v>250831.19839999999</v>
      </c>
      <c r="K84" s="251"/>
      <c r="L84" s="251">
        <f t="shared" si="9"/>
        <v>250831.19839999999</v>
      </c>
    </row>
    <row r="85" spans="1:12" ht="38.25" x14ac:dyDescent="0.2">
      <c r="A85" s="7" t="s">
        <v>250</v>
      </c>
      <c r="B85" s="57"/>
      <c r="C85" s="136" t="s">
        <v>249</v>
      </c>
      <c r="D85" s="252">
        <f>D86</f>
        <v>35235.9</v>
      </c>
      <c r="E85" s="252">
        <f>E86</f>
        <v>-486.8</v>
      </c>
      <c r="F85" s="252">
        <f>F86</f>
        <v>34749.1</v>
      </c>
      <c r="G85" s="252">
        <f>G86</f>
        <v>35235.9</v>
      </c>
      <c r="H85" s="306"/>
      <c r="I85" s="252">
        <f>I86</f>
        <v>35235.9</v>
      </c>
      <c r="J85" s="252">
        <f>J86</f>
        <v>35235.9</v>
      </c>
      <c r="K85" s="252"/>
      <c r="L85" s="252">
        <f>L86</f>
        <v>35235.9</v>
      </c>
    </row>
    <row r="86" spans="1:12" ht="38.25" x14ac:dyDescent="0.2">
      <c r="A86" s="7"/>
      <c r="B86" s="7" t="s">
        <v>57</v>
      </c>
      <c r="C86" s="136" t="s">
        <v>56</v>
      </c>
      <c r="D86" s="252">
        <v>35235.9</v>
      </c>
      <c r="E86" s="252">
        <v>-486.8</v>
      </c>
      <c r="F86" s="252">
        <v>34749.1</v>
      </c>
      <c r="G86" s="252">
        <v>35235.9</v>
      </c>
      <c r="H86" s="306"/>
      <c r="I86" s="252">
        <v>35235.9</v>
      </c>
      <c r="J86" s="252">
        <v>35235.9</v>
      </c>
      <c r="K86" s="252"/>
      <c r="L86" s="252">
        <v>35235.9</v>
      </c>
    </row>
    <row r="87" spans="1:12" ht="63.75" x14ac:dyDescent="0.2">
      <c r="A87" s="7" t="s">
        <v>248</v>
      </c>
      <c r="B87" s="7"/>
      <c r="C87" s="136" t="s">
        <v>247</v>
      </c>
      <c r="D87" s="252">
        <f>D88</f>
        <v>218466.32459999999</v>
      </c>
      <c r="E87" s="252"/>
      <c r="F87" s="252">
        <f>F88</f>
        <v>218466.32459999999</v>
      </c>
      <c r="G87" s="252">
        <f>G88</f>
        <v>214542.1974</v>
      </c>
      <c r="H87" s="306"/>
      <c r="I87" s="252">
        <f>I88</f>
        <v>214542.1974</v>
      </c>
      <c r="J87" s="252">
        <f>J88</f>
        <v>205940.19839999999</v>
      </c>
      <c r="K87" s="252"/>
      <c r="L87" s="252">
        <f>L88</f>
        <v>205940.19839999999</v>
      </c>
    </row>
    <row r="88" spans="1:12" ht="38.25" x14ac:dyDescent="0.2">
      <c r="A88" s="7"/>
      <c r="B88" s="7" t="s">
        <v>57</v>
      </c>
      <c r="C88" s="136" t="s">
        <v>56</v>
      </c>
      <c r="D88" s="252">
        <v>218466.32459999999</v>
      </c>
      <c r="E88" s="252"/>
      <c r="F88" s="252">
        <v>218466.32459999999</v>
      </c>
      <c r="G88" s="252">
        <v>214542.1974</v>
      </c>
      <c r="H88" s="306"/>
      <c r="I88" s="252">
        <v>214542.1974</v>
      </c>
      <c r="J88" s="252">
        <v>205940.19839999999</v>
      </c>
      <c r="K88" s="252"/>
      <c r="L88" s="252">
        <v>205940.19839999999</v>
      </c>
    </row>
    <row r="89" spans="1:12" ht="102" x14ac:dyDescent="0.2">
      <c r="A89" s="7" t="s">
        <v>246</v>
      </c>
      <c r="B89" s="7"/>
      <c r="C89" s="136" t="s">
        <v>245</v>
      </c>
      <c r="D89" s="252">
        <f>D90</f>
        <v>9655.1</v>
      </c>
      <c r="E89" s="252"/>
      <c r="F89" s="252">
        <f>F90</f>
        <v>9655.1</v>
      </c>
      <c r="G89" s="252">
        <f>G90</f>
        <v>9655.1</v>
      </c>
      <c r="H89" s="306"/>
      <c r="I89" s="252">
        <f>I90</f>
        <v>9655.1</v>
      </c>
      <c r="J89" s="252">
        <f>J90</f>
        <v>9655.1</v>
      </c>
      <c r="K89" s="252"/>
      <c r="L89" s="252">
        <f>L90</f>
        <v>9655.1</v>
      </c>
    </row>
    <row r="90" spans="1:12" ht="38.25" x14ac:dyDescent="0.2">
      <c r="A90" s="7"/>
      <c r="B90" s="7" t="s">
        <v>57</v>
      </c>
      <c r="C90" s="136" t="s">
        <v>56</v>
      </c>
      <c r="D90" s="252">
        <f>D91+D92</f>
        <v>9655.1</v>
      </c>
      <c r="E90" s="252"/>
      <c r="F90" s="252">
        <f>F91+F92</f>
        <v>9655.1</v>
      </c>
      <c r="G90" s="252">
        <f>G91+G92</f>
        <v>9655.1</v>
      </c>
      <c r="H90" s="306"/>
      <c r="I90" s="252">
        <f>I91+I92</f>
        <v>9655.1</v>
      </c>
      <c r="J90" s="252">
        <f>J91+J92</f>
        <v>9655.1</v>
      </c>
      <c r="K90" s="252"/>
      <c r="L90" s="252">
        <f>L91+L92</f>
        <v>9655.1</v>
      </c>
    </row>
    <row r="91" spans="1:12" x14ac:dyDescent="0.2">
      <c r="A91" s="7"/>
      <c r="B91" s="7"/>
      <c r="C91" s="136" t="s">
        <v>165</v>
      </c>
      <c r="D91" s="252">
        <v>8930.9</v>
      </c>
      <c r="E91" s="252"/>
      <c r="F91" s="252">
        <v>8930.9</v>
      </c>
      <c r="G91" s="252">
        <v>8930.9</v>
      </c>
      <c r="H91" s="306"/>
      <c r="I91" s="252">
        <v>8930.9</v>
      </c>
      <c r="J91" s="252">
        <v>8930.9</v>
      </c>
      <c r="K91" s="252"/>
      <c r="L91" s="252">
        <v>8930.9</v>
      </c>
    </row>
    <row r="92" spans="1:12" x14ac:dyDescent="0.2">
      <c r="A92" s="7"/>
      <c r="B92" s="7"/>
      <c r="C92" s="136" t="s">
        <v>164</v>
      </c>
      <c r="D92" s="252">
        <v>724.2</v>
      </c>
      <c r="E92" s="252"/>
      <c r="F92" s="252">
        <v>724.2</v>
      </c>
      <c r="G92" s="255">
        <v>724.2</v>
      </c>
      <c r="H92" s="312"/>
      <c r="I92" s="255">
        <v>724.2</v>
      </c>
      <c r="J92" s="252">
        <v>724.2</v>
      </c>
      <c r="K92" s="252"/>
      <c r="L92" s="252">
        <v>724.2</v>
      </c>
    </row>
    <row r="93" spans="1:12" ht="51" x14ac:dyDescent="0.2">
      <c r="A93" s="208" t="s">
        <v>189</v>
      </c>
      <c r="B93" s="208"/>
      <c r="C93" s="219" t="s">
        <v>188</v>
      </c>
      <c r="D93" s="251">
        <f>D94+D96+D98+D100+D102+D104+D106+D108</f>
        <v>40418.599999999991</v>
      </c>
      <c r="E93" s="251"/>
      <c r="F93" s="251">
        <f>F94+F96+F98+F100+F102+F104+F106+F108</f>
        <v>40418.599999999991</v>
      </c>
      <c r="G93" s="251">
        <f>G94+G96+G98+G100+G102+G104+G106+G108</f>
        <v>40300.299999999996</v>
      </c>
      <c r="H93" s="310"/>
      <c r="I93" s="251">
        <f>I94+I96+I98+I100+I102+I104+I106+I108</f>
        <v>40300.299999999996</v>
      </c>
      <c r="J93" s="251">
        <f>J94+J96+J98+J100+J102+J104+J106+J108</f>
        <v>39485.599999999999</v>
      </c>
      <c r="K93" s="251"/>
      <c r="L93" s="251">
        <f>L94+L96+L98+L100+L102+L104+L106+L108</f>
        <v>39485.599999999999</v>
      </c>
    </row>
    <row r="94" spans="1:12" ht="25.5" x14ac:dyDescent="0.2">
      <c r="A94" s="7" t="s">
        <v>244</v>
      </c>
      <c r="B94" s="7"/>
      <c r="C94" s="136" t="s">
        <v>243</v>
      </c>
      <c r="D94" s="252">
        <f>D95</f>
        <v>7208.4</v>
      </c>
      <c r="E94" s="252"/>
      <c r="F94" s="252">
        <f>F95</f>
        <v>7208.4</v>
      </c>
      <c r="G94" s="252">
        <f>G95</f>
        <v>7208.4</v>
      </c>
      <c r="H94" s="306"/>
      <c r="I94" s="252">
        <f>I95</f>
        <v>7208.4</v>
      </c>
      <c r="J94" s="252">
        <f>J95</f>
        <v>7208.4</v>
      </c>
      <c r="K94" s="252"/>
      <c r="L94" s="252">
        <f>L95</f>
        <v>7208.4</v>
      </c>
    </row>
    <row r="95" spans="1:12" ht="38.25" x14ac:dyDescent="0.2">
      <c r="A95" s="7"/>
      <c r="B95" s="7" t="s">
        <v>57</v>
      </c>
      <c r="C95" s="136" t="s">
        <v>56</v>
      </c>
      <c r="D95" s="252">
        <v>7208.4</v>
      </c>
      <c r="E95" s="252"/>
      <c r="F95" s="252">
        <v>7208.4</v>
      </c>
      <c r="G95" s="252">
        <v>7208.4</v>
      </c>
      <c r="H95" s="306"/>
      <c r="I95" s="252">
        <v>7208.4</v>
      </c>
      <c r="J95" s="252">
        <v>7208.4</v>
      </c>
      <c r="K95" s="252"/>
      <c r="L95" s="252">
        <v>7208.4</v>
      </c>
    </row>
    <row r="96" spans="1:12" ht="38.25" x14ac:dyDescent="0.2">
      <c r="A96" s="7" t="s">
        <v>183</v>
      </c>
      <c r="B96" s="7"/>
      <c r="C96" s="136" t="s">
        <v>800</v>
      </c>
      <c r="D96" s="252">
        <f>D97</f>
        <v>1659.5</v>
      </c>
      <c r="E96" s="252"/>
      <c r="F96" s="252">
        <f>F97</f>
        <v>1659.5</v>
      </c>
      <c r="G96" s="252">
        <f>G97</f>
        <v>1659.5</v>
      </c>
      <c r="H96" s="306"/>
      <c r="I96" s="252">
        <f>I97</f>
        <v>1659.5</v>
      </c>
      <c r="J96" s="252">
        <f>J97</f>
        <v>1659.5</v>
      </c>
      <c r="K96" s="252"/>
      <c r="L96" s="252">
        <f>L97</f>
        <v>1659.5</v>
      </c>
    </row>
    <row r="97" spans="1:12" ht="38.25" x14ac:dyDescent="0.2">
      <c r="A97" s="7"/>
      <c r="B97" s="7" t="s">
        <v>57</v>
      </c>
      <c r="C97" s="136" t="s">
        <v>56</v>
      </c>
      <c r="D97" s="252">
        <f>1519.4+140.1</f>
        <v>1659.5</v>
      </c>
      <c r="E97" s="252"/>
      <c r="F97" s="252">
        <f>1519.4+140.1</f>
        <v>1659.5</v>
      </c>
      <c r="G97" s="252">
        <f>1519.4+140.1</f>
        <v>1659.5</v>
      </c>
      <c r="H97" s="306"/>
      <c r="I97" s="252">
        <f>1519.4+140.1</f>
        <v>1659.5</v>
      </c>
      <c r="J97" s="252">
        <f>1519.4+140.1</f>
        <v>1659.5</v>
      </c>
      <c r="K97" s="252"/>
      <c r="L97" s="252">
        <f>1519.4+140.1</f>
        <v>1659.5</v>
      </c>
    </row>
    <row r="98" spans="1:12" ht="51" x14ac:dyDescent="0.2">
      <c r="A98" s="7" t="s">
        <v>242</v>
      </c>
      <c r="B98" s="7"/>
      <c r="C98" s="136" t="s">
        <v>241</v>
      </c>
      <c r="D98" s="252">
        <f>D99</f>
        <v>419.8</v>
      </c>
      <c r="E98" s="252"/>
      <c r="F98" s="252">
        <f>F99</f>
        <v>419.8</v>
      </c>
      <c r="G98" s="252">
        <f>G99</f>
        <v>419.8</v>
      </c>
      <c r="H98" s="306"/>
      <c r="I98" s="252">
        <f>I99</f>
        <v>419.8</v>
      </c>
      <c r="J98" s="252">
        <f>J99</f>
        <v>419.8</v>
      </c>
      <c r="K98" s="252"/>
      <c r="L98" s="252">
        <f>L99</f>
        <v>419.8</v>
      </c>
    </row>
    <row r="99" spans="1:12" ht="38.25" x14ac:dyDescent="0.2">
      <c r="A99" s="7"/>
      <c r="B99" s="7" t="s">
        <v>57</v>
      </c>
      <c r="C99" s="136" t="s">
        <v>56</v>
      </c>
      <c r="D99" s="252">
        <v>419.8</v>
      </c>
      <c r="E99" s="252"/>
      <c r="F99" s="252">
        <v>419.8</v>
      </c>
      <c r="G99" s="252">
        <v>419.8</v>
      </c>
      <c r="H99" s="306"/>
      <c r="I99" s="252">
        <v>419.8</v>
      </c>
      <c r="J99" s="252">
        <v>419.8</v>
      </c>
      <c r="K99" s="252"/>
      <c r="L99" s="252">
        <v>419.8</v>
      </c>
    </row>
    <row r="100" spans="1:12" ht="38.25" x14ac:dyDescent="0.2">
      <c r="A100" s="7" t="s">
        <v>240</v>
      </c>
      <c r="B100" s="7"/>
      <c r="C100" s="136" t="s">
        <v>239</v>
      </c>
      <c r="D100" s="252">
        <f>D101</f>
        <v>113.8</v>
      </c>
      <c r="E100" s="252"/>
      <c r="F100" s="252">
        <f>F101</f>
        <v>113.8</v>
      </c>
      <c r="G100" s="252">
        <f>G101</f>
        <v>113.8</v>
      </c>
      <c r="H100" s="306"/>
      <c r="I100" s="252">
        <f>I101</f>
        <v>113.8</v>
      </c>
      <c r="J100" s="252">
        <f>J101</f>
        <v>113.8</v>
      </c>
      <c r="K100" s="252"/>
      <c r="L100" s="252">
        <f>L101</f>
        <v>113.8</v>
      </c>
    </row>
    <row r="101" spans="1:12" ht="38.25" x14ac:dyDescent="0.2">
      <c r="A101" s="7"/>
      <c r="B101" s="7" t="s">
        <v>57</v>
      </c>
      <c r="C101" s="136" t="s">
        <v>56</v>
      </c>
      <c r="D101" s="252">
        <v>113.8</v>
      </c>
      <c r="E101" s="252"/>
      <c r="F101" s="252">
        <v>113.8</v>
      </c>
      <c r="G101" s="252">
        <v>113.8</v>
      </c>
      <c r="H101" s="306"/>
      <c r="I101" s="252">
        <v>113.8</v>
      </c>
      <c r="J101" s="252">
        <v>113.8</v>
      </c>
      <c r="K101" s="252"/>
      <c r="L101" s="252">
        <v>113.8</v>
      </c>
    </row>
    <row r="102" spans="1:12" ht="38.25" x14ac:dyDescent="0.2">
      <c r="A102" s="65" t="s">
        <v>187</v>
      </c>
      <c r="B102" s="7"/>
      <c r="C102" s="136" t="s">
        <v>186</v>
      </c>
      <c r="D102" s="252">
        <f>D103</f>
        <v>3726.4</v>
      </c>
      <c r="E102" s="252"/>
      <c r="F102" s="252">
        <f>F103</f>
        <v>3726.4</v>
      </c>
      <c r="G102" s="252">
        <f>G103</f>
        <v>3953.5</v>
      </c>
      <c r="H102" s="306"/>
      <c r="I102" s="252">
        <f>I103</f>
        <v>3953.5</v>
      </c>
      <c r="J102" s="252">
        <f>J103</f>
        <v>3915.7</v>
      </c>
      <c r="K102" s="252"/>
      <c r="L102" s="252">
        <f>L103</f>
        <v>3915.7</v>
      </c>
    </row>
    <row r="103" spans="1:12" ht="38.25" x14ac:dyDescent="0.2">
      <c r="A103" s="65"/>
      <c r="B103" s="7" t="s">
        <v>57</v>
      </c>
      <c r="C103" s="136" t="s">
        <v>56</v>
      </c>
      <c r="D103" s="252">
        <v>3726.4</v>
      </c>
      <c r="E103" s="252"/>
      <c r="F103" s="252">
        <v>3726.4</v>
      </c>
      <c r="G103" s="252">
        <v>3953.5</v>
      </c>
      <c r="H103" s="306"/>
      <c r="I103" s="252">
        <v>3953.5</v>
      </c>
      <c r="J103" s="252">
        <v>3915.7</v>
      </c>
      <c r="K103" s="252"/>
      <c r="L103" s="252">
        <v>3915.7</v>
      </c>
    </row>
    <row r="104" spans="1:12" ht="25.5" x14ac:dyDescent="0.2">
      <c r="A104" s="65" t="s">
        <v>185</v>
      </c>
      <c r="B104" s="7"/>
      <c r="C104" s="136" t="s">
        <v>184</v>
      </c>
      <c r="D104" s="252">
        <f>D105</f>
        <v>4104.8</v>
      </c>
      <c r="E104" s="252"/>
      <c r="F104" s="252">
        <f>F105</f>
        <v>4104.8</v>
      </c>
      <c r="G104" s="252">
        <f>G105</f>
        <v>4142.7</v>
      </c>
      <c r="H104" s="306"/>
      <c r="I104" s="252">
        <f>I105</f>
        <v>4142.7</v>
      </c>
      <c r="J104" s="252">
        <f>J105</f>
        <v>4010.3</v>
      </c>
      <c r="K104" s="252"/>
      <c r="L104" s="252">
        <f>L105</f>
        <v>4010.3</v>
      </c>
    </row>
    <row r="105" spans="1:12" ht="38.25" x14ac:dyDescent="0.2">
      <c r="A105" s="65"/>
      <c r="B105" s="7" t="s">
        <v>57</v>
      </c>
      <c r="C105" s="136" t="s">
        <v>56</v>
      </c>
      <c r="D105" s="252">
        <v>4104.8</v>
      </c>
      <c r="E105" s="252"/>
      <c r="F105" s="252">
        <v>4104.8</v>
      </c>
      <c r="G105" s="252">
        <v>4142.7</v>
      </c>
      <c r="H105" s="306"/>
      <c r="I105" s="252">
        <v>4142.7</v>
      </c>
      <c r="J105" s="252">
        <v>4010.3</v>
      </c>
      <c r="K105" s="252"/>
      <c r="L105" s="252">
        <v>4010.3</v>
      </c>
    </row>
    <row r="106" spans="1:12" ht="51" x14ac:dyDescent="0.2">
      <c r="A106" s="7" t="s">
        <v>793</v>
      </c>
      <c r="B106" s="7"/>
      <c r="C106" s="136" t="s">
        <v>238</v>
      </c>
      <c r="D106" s="252">
        <f>D107</f>
        <v>11589.1</v>
      </c>
      <c r="E106" s="252"/>
      <c r="F106" s="252">
        <f>F107</f>
        <v>11589.1</v>
      </c>
      <c r="G106" s="252">
        <f>G107</f>
        <v>11589.1</v>
      </c>
      <c r="H106" s="306"/>
      <c r="I106" s="252">
        <f>I107</f>
        <v>11589.1</v>
      </c>
      <c r="J106" s="252">
        <f>J107</f>
        <v>11589.1</v>
      </c>
      <c r="K106" s="252"/>
      <c r="L106" s="252">
        <f>L107</f>
        <v>11589.1</v>
      </c>
    </row>
    <row r="107" spans="1:12" ht="38.25" x14ac:dyDescent="0.2">
      <c r="A107" s="7"/>
      <c r="B107" s="7" t="s">
        <v>57</v>
      </c>
      <c r="C107" s="136" t="s">
        <v>56</v>
      </c>
      <c r="D107" s="252">
        <v>11589.1</v>
      </c>
      <c r="E107" s="252"/>
      <c r="F107" s="252">
        <v>11589.1</v>
      </c>
      <c r="G107" s="252">
        <v>11589.1</v>
      </c>
      <c r="H107" s="306"/>
      <c r="I107" s="252">
        <v>11589.1</v>
      </c>
      <c r="J107" s="252">
        <v>11589.1</v>
      </c>
      <c r="K107" s="252"/>
      <c r="L107" s="252">
        <v>11589.1</v>
      </c>
    </row>
    <row r="108" spans="1:12" ht="51" x14ac:dyDescent="0.2">
      <c r="A108" s="7" t="s">
        <v>237</v>
      </c>
      <c r="B108" s="7"/>
      <c r="C108" s="136" t="s">
        <v>236</v>
      </c>
      <c r="D108" s="252">
        <f>D109</f>
        <v>11596.8</v>
      </c>
      <c r="E108" s="252"/>
      <c r="F108" s="252">
        <f>F109</f>
        <v>11596.8</v>
      </c>
      <c r="G108" s="252">
        <f>G109</f>
        <v>11213.5</v>
      </c>
      <c r="H108" s="306"/>
      <c r="I108" s="252">
        <f>I109</f>
        <v>11213.5</v>
      </c>
      <c r="J108" s="252">
        <f>J109</f>
        <v>10569</v>
      </c>
      <c r="K108" s="252"/>
      <c r="L108" s="252">
        <f>L109</f>
        <v>10569</v>
      </c>
    </row>
    <row r="109" spans="1:12" ht="38.25" x14ac:dyDescent="0.2">
      <c r="A109" s="7"/>
      <c r="B109" s="7" t="s">
        <v>57</v>
      </c>
      <c r="C109" s="136" t="s">
        <v>56</v>
      </c>
      <c r="D109" s="252">
        <v>11596.8</v>
      </c>
      <c r="E109" s="252"/>
      <c r="F109" s="252">
        <v>11596.8</v>
      </c>
      <c r="G109" s="252">
        <v>11213.5</v>
      </c>
      <c r="H109" s="306"/>
      <c r="I109" s="252">
        <v>11213.5</v>
      </c>
      <c r="J109" s="252">
        <v>10569</v>
      </c>
      <c r="K109" s="252"/>
      <c r="L109" s="252">
        <v>10569</v>
      </c>
    </row>
    <row r="110" spans="1:12" s="137" customFormat="1" ht="51" x14ac:dyDescent="0.2">
      <c r="A110" s="208" t="s">
        <v>299</v>
      </c>
      <c r="B110" s="208"/>
      <c r="C110" s="219" t="s">
        <v>298</v>
      </c>
      <c r="D110" s="251">
        <f t="shared" ref="D110:L111" si="10">D111</f>
        <v>734.43000000000029</v>
      </c>
      <c r="E110" s="251"/>
      <c r="F110" s="251">
        <f t="shared" si="10"/>
        <v>734.43000000000029</v>
      </c>
      <c r="G110" s="251">
        <f t="shared" si="10"/>
        <v>0</v>
      </c>
      <c r="H110" s="310"/>
      <c r="I110" s="251">
        <f t="shared" si="10"/>
        <v>0</v>
      </c>
      <c r="J110" s="251">
        <f t="shared" si="10"/>
        <v>0</v>
      </c>
      <c r="K110" s="251"/>
      <c r="L110" s="251">
        <f t="shared" si="10"/>
        <v>0</v>
      </c>
    </row>
    <row r="111" spans="1:12" ht="38.25" x14ac:dyDescent="0.2">
      <c r="A111" s="7" t="s">
        <v>297</v>
      </c>
      <c r="B111" s="7"/>
      <c r="C111" s="294" t="s">
        <v>296</v>
      </c>
      <c r="D111" s="252">
        <f t="shared" si="10"/>
        <v>734.43000000000029</v>
      </c>
      <c r="E111" s="252"/>
      <c r="F111" s="252">
        <f t="shared" si="10"/>
        <v>734.43000000000029</v>
      </c>
      <c r="G111" s="252">
        <f t="shared" si="10"/>
        <v>0</v>
      </c>
      <c r="H111" s="306"/>
      <c r="I111" s="252">
        <f t="shared" si="10"/>
        <v>0</v>
      </c>
      <c r="J111" s="252">
        <f t="shared" si="10"/>
        <v>0</v>
      </c>
      <c r="K111" s="252"/>
      <c r="L111" s="252">
        <f t="shared" si="10"/>
        <v>0</v>
      </c>
    </row>
    <row r="112" spans="1:12" ht="38.25" x14ac:dyDescent="0.2">
      <c r="A112" s="7"/>
      <c r="B112" s="7" t="s">
        <v>272</v>
      </c>
      <c r="C112" s="6" t="s">
        <v>271</v>
      </c>
      <c r="D112" s="252">
        <v>734.43000000000029</v>
      </c>
      <c r="E112" s="252"/>
      <c r="F112" s="252">
        <f>8191.33-7456.9</f>
        <v>734.43000000000029</v>
      </c>
      <c r="G112" s="252">
        <v>0</v>
      </c>
      <c r="H112" s="306"/>
      <c r="I112" s="252">
        <v>0</v>
      </c>
      <c r="J112" s="252">
        <v>0</v>
      </c>
      <c r="K112" s="252"/>
      <c r="L112" s="252">
        <v>0</v>
      </c>
    </row>
    <row r="113" spans="1:12" ht="25.5" x14ac:dyDescent="0.2">
      <c r="A113" s="366" t="s">
        <v>866</v>
      </c>
      <c r="B113" s="367"/>
      <c r="C113" s="368" t="s">
        <v>867</v>
      </c>
      <c r="D113" s="251">
        <f t="shared" ref="D113:L114" si="11">D114</f>
        <v>428.48340000000002</v>
      </c>
      <c r="E113" s="251"/>
      <c r="F113" s="251">
        <f t="shared" si="11"/>
        <v>428.48340000000002</v>
      </c>
      <c r="G113" s="251">
        <f t="shared" si="11"/>
        <v>518.0498</v>
      </c>
      <c r="H113" s="251"/>
      <c r="I113" s="251">
        <f t="shared" si="11"/>
        <v>518.0498</v>
      </c>
      <c r="J113" s="251">
        <f t="shared" si="11"/>
        <v>518.0498</v>
      </c>
      <c r="K113" s="251"/>
      <c r="L113" s="251">
        <f t="shared" si="11"/>
        <v>518.0498</v>
      </c>
    </row>
    <row r="114" spans="1:12" ht="63.75" x14ac:dyDescent="0.2">
      <c r="A114" s="369" t="s">
        <v>868</v>
      </c>
      <c r="B114" s="369"/>
      <c r="C114" s="399" t="s">
        <v>233</v>
      </c>
      <c r="D114" s="252">
        <f t="shared" si="11"/>
        <v>428.48340000000002</v>
      </c>
      <c r="E114" s="252"/>
      <c r="F114" s="252">
        <f t="shared" si="11"/>
        <v>428.48340000000002</v>
      </c>
      <c r="G114" s="252">
        <f t="shared" si="11"/>
        <v>518.0498</v>
      </c>
      <c r="H114" s="252"/>
      <c r="I114" s="252">
        <f t="shared" si="11"/>
        <v>518.0498</v>
      </c>
      <c r="J114" s="252">
        <f t="shared" si="11"/>
        <v>518.0498</v>
      </c>
      <c r="K114" s="252"/>
      <c r="L114" s="252">
        <f t="shared" si="11"/>
        <v>518.0498</v>
      </c>
    </row>
    <row r="115" spans="1:12" ht="38.25" x14ac:dyDescent="0.2">
      <c r="A115" s="7"/>
      <c r="B115" s="7" t="s">
        <v>57</v>
      </c>
      <c r="C115" s="136" t="s">
        <v>56</v>
      </c>
      <c r="D115" s="252">
        <v>428.48340000000002</v>
      </c>
      <c r="E115" s="252"/>
      <c r="F115" s="252">
        <v>428.48340000000002</v>
      </c>
      <c r="G115" s="252">
        <v>518.0498</v>
      </c>
      <c r="H115" s="252"/>
      <c r="I115" s="252">
        <v>518.0498</v>
      </c>
      <c r="J115" s="252">
        <v>518.0498</v>
      </c>
      <c r="K115" s="252"/>
      <c r="L115" s="252">
        <v>518.0498</v>
      </c>
    </row>
    <row r="116" spans="1:12" ht="25.5" x14ac:dyDescent="0.2">
      <c r="A116" s="30" t="s">
        <v>222</v>
      </c>
      <c r="B116" s="30"/>
      <c r="C116" s="135" t="s">
        <v>221</v>
      </c>
      <c r="D116" s="256">
        <f>D117</f>
        <v>36600.199999999997</v>
      </c>
      <c r="E116" s="256">
        <f>E117</f>
        <v>-2.9</v>
      </c>
      <c r="F116" s="256">
        <f>F117</f>
        <v>36597.299999999996</v>
      </c>
      <c r="G116" s="256">
        <f>G117</f>
        <v>35409.5</v>
      </c>
      <c r="H116" s="313"/>
      <c r="I116" s="256">
        <f>I117</f>
        <v>35409.5</v>
      </c>
      <c r="J116" s="256">
        <f>J117</f>
        <v>35409.5</v>
      </c>
      <c r="K116" s="256"/>
      <c r="L116" s="256">
        <f>L117</f>
        <v>35409.5</v>
      </c>
    </row>
    <row r="117" spans="1:12" ht="38.25" x14ac:dyDescent="0.2">
      <c r="A117" s="208" t="s">
        <v>220</v>
      </c>
      <c r="B117" s="216"/>
      <c r="C117" s="219" t="s">
        <v>219</v>
      </c>
      <c r="D117" s="257">
        <f>D118+D120+D122+D124+D126+D128+D130</f>
        <v>36600.199999999997</v>
      </c>
      <c r="E117" s="257">
        <f>E118+E120+E122+E124+E126+E128+E130</f>
        <v>-2.9</v>
      </c>
      <c r="F117" s="257">
        <f>F118+F120+F122+F124+F126+F128+F130</f>
        <v>36597.299999999996</v>
      </c>
      <c r="G117" s="257">
        <f>G118+G120+G122+G124+G126+G128+G130</f>
        <v>35409.5</v>
      </c>
      <c r="H117" s="314"/>
      <c r="I117" s="257">
        <f>I118+I120+I122+I124+I126+I128+I130</f>
        <v>35409.5</v>
      </c>
      <c r="J117" s="257">
        <f>J118+J120+J122+J124+J126+J128+J130</f>
        <v>35409.5</v>
      </c>
      <c r="K117" s="257"/>
      <c r="L117" s="257">
        <f>L118+L120+L122+L124+L126+L128+L130</f>
        <v>35409.5</v>
      </c>
    </row>
    <row r="118" spans="1:12" ht="51" x14ac:dyDescent="0.2">
      <c r="A118" s="7" t="s">
        <v>226</v>
      </c>
      <c r="B118" s="57"/>
      <c r="C118" s="136" t="s">
        <v>225</v>
      </c>
      <c r="D118" s="252">
        <f>D119</f>
        <v>22533.7</v>
      </c>
      <c r="E118" s="252">
        <v>-2.9</v>
      </c>
      <c r="F118" s="252">
        <v>22530.799999999999</v>
      </c>
      <c r="G118" s="252">
        <f>G119</f>
        <v>21343</v>
      </c>
      <c r="H118" s="306"/>
      <c r="I118" s="252">
        <f>I119</f>
        <v>21343</v>
      </c>
      <c r="J118" s="252">
        <f>J119</f>
        <v>21343</v>
      </c>
      <c r="K118" s="252"/>
      <c r="L118" s="252">
        <f>L119</f>
        <v>21343</v>
      </c>
    </row>
    <row r="119" spans="1:12" ht="38.25" x14ac:dyDescent="0.2">
      <c r="A119" s="7"/>
      <c r="B119" s="7" t="s">
        <v>57</v>
      </c>
      <c r="C119" s="136" t="s">
        <v>56</v>
      </c>
      <c r="D119" s="252">
        <v>22533.7</v>
      </c>
      <c r="E119" s="252"/>
      <c r="F119" s="252">
        <f>22073.1-730.1+1190.7</f>
        <v>22533.7</v>
      </c>
      <c r="G119" s="252">
        <f>22073.1-730.1</f>
        <v>21343</v>
      </c>
      <c r="H119" s="306"/>
      <c r="I119" s="252">
        <f>22073.1-730.1</f>
        <v>21343</v>
      </c>
      <c r="J119" s="252">
        <f>22073.1-730.1</f>
        <v>21343</v>
      </c>
      <c r="K119" s="252"/>
      <c r="L119" s="252">
        <f>22073.1-730.1</f>
        <v>21343</v>
      </c>
    </row>
    <row r="120" spans="1:12" ht="51" x14ac:dyDescent="0.2">
      <c r="A120" s="7" t="s">
        <v>224</v>
      </c>
      <c r="B120" s="57"/>
      <c r="C120" s="136" t="s">
        <v>223</v>
      </c>
      <c r="D120" s="252">
        <f>D121</f>
        <v>13325.4</v>
      </c>
      <c r="E120" s="252"/>
      <c r="F120" s="252">
        <f>F121</f>
        <v>13325.4</v>
      </c>
      <c r="G120" s="252">
        <f>G121</f>
        <v>13325.4</v>
      </c>
      <c r="H120" s="306"/>
      <c r="I120" s="252">
        <f>I121</f>
        <v>13325.4</v>
      </c>
      <c r="J120" s="252">
        <f>J121</f>
        <v>13325.4</v>
      </c>
      <c r="K120" s="252"/>
      <c r="L120" s="252">
        <f>L121</f>
        <v>13325.4</v>
      </c>
    </row>
    <row r="121" spans="1:12" ht="38.25" x14ac:dyDescent="0.2">
      <c r="A121" s="7"/>
      <c r="B121" s="7" t="s">
        <v>57</v>
      </c>
      <c r="C121" s="136" t="s">
        <v>56</v>
      </c>
      <c r="D121" s="252">
        <v>13325.4</v>
      </c>
      <c r="E121" s="252"/>
      <c r="F121" s="252">
        <v>13325.4</v>
      </c>
      <c r="G121" s="252">
        <v>13325.4</v>
      </c>
      <c r="H121" s="306"/>
      <c r="I121" s="252">
        <v>13325.4</v>
      </c>
      <c r="J121" s="252">
        <v>13325.4</v>
      </c>
      <c r="K121" s="252"/>
      <c r="L121" s="252">
        <v>13325.4</v>
      </c>
    </row>
    <row r="122" spans="1:12" ht="25.5" x14ac:dyDescent="0.2">
      <c r="A122" s="7" t="s">
        <v>218</v>
      </c>
      <c r="B122" s="7"/>
      <c r="C122" s="136" t="s">
        <v>217</v>
      </c>
      <c r="D122" s="252">
        <f>D123</f>
        <v>290.5</v>
      </c>
      <c r="E122" s="252"/>
      <c r="F122" s="252">
        <f>F123</f>
        <v>290.5</v>
      </c>
      <c r="G122" s="252">
        <f>G123</f>
        <v>290.5</v>
      </c>
      <c r="H122" s="306"/>
      <c r="I122" s="252">
        <f>I123</f>
        <v>290.5</v>
      </c>
      <c r="J122" s="252">
        <f>J123</f>
        <v>290.5</v>
      </c>
      <c r="K122" s="252"/>
      <c r="L122" s="252">
        <f>L123</f>
        <v>290.5</v>
      </c>
    </row>
    <row r="123" spans="1:12" ht="38.25" x14ac:dyDescent="0.2">
      <c r="A123" s="7"/>
      <c r="B123" s="7" t="s">
        <v>57</v>
      </c>
      <c r="C123" s="136" t="s">
        <v>56</v>
      </c>
      <c r="D123" s="252">
        <v>290.5</v>
      </c>
      <c r="E123" s="252"/>
      <c r="F123" s="252">
        <v>290.5</v>
      </c>
      <c r="G123" s="252">
        <v>290.5</v>
      </c>
      <c r="H123" s="306"/>
      <c r="I123" s="252">
        <v>290.5</v>
      </c>
      <c r="J123" s="252">
        <v>290.5</v>
      </c>
      <c r="K123" s="252"/>
      <c r="L123" s="252">
        <v>290.5</v>
      </c>
    </row>
    <row r="124" spans="1:12" ht="25.5" x14ac:dyDescent="0.2">
      <c r="A124" s="7" t="s">
        <v>216</v>
      </c>
      <c r="B124" s="7"/>
      <c r="C124" s="136" t="s">
        <v>801</v>
      </c>
      <c r="D124" s="252">
        <f>D125</f>
        <v>120.3</v>
      </c>
      <c r="E124" s="252"/>
      <c r="F124" s="252">
        <f>F125</f>
        <v>120.3</v>
      </c>
      <c r="G124" s="252">
        <f>G125</f>
        <v>120.3</v>
      </c>
      <c r="H124" s="306"/>
      <c r="I124" s="252">
        <f>I125</f>
        <v>120.3</v>
      </c>
      <c r="J124" s="252">
        <f>J125</f>
        <v>120.3</v>
      </c>
      <c r="K124" s="252"/>
      <c r="L124" s="252">
        <f>L125</f>
        <v>120.3</v>
      </c>
    </row>
    <row r="125" spans="1:12" ht="38.25" x14ac:dyDescent="0.2">
      <c r="A125" s="7"/>
      <c r="B125" s="7" t="s">
        <v>57</v>
      </c>
      <c r="C125" s="136" t="s">
        <v>56</v>
      </c>
      <c r="D125" s="252">
        <v>120.3</v>
      </c>
      <c r="E125" s="252"/>
      <c r="F125" s="252">
        <v>120.3</v>
      </c>
      <c r="G125" s="252">
        <v>120.3</v>
      </c>
      <c r="H125" s="306"/>
      <c r="I125" s="252">
        <v>120.3</v>
      </c>
      <c r="J125" s="252">
        <v>120.3</v>
      </c>
      <c r="K125" s="252"/>
      <c r="L125" s="252">
        <v>120.3</v>
      </c>
    </row>
    <row r="126" spans="1:12" ht="25.5" x14ac:dyDescent="0.2">
      <c r="A126" s="7" t="s">
        <v>214</v>
      </c>
      <c r="B126" s="7"/>
      <c r="C126" s="136" t="s">
        <v>213</v>
      </c>
      <c r="D126" s="252">
        <f>D127</f>
        <v>70.2</v>
      </c>
      <c r="E126" s="252"/>
      <c r="F126" s="252">
        <f>F127</f>
        <v>70.2</v>
      </c>
      <c r="G126" s="252">
        <f>G127</f>
        <v>70.2</v>
      </c>
      <c r="H126" s="306"/>
      <c r="I126" s="252">
        <f>I127</f>
        <v>70.2</v>
      </c>
      <c r="J126" s="252">
        <f>J127</f>
        <v>70.2</v>
      </c>
      <c r="K126" s="252"/>
      <c r="L126" s="252">
        <f>L127</f>
        <v>70.2</v>
      </c>
    </row>
    <row r="127" spans="1:12" ht="38.25" x14ac:dyDescent="0.2">
      <c r="A127" s="7"/>
      <c r="B127" s="7" t="s">
        <v>57</v>
      </c>
      <c r="C127" s="136" t="s">
        <v>56</v>
      </c>
      <c r="D127" s="252">
        <v>70.2</v>
      </c>
      <c r="E127" s="252"/>
      <c r="F127" s="252">
        <v>70.2</v>
      </c>
      <c r="G127" s="252">
        <v>70.2</v>
      </c>
      <c r="H127" s="306"/>
      <c r="I127" s="252">
        <v>70.2</v>
      </c>
      <c r="J127" s="252">
        <v>70.2</v>
      </c>
      <c r="K127" s="252"/>
      <c r="L127" s="252">
        <v>70.2</v>
      </c>
    </row>
    <row r="128" spans="1:12" ht="51" x14ac:dyDescent="0.2">
      <c r="A128" s="7" t="s">
        <v>212</v>
      </c>
      <c r="B128" s="7"/>
      <c r="C128" s="136" t="s">
        <v>211</v>
      </c>
      <c r="D128" s="252">
        <f>D129</f>
        <v>85.9</v>
      </c>
      <c r="E128" s="252"/>
      <c r="F128" s="252">
        <f>F129</f>
        <v>85.9</v>
      </c>
      <c r="G128" s="252">
        <f>G129</f>
        <v>85.9</v>
      </c>
      <c r="H128" s="306"/>
      <c r="I128" s="252">
        <f>I129</f>
        <v>85.9</v>
      </c>
      <c r="J128" s="252">
        <f>J129</f>
        <v>85.9</v>
      </c>
      <c r="K128" s="252"/>
      <c r="L128" s="252">
        <f>L129</f>
        <v>85.9</v>
      </c>
    </row>
    <row r="129" spans="1:12" ht="38.25" x14ac:dyDescent="0.2">
      <c r="A129" s="7"/>
      <c r="B129" s="7" t="s">
        <v>57</v>
      </c>
      <c r="C129" s="136" t="s">
        <v>56</v>
      </c>
      <c r="D129" s="252">
        <v>85.9</v>
      </c>
      <c r="E129" s="252"/>
      <c r="F129" s="252">
        <v>85.9</v>
      </c>
      <c r="G129" s="252">
        <v>85.9</v>
      </c>
      <c r="H129" s="306"/>
      <c r="I129" s="252">
        <v>85.9</v>
      </c>
      <c r="J129" s="252">
        <v>85.9</v>
      </c>
      <c r="K129" s="252"/>
      <c r="L129" s="252">
        <v>85.9</v>
      </c>
    </row>
    <row r="130" spans="1:12" ht="25.5" x14ac:dyDescent="0.2">
      <c r="A130" s="7" t="s">
        <v>210</v>
      </c>
      <c r="B130" s="7"/>
      <c r="C130" s="136" t="s">
        <v>209</v>
      </c>
      <c r="D130" s="252">
        <f>D131</f>
        <v>174.2</v>
      </c>
      <c r="E130" s="252"/>
      <c r="F130" s="252">
        <f>F131</f>
        <v>174.2</v>
      </c>
      <c r="G130" s="252">
        <f>G131</f>
        <v>174.2</v>
      </c>
      <c r="H130" s="306"/>
      <c r="I130" s="252">
        <f>I131</f>
        <v>174.2</v>
      </c>
      <c r="J130" s="252">
        <f>J131</f>
        <v>174.2</v>
      </c>
      <c r="K130" s="252"/>
      <c r="L130" s="252">
        <f>L131</f>
        <v>174.2</v>
      </c>
    </row>
    <row r="131" spans="1:12" ht="38.25" x14ac:dyDescent="0.2">
      <c r="A131" s="7"/>
      <c r="B131" s="7" t="s">
        <v>57</v>
      </c>
      <c r="C131" s="136" t="s">
        <v>56</v>
      </c>
      <c r="D131" s="252">
        <v>174.2</v>
      </c>
      <c r="E131" s="252"/>
      <c r="F131" s="252">
        <v>174.2</v>
      </c>
      <c r="G131" s="252">
        <v>174.2</v>
      </c>
      <c r="H131" s="306"/>
      <c r="I131" s="252">
        <v>174.2</v>
      </c>
      <c r="J131" s="252">
        <v>174.2</v>
      </c>
      <c r="K131" s="252"/>
      <c r="L131" s="252">
        <v>174.2</v>
      </c>
    </row>
    <row r="132" spans="1:12" ht="25.5" x14ac:dyDescent="0.2">
      <c r="A132" s="30" t="s">
        <v>142</v>
      </c>
      <c r="B132" s="30"/>
      <c r="C132" s="135" t="s">
        <v>141</v>
      </c>
      <c r="D132" s="256">
        <f>D133</f>
        <v>6424.7000000000007</v>
      </c>
      <c r="E132" s="256">
        <f>E133</f>
        <v>-41.7</v>
      </c>
      <c r="F132" s="256">
        <f>F133</f>
        <v>6383</v>
      </c>
      <c r="G132" s="256">
        <f>G133</f>
        <v>6424.7000000000007</v>
      </c>
      <c r="H132" s="313"/>
      <c r="I132" s="256">
        <f>I133</f>
        <v>6424.7000000000007</v>
      </c>
      <c r="J132" s="256">
        <f>J133</f>
        <v>6424.7000000000007</v>
      </c>
      <c r="K132" s="256"/>
      <c r="L132" s="256">
        <f>L133</f>
        <v>6424.7000000000007</v>
      </c>
    </row>
    <row r="133" spans="1:12" ht="38.25" x14ac:dyDescent="0.2">
      <c r="A133" s="208" t="s">
        <v>140</v>
      </c>
      <c r="B133" s="208"/>
      <c r="C133" s="219" t="s">
        <v>139</v>
      </c>
      <c r="D133" s="257">
        <f>D134+D136+D138</f>
        <v>6424.7000000000007</v>
      </c>
      <c r="E133" s="257">
        <f>E134+E136+E138</f>
        <v>-41.7</v>
      </c>
      <c r="F133" s="257">
        <f>F134+F136+F138</f>
        <v>6383</v>
      </c>
      <c r="G133" s="257">
        <f>G134+G136+G138</f>
        <v>6424.7000000000007</v>
      </c>
      <c r="H133" s="314"/>
      <c r="I133" s="257">
        <f>I134+I136+I138</f>
        <v>6424.7000000000007</v>
      </c>
      <c r="J133" s="257">
        <f>J134+J136+J138</f>
        <v>6424.7000000000007</v>
      </c>
      <c r="K133" s="257"/>
      <c r="L133" s="257">
        <f>L134+L136+L138</f>
        <v>6424.7000000000007</v>
      </c>
    </row>
    <row r="134" spans="1:12" ht="38.25" x14ac:dyDescent="0.2">
      <c r="A134" s="7" t="s">
        <v>208</v>
      </c>
      <c r="B134" s="7"/>
      <c r="C134" s="136" t="s">
        <v>802</v>
      </c>
      <c r="D134" s="252">
        <f>D135</f>
        <v>115.7</v>
      </c>
      <c r="E134" s="252">
        <f>E135</f>
        <v>-41.7</v>
      </c>
      <c r="F134" s="252">
        <f>F135</f>
        <v>74</v>
      </c>
      <c r="G134" s="252">
        <f>G135</f>
        <v>115.7</v>
      </c>
      <c r="H134" s="306"/>
      <c r="I134" s="252">
        <f>I135</f>
        <v>115.7</v>
      </c>
      <c r="J134" s="252">
        <f>J135</f>
        <v>115.7</v>
      </c>
      <c r="K134" s="252"/>
      <c r="L134" s="252">
        <f>L135</f>
        <v>115.7</v>
      </c>
    </row>
    <row r="135" spans="1:12" ht="38.25" x14ac:dyDescent="0.2">
      <c r="A135" s="7"/>
      <c r="B135" s="7" t="s">
        <v>57</v>
      </c>
      <c r="C135" s="136" t="s">
        <v>56</v>
      </c>
      <c r="D135" s="252">
        <v>115.7</v>
      </c>
      <c r="E135" s="252">
        <v>-41.7</v>
      </c>
      <c r="F135" s="252">
        <v>74</v>
      </c>
      <c r="G135" s="252">
        <v>115.7</v>
      </c>
      <c r="H135" s="306"/>
      <c r="I135" s="252">
        <v>115.7</v>
      </c>
      <c r="J135" s="252">
        <v>115.7</v>
      </c>
      <c r="K135" s="252"/>
      <c r="L135" s="252">
        <v>115.7</v>
      </c>
    </row>
    <row r="136" spans="1:12" ht="51" x14ac:dyDescent="0.2">
      <c r="A136" s="7" t="s">
        <v>138</v>
      </c>
      <c r="B136" s="7"/>
      <c r="C136" s="136" t="s">
        <v>137</v>
      </c>
      <c r="D136" s="252">
        <f>D137</f>
        <v>1702.9</v>
      </c>
      <c r="E136" s="252"/>
      <c r="F136" s="252">
        <f>F137</f>
        <v>1702.9</v>
      </c>
      <c r="G136" s="252">
        <f>G137</f>
        <v>1702.9</v>
      </c>
      <c r="H136" s="306"/>
      <c r="I136" s="252">
        <f>I137</f>
        <v>1702.9</v>
      </c>
      <c r="J136" s="252">
        <f>J137</f>
        <v>1702.9</v>
      </c>
      <c r="K136" s="252"/>
      <c r="L136" s="252">
        <f>L137</f>
        <v>1702.9</v>
      </c>
    </row>
    <row r="137" spans="1:12" ht="38.25" x14ac:dyDescent="0.2">
      <c r="A137" s="7"/>
      <c r="B137" s="7" t="s">
        <v>57</v>
      </c>
      <c r="C137" s="136" t="s">
        <v>56</v>
      </c>
      <c r="D137" s="252">
        <v>1702.9</v>
      </c>
      <c r="E137" s="252"/>
      <c r="F137" s="252">
        <v>1702.9</v>
      </c>
      <c r="G137" s="252">
        <v>1702.9</v>
      </c>
      <c r="H137" s="306"/>
      <c r="I137" s="252">
        <v>1702.9</v>
      </c>
      <c r="J137" s="252">
        <v>1702.9</v>
      </c>
      <c r="K137" s="252"/>
      <c r="L137" s="252">
        <v>1702.9</v>
      </c>
    </row>
    <row r="138" spans="1:12" ht="51" x14ac:dyDescent="0.2">
      <c r="A138" s="7" t="s">
        <v>207</v>
      </c>
      <c r="B138" s="7"/>
      <c r="C138" s="295" t="s">
        <v>206</v>
      </c>
      <c r="D138" s="252">
        <f>D139+D140+D141</f>
        <v>4606.1000000000004</v>
      </c>
      <c r="E138" s="252"/>
      <c r="F138" s="252">
        <f>F139+F140+F141</f>
        <v>4606.1000000000004</v>
      </c>
      <c r="G138" s="252">
        <f>G139+G140+G141</f>
        <v>4606.1000000000004</v>
      </c>
      <c r="H138" s="306"/>
      <c r="I138" s="252">
        <f>I139+I140+I141</f>
        <v>4606.1000000000004</v>
      </c>
      <c r="J138" s="252">
        <f>J139+J140+J141</f>
        <v>4606.1000000000004</v>
      </c>
      <c r="K138" s="252"/>
      <c r="L138" s="252">
        <f>L139+L140+L141</f>
        <v>4606.1000000000004</v>
      </c>
    </row>
    <row r="139" spans="1:12" ht="25.5" x14ac:dyDescent="0.2">
      <c r="A139" s="7"/>
      <c r="B139" s="7" t="s">
        <v>79</v>
      </c>
      <c r="C139" s="136" t="s">
        <v>78</v>
      </c>
      <c r="D139" s="252">
        <v>0</v>
      </c>
      <c r="E139" s="252"/>
      <c r="F139" s="252">
        <v>0</v>
      </c>
      <c r="G139" s="252">
        <v>0</v>
      </c>
      <c r="H139" s="306"/>
      <c r="I139" s="252">
        <v>0</v>
      </c>
      <c r="J139" s="252">
        <v>0</v>
      </c>
      <c r="K139" s="252"/>
      <c r="L139" s="252">
        <v>0</v>
      </c>
    </row>
    <row r="140" spans="1:12" ht="38.25" x14ac:dyDescent="0.2">
      <c r="A140" s="7"/>
      <c r="B140" s="7" t="s">
        <v>57</v>
      </c>
      <c r="C140" s="136" t="s">
        <v>56</v>
      </c>
      <c r="D140" s="252">
        <v>4606.1000000000004</v>
      </c>
      <c r="E140" s="252"/>
      <c r="F140" s="252">
        <v>4606.1000000000004</v>
      </c>
      <c r="G140" s="252">
        <v>4606.1000000000004</v>
      </c>
      <c r="H140" s="306"/>
      <c r="I140" s="252">
        <v>4606.1000000000004</v>
      </c>
      <c r="J140" s="252">
        <v>4606.1000000000004</v>
      </c>
      <c r="K140" s="252"/>
      <c r="L140" s="252">
        <v>4606.1000000000004</v>
      </c>
    </row>
    <row r="141" spans="1:12" x14ac:dyDescent="0.2">
      <c r="A141" s="7"/>
      <c r="B141" s="7" t="s">
        <v>22</v>
      </c>
      <c r="C141" s="136" t="s">
        <v>21</v>
      </c>
      <c r="D141" s="253">
        <v>0</v>
      </c>
      <c r="E141" s="253"/>
      <c r="F141" s="253">
        <v>0</v>
      </c>
      <c r="G141" s="253">
        <v>0</v>
      </c>
      <c r="H141" s="311"/>
      <c r="I141" s="253">
        <v>0</v>
      </c>
      <c r="J141" s="253">
        <v>0</v>
      </c>
      <c r="K141" s="253"/>
      <c r="L141" s="253">
        <v>0</v>
      </c>
    </row>
    <row r="142" spans="1:12" x14ac:dyDescent="0.2">
      <c r="A142" s="30" t="s">
        <v>85</v>
      </c>
      <c r="B142" s="30"/>
      <c r="C142" s="135" t="s">
        <v>84</v>
      </c>
      <c r="D142" s="256">
        <f>D143+D148</f>
        <v>22040.151800000003</v>
      </c>
      <c r="E142" s="256"/>
      <c r="F142" s="256">
        <f>F143+F148</f>
        <v>22040.151800000003</v>
      </c>
      <c r="G142" s="256">
        <f>G143+G148</f>
        <v>22194.144900000003</v>
      </c>
      <c r="H142" s="313"/>
      <c r="I142" s="256">
        <f>I143+I148</f>
        <v>22194.144900000003</v>
      </c>
      <c r="J142" s="256">
        <f>J143+J148</f>
        <v>22272.5694</v>
      </c>
      <c r="K142" s="256"/>
      <c r="L142" s="256">
        <f>L143+L148</f>
        <v>22272.5694</v>
      </c>
    </row>
    <row r="143" spans="1:12" ht="38.25" x14ac:dyDescent="0.2">
      <c r="A143" s="208" t="s">
        <v>205</v>
      </c>
      <c r="B143" s="208"/>
      <c r="C143" s="219" t="s">
        <v>204</v>
      </c>
      <c r="D143" s="257">
        <f>D144+D146</f>
        <v>278.2</v>
      </c>
      <c r="E143" s="257"/>
      <c r="F143" s="257">
        <f>F144+F146</f>
        <v>278.2</v>
      </c>
      <c r="G143" s="257">
        <f>G144+G146</f>
        <v>278.2</v>
      </c>
      <c r="H143" s="314"/>
      <c r="I143" s="257">
        <f>I144+I146</f>
        <v>278.2</v>
      </c>
      <c r="J143" s="257">
        <f>J144+J146</f>
        <v>278.2</v>
      </c>
      <c r="K143" s="257"/>
      <c r="L143" s="257">
        <f>L144+L146</f>
        <v>278.2</v>
      </c>
    </row>
    <row r="144" spans="1:12" ht="25.5" x14ac:dyDescent="0.2">
      <c r="A144" s="67" t="s">
        <v>203</v>
      </c>
      <c r="B144" s="67"/>
      <c r="C144" s="66" t="s">
        <v>202</v>
      </c>
      <c r="D144" s="252">
        <f>D145</f>
        <v>175</v>
      </c>
      <c r="E144" s="252"/>
      <c r="F144" s="252">
        <f>F145</f>
        <v>175</v>
      </c>
      <c r="G144" s="252">
        <f>G145</f>
        <v>175</v>
      </c>
      <c r="H144" s="306"/>
      <c r="I144" s="252">
        <f>I145</f>
        <v>175</v>
      </c>
      <c r="J144" s="252">
        <f>J145</f>
        <v>175</v>
      </c>
      <c r="K144" s="252"/>
      <c r="L144" s="252">
        <f>L145</f>
        <v>175</v>
      </c>
    </row>
    <row r="145" spans="1:12" ht="38.25" x14ac:dyDescent="0.2">
      <c r="A145" s="67"/>
      <c r="B145" s="67" t="s">
        <v>57</v>
      </c>
      <c r="C145" s="66" t="s">
        <v>56</v>
      </c>
      <c r="D145" s="252">
        <v>175</v>
      </c>
      <c r="E145" s="252"/>
      <c r="F145" s="252">
        <v>175</v>
      </c>
      <c r="G145" s="252">
        <v>175</v>
      </c>
      <c r="H145" s="306"/>
      <c r="I145" s="252">
        <v>175</v>
      </c>
      <c r="J145" s="252">
        <v>175</v>
      </c>
      <c r="K145" s="252"/>
      <c r="L145" s="252">
        <v>175</v>
      </c>
    </row>
    <row r="146" spans="1:12" ht="38.25" x14ac:dyDescent="0.2">
      <c r="A146" s="7" t="s">
        <v>201</v>
      </c>
      <c r="B146" s="7"/>
      <c r="C146" s="136" t="s">
        <v>200</v>
      </c>
      <c r="D146" s="252">
        <f>D147</f>
        <v>103.2</v>
      </c>
      <c r="E146" s="252"/>
      <c r="F146" s="252">
        <f>F147</f>
        <v>103.2</v>
      </c>
      <c r="G146" s="252">
        <f>G147</f>
        <v>103.2</v>
      </c>
      <c r="H146" s="306"/>
      <c r="I146" s="252">
        <f>I147</f>
        <v>103.2</v>
      </c>
      <c r="J146" s="252">
        <f>J147</f>
        <v>103.2</v>
      </c>
      <c r="K146" s="252"/>
      <c r="L146" s="252">
        <f>L147</f>
        <v>103.2</v>
      </c>
    </row>
    <row r="147" spans="1:12" ht="38.25" x14ac:dyDescent="0.2">
      <c r="A147" s="7"/>
      <c r="B147" s="67" t="s">
        <v>57</v>
      </c>
      <c r="C147" s="66" t="s">
        <v>56</v>
      </c>
      <c r="D147" s="252">
        <v>103.2</v>
      </c>
      <c r="E147" s="252"/>
      <c r="F147" s="252">
        <v>103.2</v>
      </c>
      <c r="G147" s="252">
        <v>103.2</v>
      </c>
      <c r="H147" s="306"/>
      <c r="I147" s="252">
        <v>103.2</v>
      </c>
      <c r="J147" s="252">
        <v>103.2</v>
      </c>
      <c r="K147" s="252"/>
      <c r="L147" s="252">
        <v>103.2</v>
      </c>
    </row>
    <row r="148" spans="1:12" ht="38.25" x14ac:dyDescent="0.2">
      <c r="A148" s="208" t="s">
        <v>83</v>
      </c>
      <c r="B148" s="208"/>
      <c r="C148" s="219" t="s">
        <v>82</v>
      </c>
      <c r="D148" s="257">
        <f>D149+D152</f>
        <v>21761.951800000003</v>
      </c>
      <c r="E148" s="257"/>
      <c r="F148" s="257">
        <f>F149+F152</f>
        <v>21761.951800000003</v>
      </c>
      <c r="G148" s="257">
        <f>G149+G152</f>
        <v>21915.944900000002</v>
      </c>
      <c r="H148" s="314"/>
      <c r="I148" s="257">
        <f>I149+I152</f>
        <v>21915.944900000002</v>
      </c>
      <c r="J148" s="257">
        <f>J149+J152</f>
        <v>21994.3694</v>
      </c>
      <c r="K148" s="257"/>
      <c r="L148" s="257">
        <f>L149+L152</f>
        <v>21994.3694</v>
      </c>
    </row>
    <row r="149" spans="1:12" ht="38.25" x14ac:dyDescent="0.2">
      <c r="A149" s="7" t="s">
        <v>182</v>
      </c>
      <c r="B149" s="7"/>
      <c r="C149" s="136" t="s">
        <v>181</v>
      </c>
      <c r="D149" s="252">
        <f>D150+D151</f>
        <v>6801.1808000000001</v>
      </c>
      <c r="E149" s="252"/>
      <c r="F149" s="252">
        <f>F150+F151</f>
        <v>6801.1808000000001</v>
      </c>
      <c r="G149" s="252">
        <f>G150+G151</f>
        <v>6955.1738999999998</v>
      </c>
      <c r="H149" s="306"/>
      <c r="I149" s="252">
        <f>I150+I151</f>
        <v>6955.1738999999998</v>
      </c>
      <c r="J149" s="252">
        <f>J150+J151</f>
        <v>7033.5983999999999</v>
      </c>
      <c r="K149" s="252"/>
      <c r="L149" s="252">
        <f>L150+L151</f>
        <v>7033.5983999999999</v>
      </c>
    </row>
    <row r="150" spans="1:12" ht="25.5" x14ac:dyDescent="0.2">
      <c r="A150" s="7"/>
      <c r="B150" s="7" t="s">
        <v>79</v>
      </c>
      <c r="C150" s="136" t="s">
        <v>78</v>
      </c>
      <c r="D150" s="252">
        <v>0</v>
      </c>
      <c r="E150" s="252"/>
      <c r="F150" s="252">
        <v>0</v>
      </c>
      <c r="G150" s="252">
        <v>0</v>
      </c>
      <c r="H150" s="306"/>
      <c r="I150" s="252">
        <v>0</v>
      </c>
      <c r="J150" s="252">
        <v>0</v>
      </c>
      <c r="K150" s="252"/>
      <c r="L150" s="252">
        <v>0</v>
      </c>
    </row>
    <row r="151" spans="1:12" ht="38.25" x14ac:dyDescent="0.2">
      <c r="A151" s="7"/>
      <c r="B151" s="67" t="s">
        <v>57</v>
      </c>
      <c r="C151" s="66" t="s">
        <v>56</v>
      </c>
      <c r="D151" s="252">
        <v>6801.1808000000001</v>
      </c>
      <c r="E151" s="252"/>
      <c r="F151" s="252">
        <v>6801.1808000000001</v>
      </c>
      <c r="G151" s="252">
        <v>6955.1738999999998</v>
      </c>
      <c r="H151" s="306"/>
      <c r="I151" s="252">
        <v>6955.1738999999998</v>
      </c>
      <c r="J151" s="252">
        <v>7033.5983999999999</v>
      </c>
      <c r="K151" s="252"/>
      <c r="L151" s="252">
        <v>7033.5983999999999</v>
      </c>
    </row>
    <row r="152" spans="1:12" ht="76.5" x14ac:dyDescent="0.2">
      <c r="A152" s="7" t="s">
        <v>81</v>
      </c>
      <c r="B152" s="7"/>
      <c r="C152" s="136" t="s">
        <v>180</v>
      </c>
      <c r="D152" s="252">
        <f>D153+D154</f>
        <v>14960.771000000001</v>
      </c>
      <c r="E152" s="252"/>
      <c r="F152" s="252">
        <f>F153+F154</f>
        <v>14960.771000000001</v>
      </c>
      <c r="G152" s="252">
        <f>G153+G154</f>
        <v>14960.771000000001</v>
      </c>
      <c r="H152" s="306"/>
      <c r="I152" s="252">
        <f>I153+I154</f>
        <v>14960.771000000001</v>
      </c>
      <c r="J152" s="252">
        <f>J153</f>
        <v>14960.771000000001</v>
      </c>
      <c r="K152" s="252"/>
      <c r="L152" s="252">
        <f>L153</f>
        <v>14960.771000000001</v>
      </c>
    </row>
    <row r="153" spans="1:12" ht="25.5" x14ac:dyDescent="0.2">
      <c r="A153" s="7"/>
      <c r="B153" s="7" t="s">
        <v>79</v>
      </c>
      <c r="C153" s="136" t="s">
        <v>78</v>
      </c>
      <c r="D153" s="252">
        <v>14960.771000000001</v>
      </c>
      <c r="E153" s="252"/>
      <c r="F153" s="252">
        <v>14960.771000000001</v>
      </c>
      <c r="G153" s="252">
        <v>14960.771000000001</v>
      </c>
      <c r="H153" s="306"/>
      <c r="I153" s="252">
        <v>14960.771000000001</v>
      </c>
      <c r="J153" s="252">
        <v>14960.771000000001</v>
      </c>
      <c r="K153" s="252"/>
      <c r="L153" s="252">
        <v>14960.771000000001</v>
      </c>
    </row>
    <row r="154" spans="1:12" ht="38.25" x14ac:dyDescent="0.2">
      <c r="A154" s="7"/>
      <c r="B154" s="7" t="s">
        <v>57</v>
      </c>
      <c r="C154" s="136" t="s">
        <v>56</v>
      </c>
      <c r="D154" s="253">
        <v>0</v>
      </c>
      <c r="E154" s="253"/>
      <c r="F154" s="253">
        <v>0</v>
      </c>
      <c r="G154" s="253">
        <v>0</v>
      </c>
      <c r="H154" s="311"/>
      <c r="I154" s="253">
        <v>0</v>
      </c>
      <c r="J154" s="253">
        <v>0</v>
      </c>
      <c r="K154" s="253"/>
      <c r="L154" s="253">
        <v>0</v>
      </c>
    </row>
    <row r="155" spans="1:12" ht="25.5" x14ac:dyDescent="0.2">
      <c r="A155" s="30" t="s">
        <v>232</v>
      </c>
      <c r="B155" s="30"/>
      <c r="C155" s="135" t="s">
        <v>231</v>
      </c>
      <c r="D155" s="250">
        <f>D156+D168+D173</f>
        <v>87739.634870000009</v>
      </c>
      <c r="E155" s="250">
        <f>E156+E168+E173</f>
        <v>5613.7</v>
      </c>
      <c r="F155" s="250">
        <f>F156+F168+F173</f>
        <v>93353.334869999991</v>
      </c>
      <c r="G155" s="250">
        <f t="shared" ref="G155:L155" si="12">G156</f>
        <v>5997.4</v>
      </c>
      <c r="H155" s="250">
        <f t="shared" si="12"/>
        <v>-4599.8999999999996</v>
      </c>
      <c r="I155" s="250">
        <f t="shared" si="12"/>
        <v>1397.5</v>
      </c>
      <c r="J155" s="250">
        <f t="shared" si="12"/>
        <v>7500</v>
      </c>
      <c r="K155" s="250"/>
      <c r="L155" s="250">
        <f t="shared" si="12"/>
        <v>7500</v>
      </c>
    </row>
    <row r="156" spans="1:12" ht="51" x14ac:dyDescent="0.2">
      <c r="A156" s="216" t="s">
        <v>230</v>
      </c>
      <c r="B156" s="216"/>
      <c r="C156" s="219" t="s">
        <v>229</v>
      </c>
      <c r="D156" s="251">
        <f t="shared" ref="D156:J156" si="13">D157+D160+D162+D164+D166</f>
        <v>1284.9000000000001</v>
      </c>
      <c r="E156" s="251">
        <f>E157+E160+E162+E164+E166</f>
        <v>5613.7</v>
      </c>
      <c r="F156" s="251">
        <f t="shared" si="13"/>
        <v>6898.6</v>
      </c>
      <c r="G156" s="251">
        <f t="shared" si="13"/>
        <v>5997.4</v>
      </c>
      <c r="H156" s="251">
        <f t="shared" si="13"/>
        <v>-4599.8999999999996</v>
      </c>
      <c r="I156" s="251">
        <f t="shared" si="13"/>
        <v>1397.5</v>
      </c>
      <c r="J156" s="251">
        <f t="shared" si="13"/>
        <v>7500</v>
      </c>
      <c r="K156" s="251"/>
      <c r="L156" s="251">
        <f>L157+L160+L162+L164+L166</f>
        <v>7500</v>
      </c>
    </row>
    <row r="157" spans="1:12" ht="38.25" x14ac:dyDescent="0.2">
      <c r="A157" s="7" t="s">
        <v>835</v>
      </c>
      <c r="B157" s="318"/>
      <c r="C157" s="319" t="s">
        <v>836</v>
      </c>
      <c r="D157" s="320">
        <v>0</v>
      </c>
      <c r="E157" s="320"/>
      <c r="F157" s="320">
        <v>0</v>
      </c>
      <c r="G157" s="320">
        <v>0</v>
      </c>
      <c r="H157" s="320"/>
      <c r="I157" s="320">
        <v>0</v>
      </c>
      <c r="J157" s="320">
        <f>J158</f>
        <v>7500</v>
      </c>
      <c r="K157" s="320"/>
      <c r="L157" s="320">
        <f>L158</f>
        <v>7500</v>
      </c>
    </row>
    <row r="158" spans="1:12" ht="38.25" x14ac:dyDescent="0.2">
      <c r="A158" s="318"/>
      <c r="B158" s="7" t="s">
        <v>57</v>
      </c>
      <c r="C158" s="136" t="s">
        <v>56</v>
      </c>
      <c r="D158" s="320">
        <v>0</v>
      </c>
      <c r="E158" s="320"/>
      <c r="F158" s="320">
        <v>0</v>
      </c>
      <c r="G158" s="320">
        <v>0</v>
      </c>
      <c r="H158" s="320"/>
      <c r="I158" s="320">
        <v>0</v>
      </c>
      <c r="J158" s="320">
        <f>J159</f>
        <v>7500</v>
      </c>
      <c r="K158" s="320"/>
      <c r="L158" s="320">
        <f>L159</f>
        <v>7500</v>
      </c>
    </row>
    <row r="159" spans="1:12" x14ac:dyDescent="0.2">
      <c r="A159" s="318"/>
      <c r="B159" s="318"/>
      <c r="C159" s="136" t="s">
        <v>77</v>
      </c>
      <c r="D159" s="320">
        <v>0</v>
      </c>
      <c r="E159" s="320"/>
      <c r="F159" s="320">
        <v>0</v>
      </c>
      <c r="G159" s="320">
        <v>0</v>
      </c>
      <c r="H159" s="320"/>
      <c r="I159" s="320">
        <v>0</v>
      </c>
      <c r="J159" s="320">
        <v>7500</v>
      </c>
      <c r="K159" s="320"/>
      <c r="L159" s="320">
        <v>7500</v>
      </c>
    </row>
    <row r="160" spans="1:12" ht="51" x14ac:dyDescent="0.2">
      <c r="A160" s="401" t="s">
        <v>879</v>
      </c>
      <c r="B160" s="390"/>
      <c r="C160" s="391" t="s">
        <v>880</v>
      </c>
      <c r="D160" s="320">
        <f>D161</f>
        <v>953.8</v>
      </c>
      <c r="E160" s="320">
        <f>E161</f>
        <v>435.70000000000005</v>
      </c>
      <c r="F160" s="320">
        <f>F161</f>
        <v>1389.5</v>
      </c>
      <c r="G160" s="320">
        <v>0</v>
      </c>
      <c r="H160" s="320"/>
      <c r="I160" s="320">
        <v>0</v>
      </c>
      <c r="J160" s="320">
        <v>0</v>
      </c>
      <c r="K160" s="320"/>
      <c r="L160" s="320">
        <f>L161</f>
        <v>0</v>
      </c>
    </row>
    <row r="161" spans="1:12" ht="38.25" x14ac:dyDescent="0.2">
      <c r="A161" s="402"/>
      <c r="B161" s="390" t="s">
        <v>57</v>
      </c>
      <c r="C161" s="391" t="s">
        <v>56</v>
      </c>
      <c r="D161" s="320">
        <v>953.8</v>
      </c>
      <c r="E161" s="320">
        <f>442.6-2.4-4.5</f>
        <v>435.70000000000005</v>
      </c>
      <c r="F161" s="320">
        <f>SUM(D161:E161)</f>
        <v>1389.5</v>
      </c>
      <c r="G161" s="320">
        <v>0</v>
      </c>
      <c r="H161" s="320"/>
      <c r="I161" s="320">
        <v>0</v>
      </c>
      <c r="J161" s="320">
        <v>0</v>
      </c>
      <c r="K161" s="320"/>
      <c r="L161" s="320">
        <v>0</v>
      </c>
    </row>
    <row r="162" spans="1:12" ht="76.5" x14ac:dyDescent="0.2">
      <c r="A162" s="403" t="s">
        <v>881</v>
      </c>
      <c r="B162" s="392"/>
      <c r="C162" s="393" t="s">
        <v>882</v>
      </c>
      <c r="D162" s="320">
        <f>D163</f>
        <v>331.1</v>
      </c>
      <c r="E162" s="320">
        <f t="shared" ref="E162:L162" si="14">E163</f>
        <v>4578.1000000000004</v>
      </c>
      <c r="F162" s="320">
        <f t="shared" si="14"/>
        <v>4909.2000000000007</v>
      </c>
      <c r="G162" s="320">
        <f t="shared" si="14"/>
        <v>4000</v>
      </c>
      <c r="H162" s="320">
        <f t="shared" si="14"/>
        <v>-4000</v>
      </c>
      <c r="I162" s="320">
        <f t="shared" si="14"/>
        <v>0</v>
      </c>
      <c r="J162" s="320">
        <f t="shared" si="14"/>
        <v>0</v>
      </c>
      <c r="K162" s="320"/>
      <c r="L162" s="320">
        <f t="shared" si="14"/>
        <v>0</v>
      </c>
    </row>
    <row r="163" spans="1:12" ht="38.25" x14ac:dyDescent="0.2">
      <c r="A163" s="390"/>
      <c r="B163" s="390" t="s">
        <v>57</v>
      </c>
      <c r="C163" s="391" t="s">
        <v>56</v>
      </c>
      <c r="D163" s="320">
        <v>331.1</v>
      </c>
      <c r="E163" s="445">
        <f>4000+578.1</f>
        <v>4578.1000000000004</v>
      </c>
      <c r="F163" s="445">
        <f>SUM(D163:E163)</f>
        <v>4909.2000000000007</v>
      </c>
      <c r="G163" s="445">
        <v>4000</v>
      </c>
      <c r="H163" s="445">
        <v>-4000</v>
      </c>
      <c r="I163" s="320">
        <f>SUM(G163:H163)</f>
        <v>0</v>
      </c>
      <c r="J163" s="320">
        <v>0</v>
      </c>
      <c r="K163" s="320"/>
      <c r="L163" s="320">
        <v>0</v>
      </c>
    </row>
    <row r="164" spans="1:12" ht="25.5" x14ac:dyDescent="0.2">
      <c r="A164" s="7" t="s">
        <v>896</v>
      </c>
      <c r="B164" s="318"/>
      <c r="C164" s="319" t="s">
        <v>895</v>
      </c>
      <c r="D164" s="320">
        <v>0</v>
      </c>
      <c r="E164" s="445">
        <f t="shared" ref="E164:J164" si="15">E165</f>
        <v>599.9</v>
      </c>
      <c r="F164" s="445">
        <f t="shared" si="15"/>
        <v>599.9</v>
      </c>
      <c r="G164" s="445">
        <f t="shared" si="15"/>
        <v>1673</v>
      </c>
      <c r="H164" s="445">
        <f t="shared" si="15"/>
        <v>-599.9</v>
      </c>
      <c r="I164" s="320">
        <f t="shared" si="15"/>
        <v>1073.0999999999999</v>
      </c>
      <c r="J164" s="320">
        <f t="shared" si="15"/>
        <v>0</v>
      </c>
      <c r="K164" s="320"/>
      <c r="L164" s="320">
        <f>L165</f>
        <v>0</v>
      </c>
    </row>
    <row r="165" spans="1:12" ht="38.25" x14ac:dyDescent="0.2">
      <c r="A165" s="318"/>
      <c r="B165" s="318" t="s">
        <v>57</v>
      </c>
      <c r="C165" s="321" t="s">
        <v>56</v>
      </c>
      <c r="D165" s="320">
        <v>0</v>
      </c>
      <c r="E165" s="445">
        <v>599.9</v>
      </c>
      <c r="F165" s="445">
        <v>599.9</v>
      </c>
      <c r="G165" s="445">
        <v>1673</v>
      </c>
      <c r="H165" s="445">
        <v>-599.9</v>
      </c>
      <c r="I165" s="320">
        <f>1673-599.9</f>
        <v>1073.0999999999999</v>
      </c>
      <c r="J165" s="320">
        <f>J168</f>
        <v>0</v>
      </c>
      <c r="K165" s="320"/>
      <c r="L165" s="320">
        <f>L168</f>
        <v>0</v>
      </c>
    </row>
    <row r="166" spans="1:12" ht="51" x14ac:dyDescent="0.2">
      <c r="A166" s="7" t="s">
        <v>897</v>
      </c>
      <c r="B166" s="409"/>
      <c r="C166" s="419" t="s">
        <v>898</v>
      </c>
      <c r="D166" s="410">
        <v>0</v>
      </c>
      <c r="E166" s="410"/>
      <c r="F166" s="410">
        <v>0</v>
      </c>
      <c r="G166" s="410">
        <f>G167</f>
        <v>324.39999999999998</v>
      </c>
      <c r="H166" s="410">
        <f>H167</f>
        <v>0</v>
      </c>
      <c r="I166" s="410">
        <f>I167</f>
        <v>324.39999999999998</v>
      </c>
      <c r="J166" s="410">
        <f>J167</f>
        <v>0</v>
      </c>
      <c r="K166" s="410"/>
      <c r="L166" s="410">
        <f>L167</f>
        <v>0</v>
      </c>
    </row>
    <row r="167" spans="1:12" ht="38.25" x14ac:dyDescent="0.2">
      <c r="A167" s="409"/>
      <c r="B167" s="7" t="s">
        <v>272</v>
      </c>
      <c r="C167" s="6" t="s">
        <v>271</v>
      </c>
      <c r="D167" s="410">
        <v>0</v>
      </c>
      <c r="E167" s="410"/>
      <c r="F167" s="410">
        <v>0</v>
      </c>
      <c r="G167" s="410">
        <v>324.39999999999998</v>
      </c>
      <c r="H167" s="410"/>
      <c r="I167" s="410">
        <v>324.39999999999998</v>
      </c>
      <c r="J167" s="410">
        <v>0</v>
      </c>
      <c r="K167" s="410"/>
      <c r="L167" s="410">
        <v>0</v>
      </c>
    </row>
    <row r="168" spans="1:12" ht="25.5" x14ac:dyDescent="0.2">
      <c r="A168" s="325" t="s">
        <v>860</v>
      </c>
      <c r="B168" s="361"/>
      <c r="C168" s="362" t="s">
        <v>839</v>
      </c>
      <c r="D168" s="382">
        <f>+D169</f>
        <v>18400</v>
      </c>
      <c r="E168" s="382"/>
      <c r="F168" s="382">
        <f t="shared" ref="F168:L168" si="16">+F169</f>
        <v>18400</v>
      </c>
      <c r="G168" s="382">
        <f t="shared" si="16"/>
        <v>0</v>
      </c>
      <c r="H168" s="382"/>
      <c r="I168" s="382">
        <f t="shared" si="16"/>
        <v>0</v>
      </c>
      <c r="J168" s="382">
        <f t="shared" si="16"/>
        <v>0</v>
      </c>
      <c r="K168" s="382"/>
      <c r="L168" s="382">
        <f t="shared" si="16"/>
        <v>0</v>
      </c>
    </row>
    <row r="169" spans="1:12" ht="51" x14ac:dyDescent="0.2">
      <c r="A169" s="318" t="s">
        <v>861</v>
      </c>
      <c r="B169" s="318"/>
      <c r="C169" s="400" t="s">
        <v>228</v>
      </c>
      <c r="D169" s="379">
        <f t="shared" ref="D169:L169" si="17">D170</f>
        <v>18400</v>
      </c>
      <c r="E169" s="379"/>
      <c r="F169" s="379">
        <f t="shared" si="17"/>
        <v>18400</v>
      </c>
      <c r="G169" s="379">
        <f t="shared" si="17"/>
        <v>0</v>
      </c>
      <c r="H169" s="379"/>
      <c r="I169" s="379">
        <f t="shared" si="17"/>
        <v>0</v>
      </c>
      <c r="J169" s="379">
        <f t="shared" si="17"/>
        <v>0</v>
      </c>
      <c r="K169" s="379"/>
      <c r="L169" s="379">
        <f t="shared" si="17"/>
        <v>0</v>
      </c>
    </row>
    <row r="170" spans="1:12" ht="38.25" x14ac:dyDescent="0.2">
      <c r="A170" s="318"/>
      <c r="B170" s="318" t="s">
        <v>57</v>
      </c>
      <c r="C170" s="321" t="s">
        <v>56</v>
      </c>
      <c r="D170" s="379">
        <f t="shared" ref="D170:L170" si="18">D171+D172</f>
        <v>18400</v>
      </c>
      <c r="E170" s="379"/>
      <c r="F170" s="379">
        <f t="shared" si="18"/>
        <v>18400</v>
      </c>
      <c r="G170" s="379">
        <f t="shared" si="18"/>
        <v>0</v>
      </c>
      <c r="H170" s="379"/>
      <c r="I170" s="379">
        <f t="shared" si="18"/>
        <v>0</v>
      </c>
      <c r="J170" s="379">
        <f t="shared" si="18"/>
        <v>0</v>
      </c>
      <c r="K170" s="379"/>
      <c r="L170" s="379">
        <f t="shared" si="18"/>
        <v>0</v>
      </c>
    </row>
    <row r="171" spans="1:12" x14ac:dyDescent="0.2">
      <c r="A171" s="318"/>
      <c r="B171" s="318"/>
      <c r="C171" s="321" t="s">
        <v>165</v>
      </c>
      <c r="D171" s="380">
        <v>16560</v>
      </c>
      <c r="E171" s="379"/>
      <c r="F171" s="379">
        <v>16560</v>
      </c>
      <c r="G171" s="320">
        <v>0</v>
      </c>
      <c r="H171" s="320"/>
      <c r="I171" s="320">
        <v>0</v>
      </c>
      <c r="J171" s="320">
        <v>0</v>
      </c>
      <c r="K171" s="320"/>
      <c r="L171" s="320">
        <v>0</v>
      </c>
    </row>
    <row r="172" spans="1:12" x14ac:dyDescent="0.2">
      <c r="A172" s="318"/>
      <c r="B172" s="318"/>
      <c r="C172" s="321" t="s">
        <v>164</v>
      </c>
      <c r="D172" s="320">
        <v>1840</v>
      </c>
      <c r="E172" s="379"/>
      <c r="F172" s="379">
        <v>1840</v>
      </c>
      <c r="G172" s="320">
        <v>0</v>
      </c>
      <c r="H172" s="320"/>
      <c r="I172" s="320">
        <v>0</v>
      </c>
      <c r="J172" s="320">
        <v>0</v>
      </c>
      <c r="K172" s="320"/>
      <c r="L172" s="320">
        <v>0</v>
      </c>
    </row>
    <row r="173" spans="1:12" ht="25.5" x14ac:dyDescent="0.2">
      <c r="A173" s="325" t="s">
        <v>862</v>
      </c>
      <c r="B173" s="361"/>
      <c r="C173" s="328" t="s">
        <v>863</v>
      </c>
      <c r="D173" s="382">
        <f>D174</f>
        <v>68054.73487</v>
      </c>
      <c r="E173" s="382"/>
      <c r="F173" s="382">
        <f t="shared" ref="F173:L173" si="19">F174</f>
        <v>68054.73487</v>
      </c>
      <c r="G173" s="382">
        <f t="shared" si="19"/>
        <v>0</v>
      </c>
      <c r="H173" s="382"/>
      <c r="I173" s="382">
        <f t="shared" si="19"/>
        <v>0</v>
      </c>
      <c r="J173" s="382">
        <f t="shared" si="19"/>
        <v>0</v>
      </c>
      <c r="K173" s="382"/>
      <c r="L173" s="382">
        <f t="shared" si="19"/>
        <v>0</v>
      </c>
    </row>
    <row r="174" spans="1:12" ht="25.5" x14ac:dyDescent="0.2">
      <c r="A174" s="364" t="s">
        <v>864</v>
      </c>
      <c r="B174" s="360"/>
      <c r="C174" s="365" t="s">
        <v>865</v>
      </c>
      <c r="D174" s="379">
        <f t="shared" ref="D174:L174" si="20">D175</f>
        <v>68054.73487</v>
      </c>
      <c r="E174" s="379"/>
      <c r="F174" s="379">
        <f t="shared" si="20"/>
        <v>68054.73487</v>
      </c>
      <c r="G174" s="379">
        <f t="shared" si="20"/>
        <v>0</v>
      </c>
      <c r="H174" s="379"/>
      <c r="I174" s="379">
        <f t="shared" si="20"/>
        <v>0</v>
      </c>
      <c r="J174" s="379">
        <f t="shared" si="20"/>
        <v>0</v>
      </c>
      <c r="K174" s="379"/>
      <c r="L174" s="379">
        <f t="shared" si="20"/>
        <v>0</v>
      </c>
    </row>
    <row r="175" spans="1:12" ht="38.25" x14ac:dyDescent="0.2">
      <c r="A175" s="360"/>
      <c r="B175" s="318" t="s">
        <v>57</v>
      </c>
      <c r="C175" s="321" t="s">
        <v>56</v>
      </c>
      <c r="D175" s="379">
        <f t="shared" ref="D175:L175" si="21">D177+D178+D176</f>
        <v>68054.73487</v>
      </c>
      <c r="E175" s="379"/>
      <c r="F175" s="379">
        <f t="shared" si="21"/>
        <v>68054.73487</v>
      </c>
      <c r="G175" s="379">
        <f t="shared" si="21"/>
        <v>0</v>
      </c>
      <c r="H175" s="379"/>
      <c r="I175" s="379">
        <f t="shared" si="21"/>
        <v>0</v>
      </c>
      <c r="J175" s="379">
        <f t="shared" si="21"/>
        <v>0</v>
      </c>
      <c r="K175" s="379"/>
      <c r="L175" s="379">
        <f t="shared" si="21"/>
        <v>0</v>
      </c>
    </row>
    <row r="176" spans="1:12" x14ac:dyDescent="0.2">
      <c r="A176" s="360"/>
      <c r="B176" s="318"/>
      <c r="C176" s="321" t="s">
        <v>744</v>
      </c>
      <c r="D176" s="379">
        <v>48355.3</v>
      </c>
      <c r="E176" s="379"/>
      <c r="F176" s="379">
        <v>48355.3</v>
      </c>
      <c r="G176" s="380">
        <v>0</v>
      </c>
      <c r="H176" s="380"/>
      <c r="I176" s="380">
        <v>0</v>
      </c>
      <c r="J176" s="380">
        <v>0</v>
      </c>
      <c r="K176" s="380"/>
      <c r="L176" s="380">
        <v>0</v>
      </c>
    </row>
    <row r="177" spans="1:14" x14ac:dyDescent="0.2">
      <c r="A177" s="360"/>
      <c r="B177" s="318"/>
      <c r="C177" s="321" t="s">
        <v>234</v>
      </c>
      <c r="D177" s="381">
        <v>14443.79091</v>
      </c>
      <c r="E177" s="381"/>
      <c r="F177" s="381">
        <v>14443.79091</v>
      </c>
      <c r="G177" s="380">
        <v>0</v>
      </c>
      <c r="H177" s="380"/>
      <c r="I177" s="380">
        <v>0</v>
      </c>
      <c r="J177" s="380">
        <v>0</v>
      </c>
      <c r="K177" s="380"/>
      <c r="L177" s="380">
        <v>0</v>
      </c>
    </row>
    <row r="178" spans="1:14" x14ac:dyDescent="0.2">
      <c r="A178" s="360"/>
      <c r="B178" s="318"/>
      <c r="C178" s="321" t="s">
        <v>77</v>
      </c>
      <c r="D178" s="379">
        <f>5119.13372+136.51024</f>
        <v>5255.6439599999994</v>
      </c>
      <c r="E178" s="379"/>
      <c r="F178" s="379">
        <f>5119.13372+136.51024</f>
        <v>5255.6439599999994</v>
      </c>
      <c r="G178" s="380">
        <v>0</v>
      </c>
      <c r="H178" s="380"/>
      <c r="I178" s="380">
        <v>0</v>
      </c>
      <c r="J178" s="380">
        <v>0</v>
      </c>
      <c r="K178" s="380"/>
      <c r="L178" s="380">
        <v>0</v>
      </c>
    </row>
    <row r="179" spans="1:14" ht="25.5" x14ac:dyDescent="0.2">
      <c r="A179" s="30" t="s">
        <v>199</v>
      </c>
      <c r="B179" s="30"/>
      <c r="C179" s="135" t="s">
        <v>630</v>
      </c>
      <c r="D179" s="250">
        <f>D180</f>
        <v>53.3</v>
      </c>
      <c r="E179" s="250"/>
      <c r="F179" s="250">
        <f>F180</f>
        <v>53.3</v>
      </c>
      <c r="G179" s="250">
        <f t="shared" ref="G179:L181" si="22">G180</f>
        <v>53.3</v>
      </c>
      <c r="H179" s="309"/>
      <c r="I179" s="250">
        <f t="shared" si="22"/>
        <v>53.3</v>
      </c>
      <c r="J179" s="250">
        <f t="shared" si="22"/>
        <v>53.3</v>
      </c>
      <c r="K179" s="250"/>
      <c r="L179" s="250">
        <f t="shared" si="22"/>
        <v>53.3</v>
      </c>
    </row>
    <row r="180" spans="1:14" ht="25.5" x14ac:dyDescent="0.2">
      <c r="A180" s="208" t="s">
        <v>197</v>
      </c>
      <c r="B180" s="208"/>
      <c r="C180" s="219" t="s">
        <v>196</v>
      </c>
      <c r="D180" s="251">
        <f>D181</f>
        <v>53.3</v>
      </c>
      <c r="E180" s="251"/>
      <c r="F180" s="251">
        <f>F181</f>
        <v>53.3</v>
      </c>
      <c r="G180" s="251">
        <f t="shared" si="22"/>
        <v>53.3</v>
      </c>
      <c r="H180" s="310"/>
      <c r="I180" s="251">
        <f t="shared" si="22"/>
        <v>53.3</v>
      </c>
      <c r="J180" s="251">
        <f t="shared" si="22"/>
        <v>53.3</v>
      </c>
      <c r="K180" s="251"/>
      <c r="L180" s="251">
        <f t="shared" si="22"/>
        <v>53.3</v>
      </c>
    </row>
    <row r="181" spans="1:14" ht="38.25" x14ac:dyDescent="0.2">
      <c r="A181" s="7" t="s">
        <v>195</v>
      </c>
      <c r="B181" s="7"/>
      <c r="C181" s="136" t="s">
        <v>194</v>
      </c>
      <c r="D181" s="252">
        <f>D182</f>
        <v>53.3</v>
      </c>
      <c r="E181" s="252"/>
      <c r="F181" s="252">
        <f>F182</f>
        <v>53.3</v>
      </c>
      <c r="G181" s="252">
        <f t="shared" si="22"/>
        <v>53.3</v>
      </c>
      <c r="H181" s="306"/>
      <c r="I181" s="252">
        <f t="shared" si="22"/>
        <v>53.3</v>
      </c>
      <c r="J181" s="252">
        <f t="shared" si="22"/>
        <v>53.3</v>
      </c>
      <c r="K181" s="252"/>
      <c r="L181" s="252">
        <f t="shared" si="22"/>
        <v>53.3</v>
      </c>
    </row>
    <row r="182" spans="1:14" ht="38.25" x14ac:dyDescent="0.2">
      <c r="A182" s="7"/>
      <c r="B182" s="7" t="s">
        <v>57</v>
      </c>
      <c r="C182" s="136" t="s">
        <v>56</v>
      </c>
      <c r="D182" s="252">
        <v>53.3</v>
      </c>
      <c r="E182" s="252"/>
      <c r="F182" s="252">
        <v>53.3</v>
      </c>
      <c r="G182" s="252">
        <v>53.3</v>
      </c>
      <c r="H182" s="306"/>
      <c r="I182" s="252">
        <v>53.3</v>
      </c>
      <c r="J182" s="252">
        <v>53.3</v>
      </c>
      <c r="K182" s="252"/>
      <c r="L182" s="252">
        <v>53.3</v>
      </c>
    </row>
    <row r="183" spans="1:14" s="1" customFormat="1" ht="51.75" x14ac:dyDescent="0.25">
      <c r="A183" s="225" t="s">
        <v>268</v>
      </c>
      <c r="B183" s="225"/>
      <c r="C183" s="228" t="s">
        <v>267</v>
      </c>
      <c r="D183" s="249">
        <f>D184+D192+D200</f>
        <v>6749.4340000000002</v>
      </c>
      <c r="E183" s="249">
        <f>E184+E192+E200</f>
        <v>-3.5639999999999998E-2</v>
      </c>
      <c r="F183" s="249">
        <f>F184+F192+F200</f>
        <v>6749.3983600000001</v>
      </c>
      <c r="G183" s="249">
        <f>G184+G192+G200</f>
        <v>15104.70572</v>
      </c>
      <c r="H183" s="308"/>
      <c r="I183" s="249">
        <f>I184+I192+I200</f>
        <v>15104.70572</v>
      </c>
      <c r="J183" s="249">
        <f>J184+J192</f>
        <v>7636.1</v>
      </c>
      <c r="K183" s="249"/>
      <c r="L183" s="249">
        <f>L184+L192</f>
        <v>7636.1</v>
      </c>
    </row>
    <row r="184" spans="1:14" s="1" customFormat="1" ht="26.25" x14ac:dyDescent="0.25">
      <c r="A184" s="208" t="s">
        <v>279</v>
      </c>
      <c r="B184" s="208"/>
      <c r="C184" s="209" t="s">
        <v>278</v>
      </c>
      <c r="D184" s="251">
        <f>D185+D187</f>
        <v>6564.2340000000004</v>
      </c>
      <c r="E184" s="251">
        <f>E185+E187</f>
        <v>-3.5639999999999998E-2</v>
      </c>
      <c r="F184" s="251">
        <f>F185+F187</f>
        <v>6564.1983600000003</v>
      </c>
      <c r="G184" s="251">
        <f>G185+G187</f>
        <v>7475.1610000000001</v>
      </c>
      <c r="H184" s="310"/>
      <c r="I184" s="251">
        <f>I185+I187</f>
        <v>7475.1610000000001</v>
      </c>
      <c r="J184" s="251">
        <f>J185+J187</f>
        <v>0</v>
      </c>
      <c r="K184" s="251"/>
      <c r="L184" s="251">
        <f>L185+L187</f>
        <v>0</v>
      </c>
      <c r="M184" s="270">
        <f>M185+M186+M187</f>
        <v>7636.1</v>
      </c>
    </row>
    <row r="185" spans="1:14" s="1" customFormat="1" ht="15" x14ac:dyDescent="0.25">
      <c r="A185" s="7" t="s">
        <v>277</v>
      </c>
      <c r="B185" s="7"/>
      <c r="C185" s="6" t="s">
        <v>820</v>
      </c>
      <c r="D185" s="252">
        <f>D186</f>
        <v>5012.1400000000003</v>
      </c>
      <c r="E185" s="252"/>
      <c r="F185" s="252">
        <f>F186</f>
        <v>5012.1400000000003</v>
      </c>
      <c r="G185" s="252">
        <f>G186</f>
        <v>5060.3379999999997</v>
      </c>
      <c r="H185" s="306"/>
      <c r="I185" s="252">
        <f>I186</f>
        <v>5060.3379999999997</v>
      </c>
      <c r="J185" s="252">
        <f>J186</f>
        <v>0</v>
      </c>
      <c r="K185" s="252"/>
      <c r="L185" s="252">
        <f>L186</f>
        <v>0</v>
      </c>
      <c r="M185" s="270">
        <f>J191+J205</f>
        <v>0</v>
      </c>
      <c r="N185" s="1" t="s">
        <v>623</v>
      </c>
    </row>
    <row r="186" spans="1:14" s="1" customFormat="1" ht="26.25" x14ac:dyDescent="0.25">
      <c r="A186" s="7"/>
      <c r="B186" s="7" t="s">
        <v>79</v>
      </c>
      <c r="C186" s="6" t="s">
        <v>78</v>
      </c>
      <c r="D186" s="252">
        <v>5012.1400000000003</v>
      </c>
      <c r="E186" s="252"/>
      <c r="F186" s="252">
        <v>5012.1400000000003</v>
      </c>
      <c r="G186" s="252">
        <v>5060.3379999999997</v>
      </c>
      <c r="H186" s="306"/>
      <c r="I186" s="252">
        <v>5060.3379999999997</v>
      </c>
      <c r="J186" s="252">
        <v>0</v>
      </c>
      <c r="K186" s="252"/>
      <c r="L186" s="252">
        <v>0</v>
      </c>
      <c r="M186" s="270">
        <f>J185+J190+J193+J195+J197+J204</f>
        <v>7636.1</v>
      </c>
      <c r="N186" s="1" t="s">
        <v>622</v>
      </c>
    </row>
    <row r="187" spans="1:14" s="1" customFormat="1" ht="64.5" x14ac:dyDescent="0.25">
      <c r="A187" s="7" t="s">
        <v>276</v>
      </c>
      <c r="B187" s="7"/>
      <c r="C187" s="12" t="s">
        <v>275</v>
      </c>
      <c r="D187" s="252">
        <f>D188</f>
        <v>1552.0940000000001</v>
      </c>
      <c r="E187" s="252">
        <f>E188</f>
        <v>-3.5639999999999998E-2</v>
      </c>
      <c r="F187" s="252">
        <f>F188</f>
        <v>1552.05836</v>
      </c>
      <c r="G187" s="252">
        <f>G188</f>
        <v>2414.8230000000003</v>
      </c>
      <c r="H187" s="306"/>
      <c r="I187" s="252">
        <f>I188</f>
        <v>2414.8230000000003</v>
      </c>
      <c r="J187" s="252">
        <f>J188</f>
        <v>0</v>
      </c>
      <c r="K187" s="252"/>
      <c r="L187" s="252">
        <f>L188</f>
        <v>0</v>
      </c>
      <c r="M187" s="270">
        <f>J189</f>
        <v>0</v>
      </c>
      <c r="N187" s="1" t="s">
        <v>621</v>
      </c>
    </row>
    <row r="188" spans="1:14" s="1" customFormat="1" ht="26.25" x14ac:dyDescent="0.25">
      <c r="A188" s="7"/>
      <c r="B188" s="7" t="s">
        <v>79</v>
      </c>
      <c r="C188" s="6" t="s">
        <v>78</v>
      </c>
      <c r="D188" s="252">
        <f>D189+D190+D191</f>
        <v>1552.0940000000001</v>
      </c>
      <c r="E188" s="252">
        <f>E189+E190+E191</f>
        <v>-3.5639999999999998E-2</v>
      </c>
      <c r="F188" s="252">
        <f>F189+F190+F191</f>
        <v>1552.05836</v>
      </c>
      <c r="G188" s="252">
        <f>G189+G190+G191</f>
        <v>2414.8230000000003</v>
      </c>
      <c r="H188" s="306"/>
      <c r="I188" s="252">
        <f>I189+I190+I191</f>
        <v>2414.8230000000003</v>
      </c>
      <c r="J188" s="252">
        <f>J189+J190+J191</f>
        <v>0</v>
      </c>
      <c r="K188" s="252"/>
      <c r="L188" s="252">
        <f>L189+L190+L191</f>
        <v>0</v>
      </c>
    </row>
    <row r="189" spans="1:14" s="1" customFormat="1" ht="15" x14ac:dyDescent="0.25">
      <c r="A189" s="7"/>
      <c r="B189" s="7"/>
      <c r="C189" s="6" t="s">
        <v>115</v>
      </c>
      <c r="D189" s="252">
        <v>0</v>
      </c>
      <c r="E189" s="252"/>
      <c r="F189" s="252">
        <v>0</v>
      </c>
      <c r="G189" s="252">
        <v>1094.8900000000001</v>
      </c>
      <c r="H189" s="306"/>
      <c r="I189" s="252">
        <v>1094.8900000000001</v>
      </c>
      <c r="J189" s="252">
        <v>0</v>
      </c>
      <c r="K189" s="252"/>
      <c r="L189" s="252">
        <v>0</v>
      </c>
    </row>
    <row r="190" spans="1:14" s="1" customFormat="1" ht="15" x14ac:dyDescent="0.25">
      <c r="A190" s="7"/>
      <c r="B190" s="7"/>
      <c r="C190" s="6" t="s">
        <v>114</v>
      </c>
      <c r="D190" s="252">
        <v>0</v>
      </c>
      <c r="E190" s="252"/>
      <c r="F190" s="252">
        <v>0</v>
      </c>
      <c r="G190" s="252">
        <v>327.04500000000002</v>
      </c>
      <c r="H190" s="306"/>
      <c r="I190" s="252">
        <v>327.04500000000002</v>
      </c>
      <c r="J190" s="252">
        <v>0</v>
      </c>
      <c r="K190" s="252"/>
      <c r="L190" s="252">
        <v>0</v>
      </c>
    </row>
    <row r="191" spans="1:14" s="1" customFormat="1" ht="15" x14ac:dyDescent="0.25">
      <c r="A191" s="7"/>
      <c r="B191" s="7"/>
      <c r="C191" s="6" t="s">
        <v>106</v>
      </c>
      <c r="D191" s="252">
        <v>1552.0940000000001</v>
      </c>
      <c r="E191" s="252">
        <v>-3.5639999999999998E-2</v>
      </c>
      <c r="F191" s="252">
        <f>SUM(D191:E191)</f>
        <v>1552.05836</v>
      </c>
      <c r="G191" s="252">
        <v>992.88800000000003</v>
      </c>
      <c r="H191" s="306"/>
      <c r="I191" s="252">
        <v>992.88800000000003</v>
      </c>
      <c r="J191" s="252">
        <v>0</v>
      </c>
      <c r="K191" s="252"/>
      <c r="L191" s="252">
        <v>0</v>
      </c>
    </row>
    <row r="192" spans="1:14" s="1" customFormat="1" ht="51.75" x14ac:dyDescent="0.25">
      <c r="A192" s="208" t="s">
        <v>266</v>
      </c>
      <c r="B192" s="208"/>
      <c r="C192" s="209" t="s">
        <v>265</v>
      </c>
      <c r="D192" s="251">
        <f>D193+D195+D197</f>
        <v>185.2</v>
      </c>
      <c r="E192" s="251"/>
      <c r="F192" s="251">
        <f>F193+F195+F197</f>
        <v>185.2</v>
      </c>
      <c r="G192" s="251">
        <f>G193+G195+G197</f>
        <v>7627.3</v>
      </c>
      <c r="H192" s="310"/>
      <c r="I192" s="251">
        <f>I193+I195+I197</f>
        <v>7627.3</v>
      </c>
      <c r="J192" s="251">
        <f>J193+J195+J197</f>
        <v>7636.1</v>
      </c>
      <c r="K192" s="251"/>
      <c r="L192" s="251">
        <f>L193+L195+L197</f>
        <v>7636.1</v>
      </c>
    </row>
    <row r="193" spans="1:12" s="1" customFormat="1" ht="51.75" x14ac:dyDescent="0.25">
      <c r="A193" s="7" t="s">
        <v>264</v>
      </c>
      <c r="B193" s="7"/>
      <c r="C193" s="6" t="s">
        <v>263</v>
      </c>
      <c r="D193" s="252">
        <f>D194</f>
        <v>93</v>
      </c>
      <c r="E193" s="252"/>
      <c r="F193" s="252">
        <f>F194</f>
        <v>93</v>
      </c>
      <c r="G193" s="252">
        <f>G194</f>
        <v>101.3</v>
      </c>
      <c r="H193" s="306"/>
      <c r="I193" s="252">
        <f>I194</f>
        <v>101.3</v>
      </c>
      <c r="J193" s="252">
        <f>J194</f>
        <v>110.1</v>
      </c>
      <c r="K193" s="252"/>
      <c r="L193" s="252">
        <f>L194</f>
        <v>110.1</v>
      </c>
    </row>
    <row r="194" spans="1:12" s="1" customFormat="1" ht="26.25" x14ac:dyDescent="0.25">
      <c r="A194" s="7"/>
      <c r="B194" s="7" t="s">
        <v>12</v>
      </c>
      <c r="C194" s="6" t="s">
        <v>11</v>
      </c>
      <c r="D194" s="252">
        <v>93</v>
      </c>
      <c r="E194" s="252"/>
      <c r="F194" s="252">
        <v>93</v>
      </c>
      <c r="G194" s="252">
        <v>101.3</v>
      </c>
      <c r="H194" s="306"/>
      <c r="I194" s="252">
        <v>101.3</v>
      </c>
      <c r="J194" s="252">
        <v>110.1</v>
      </c>
      <c r="K194" s="252"/>
      <c r="L194" s="252">
        <v>110.1</v>
      </c>
    </row>
    <row r="195" spans="1:12" s="1" customFormat="1" ht="102.75" x14ac:dyDescent="0.25">
      <c r="A195" s="7" t="s">
        <v>274</v>
      </c>
      <c r="B195" s="7"/>
      <c r="C195" s="75" t="s">
        <v>273</v>
      </c>
      <c r="D195" s="252">
        <f>D196</f>
        <v>0</v>
      </c>
      <c r="E195" s="252"/>
      <c r="F195" s="252">
        <f>F196</f>
        <v>0</v>
      </c>
      <c r="G195" s="252">
        <f>G196</f>
        <v>7431.1</v>
      </c>
      <c r="H195" s="306"/>
      <c r="I195" s="252">
        <f>I196</f>
        <v>7431.1</v>
      </c>
      <c r="J195" s="252">
        <f>J196</f>
        <v>7431.1</v>
      </c>
      <c r="K195" s="252"/>
      <c r="L195" s="252">
        <f>L196</f>
        <v>7431.1</v>
      </c>
    </row>
    <row r="196" spans="1:12" s="1" customFormat="1" ht="39" x14ac:dyDescent="0.25">
      <c r="A196" s="7"/>
      <c r="B196" s="69" t="s">
        <v>272</v>
      </c>
      <c r="C196" s="6" t="s">
        <v>271</v>
      </c>
      <c r="D196" s="252">
        <v>0</v>
      </c>
      <c r="E196" s="252"/>
      <c r="F196" s="252">
        <v>0</v>
      </c>
      <c r="G196" s="252">
        <v>7431.1</v>
      </c>
      <c r="H196" s="306"/>
      <c r="I196" s="252">
        <v>7431.1</v>
      </c>
      <c r="J196" s="252">
        <v>7431.1</v>
      </c>
      <c r="K196" s="252"/>
      <c r="L196" s="252">
        <v>7431.1</v>
      </c>
    </row>
    <row r="197" spans="1:12" s="1" customFormat="1" ht="64.5" x14ac:dyDescent="0.25">
      <c r="A197" s="7" t="s">
        <v>557</v>
      </c>
      <c r="B197" s="7"/>
      <c r="C197" s="6" t="s">
        <v>556</v>
      </c>
      <c r="D197" s="252">
        <f>D198+D199</f>
        <v>92.199999999999989</v>
      </c>
      <c r="E197" s="252"/>
      <c r="F197" s="252">
        <f>F198+F199</f>
        <v>92.199999999999989</v>
      </c>
      <c r="G197" s="252">
        <f>G198+G199</f>
        <v>94.9</v>
      </c>
      <c r="H197" s="306"/>
      <c r="I197" s="252">
        <f>I198+I199</f>
        <v>94.9</v>
      </c>
      <c r="J197" s="252">
        <f>J198+J199</f>
        <v>94.9</v>
      </c>
      <c r="K197" s="252"/>
      <c r="L197" s="252">
        <f>L198+L199</f>
        <v>94.9</v>
      </c>
    </row>
    <row r="198" spans="1:12" s="1" customFormat="1" ht="64.5" x14ac:dyDescent="0.25">
      <c r="A198" s="7"/>
      <c r="B198" s="7" t="s">
        <v>2</v>
      </c>
      <c r="C198" s="6" t="s">
        <v>1</v>
      </c>
      <c r="D198" s="252">
        <v>59.8</v>
      </c>
      <c r="E198" s="252"/>
      <c r="F198" s="252">
        <v>59.8</v>
      </c>
      <c r="G198" s="258">
        <v>62.1</v>
      </c>
      <c r="H198" s="315"/>
      <c r="I198" s="258">
        <v>62.1</v>
      </c>
      <c r="J198" s="252">
        <v>62.1</v>
      </c>
      <c r="K198" s="252"/>
      <c r="L198" s="252">
        <v>62.1</v>
      </c>
    </row>
    <row r="199" spans="1:12" s="1" customFormat="1" ht="26.25" x14ac:dyDescent="0.25">
      <c r="A199" s="7"/>
      <c r="B199" s="7" t="s">
        <v>12</v>
      </c>
      <c r="C199" s="6" t="s">
        <v>11</v>
      </c>
      <c r="D199" s="252">
        <v>32.4</v>
      </c>
      <c r="E199" s="252"/>
      <c r="F199" s="252">
        <v>32.4</v>
      </c>
      <c r="G199" s="258">
        <v>32.799999999999997</v>
      </c>
      <c r="H199" s="315"/>
      <c r="I199" s="258">
        <v>32.799999999999997</v>
      </c>
      <c r="J199" s="252">
        <v>32.799999999999997</v>
      </c>
      <c r="K199" s="252"/>
      <c r="L199" s="252">
        <v>32.799999999999997</v>
      </c>
    </row>
    <row r="200" spans="1:12" s="1" customFormat="1" ht="39" x14ac:dyDescent="0.25">
      <c r="A200" s="208" t="s">
        <v>616</v>
      </c>
      <c r="B200" s="208"/>
      <c r="C200" s="209" t="s">
        <v>617</v>
      </c>
      <c r="D200" s="251">
        <f>D201</f>
        <v>0</v>
      </c>
      <c r="E200" s="251"/>
      <c r="F200" s="251">
        <f>F201</f>
        <v>0</v>
      </c>
      <c r="G200" s="251">
        <f>G201</f>
        <v>2.24472</v>
      </c>
      <c r="H200" s="310"/>
      <c r="I200" s="251">
        <f>I201</f>
        <v>2.24472</v>
      </c>
      <c r="J200" s="251">
        <f>J201+J204+J206</f>
        <v>0</v>
      </c>
      <c r="K200" s="251"/>
      <c r="L200" s="251">
        <f>L201+L204+L206</f>
        <v>0</v>
      </c>
    </row>
    <row r="201" spans="1:12" s="1" customFormat="1" ht="51.75" x14ac:dyDescent="0.25">
      <c r="A201" s="7" t="s">
        <v>614</v>
      </c>
      <c r="B201" s="7"/>
      <c r="C201" s="6" t="s">
        <v>615</v>
      </c>
      <c r="D201" s="252">
        <f>D202</f>
        <v>0</v>
      </c>
      <c r="E201" s="252"/>
      <c r="F201" s="252">
        <f>F202</f>
        <v>0</v>
      </c>
      <c r="G201" s="252">
        <f>G202</f>
        <v>2.24472</v>
      </c>
      <c r="H201" s="306"/>
      <c r="I201" s="252">
        <f>I202</f>
        <v>2.24472</v>
      </c>
      <c r="J201" s="252">
        <v>0</v>
      </c>
      <c r="K201" s="252"/>
      <c r="L201" s="252">
        <v>0</v>
      </c>
    </row>
    <row r="202" spans="1:12" s="1" customFormat="1" ht="39" x14ac:dyDescent="0.25">
      <c r="A202" s="7"/>
      <c r="B202" s="7" t="s">
        <v>272</v>
      </c>
      <c r="C202" s="6" t="s">
        <v>271</v>
      </c>
      <c r="D202" s="252">
        <f>D203+D204+D205+D206</f>
        <v>0</v>
      </c>
      <c r="E202" s="252"/>
      <c r="F202" s="252">
        <f>F203+F204+F205+F206</f>
        <v>0</v>
      </c>
      <c r="G202" s="252">
        <f>G203+G204+G205+G206</f>
        <v>2.24472</v>
      </c>
      <c r="H202" s="306"/>
      <c r="I202" s="252">
        <f>I203+I204+I205+I206</f>
        <v>2.24472</v>
      </c>
      <c r="J202" s="252">
        <v>0</v>
      </c>
      <c r="K202" s="252"/>
      <c r="L202" s="252">
        <v>0</v>
      </c>
    </row>
    <row r="203" spans="1:12" s="1" customFormat="1" ht="15" x14ac:dyDescent="0.25">
      <c r="A203" s="7"/>
      <c r="B203" s="7"/>
      <c r="C203" s="6" t="s">
        <v>339</v>
      </c>
      <c r="D203" s="252">
        <v>0</v>
      </c>
      <c r="E203" s="252"/>
      <c r="F203" s="252">
        <v>0</v>
      </c>
      <c r="G203" s="252">
        <v>0</v>
      </c>
      <c r="H203" s="306"/>
      <c r="I203" s="252">
        <v>0</v>
      </c>
      <c r="J203" s="252">
        <v>0</v>
      </c>
      <c r="K203" s="252"/>
      <c r="L203" s="252">
        <v>0</v>
      </c>
    </row>
    <row r="204" spans="1:12" s="1" customFormat="1" ht="15" x14ac:dyDescent="0.25">
      <c r="A204" s="7"/>
      <c r="B204" s="7"/>
      <c r="C204" s="94" t="s">
        <v>333</v>
      </c>
      <c r="D204" s="252">
        <v>0</v>
      </c>
      <c r="E204" s="252"/>
      <c r="F204" s="252">
        <v>0</v>
      </c>
      <c r="G204" s="252">
        <v>0</v>
      </c>
      <c r="H204" s="306"/>
      <c r="I204" s="252">
        <v>0</v>
      </c>
      <c r="J204" s="252">
        <v>0</v>
      </c>
      <c r="K204" s="252"/>
      <c r="L204" s="252">
        <v>0</v>
      </c>
    </row>
    <row r="205" spans="1:12" s="1" customFormat="1" ht="15" x14ac:dyDescent="0.25">
      <c r="A205" s="7"/>
      <c r="B205" s="7"/>
      <c r="C205" s="94" t="s">
        <v>326</v>
      </c>
      <c r="D205" s="252">
        <v>0</v>
      </c>
      <c r="E205" s="252"/>
      <c r="F205" s="252">
        <v>0</v>
      </c>
      <c r="G205" s="252">
        <v>2.24472</v>
      </c>
      <c r="H205" s="306"/>
      <c r="I205" s="252">
        <v>2.24472</v>
      </c>
      <c r="J205" s="252">
        <v>0</v>
      </c>
      <c r="K205" s="252"/>
      <c r="L205" s="252">
        <v>0</v>
      </c>
    </row>
    <row r="206" spans="1:12" s="1" customFormat="1" ht="15" x14ac:dyDescent="0.25">
      <c r="A206" s="7"/>
      <c r="B206" s="7"/>
      <c r="C206" s="94" t="s">
        <v>613</v>
      </c>
      <c r="D206" s="252">
        <v>0</v>
      </c>
      <c r="E206" s="252"/>
      <c r="F206" s="252">
        <v>0</v>
      </c>
      <c r="G206" s="252">
        <v>0</v>
      </c>
      <c r="H206" s="306"/>
      <c r="I206" s="252">
        <v>0</v>
      </c>
      <c r="J206" s="252">
        <v>0</v>
      </c>
      <c r="K206" s="252"/>
      <c r="L206" s="252">
        <v>0</v>
      </c>
    </row>
    <row r="207" spans="1:12" s="101" customFormat="1" ht="39" x14ac:dyDescent="0.25">
      <c r="A207" s="225" t="s">
        <v>285</v>
      </c>
      <c r="B207" s="225"/>
      <c r="C207" s="228" t="s">
        <v>284</v>
      </c>
      <c r="D207" s="249">
        <f>D208+D226</f>
        <v>12106.697250000001</v>
      </c>
      <c r="E207" s="249">
        <f>E208+E226</f>
        <v>208.6</v>
      </c>
      <c r="F207" s="249">
        <f>F208+F226</f>
        <v>12315.29725</v>
      </c>
      <c r="G207" s="249">
        <f>G208+G226</f>
        <v>7437.1163399999996</v>
      </c>
      <c r="H207" s="308"/>
      <c r="I207" s="249">
        <f>I208+I226</f>
        <v>7437.1163399999996</v>
      </c>
      <c r="J207" s="249">
        <f>J208+J226</f>
        <v>5896.3352000000014</v>
      </c>
      <c r="K207" s="249"/>
      <c r="L207" s="249">
        <f>L208+L226</f>
        <v>5896.3352000000014</v>
      </c>
    </row>
    <row r="208" spans="1:12" s="1" customFormat="1" ht="51.75" x14ac:dyDescent="0.25">
      <c r="A208" s="208" t="s">
        <v>283</v>
      </c>
      <c r="B208" s="208"/>
      <c r="C208" s="209" t="s">
        <v>282</v>
      </c>
      <c r="D208" s="251">
        <f>D209+D211+D213+D216+D220+D222+D218</f>
        <v>7463.4972500000003</v>
      </c>
      <c r="E208" s="251">
        <f t="shared" ref="E208:F208" si="23">E209+E211+E213+E216+E220+E222+E218</f>
        <v>208.6</v>
      </c>
      <c r="F208" s="251">
        <f t="shared" si="23"/>
        <v>7672.0972500000007</v>
      </c>
      <c r="G208" s="251">
        <f>G209+G211+G213+G216+G222+G218</f>
        <v>7437.1163399999996</v>
      </c>
      <c r="H208" s="310"/>
      <c r="I208" s="251">
        <f>I209+I211+I213+I216+I222+I218</f>
        <v>7437.1163399999996</v>
      </c>
      <c r="J208" s="251">
        <f>J209+J211+J213+J216+J222+J218</f>
        <v>5896.3352000000014</v>
      </c>
      <c r="K208" s="251"/>
      <c r="L208" s="251">
        <f>L209+L211+L213+L216+L222+L218</f>
        <v>5896.3352000000014</v>
      </c>
    </row>
    <row r="209" spans="1:12" s="1" customFormat="1" ht="51.75" x14ac:dyDescent="0.25">
      <c r="A209" s="7" t="s">
        <v>410</v>
      </c>
      <c r="B209" s="7"/>
      <c r="C209" s="6" t="s">
        <v>720</v>
      </c>
      <c r="D209" s="252">
        <f>D210</f>
        <v>1370.6</v>
      </c>
      <c r="E209" s="252"/>
      <c r="F209" s="252">
        <f t="shared" ref="F209" si="24">F210</f>
        <v>1370.6</v>
      </c>
      <c r="G209" s="252">
        <f>G210</f>
        <v>1323.7</v>
      </c>
      <c r="H209" s="306"/>
      <c r="I209" s="252">
        <f>I210</f>
        <v>1323.7</v>
      </c>
      <c r="J209" s="252">
        <f>J210</f>
        <v>1323.7</v>
      </c>
      <c r="K209" s="252"/>
      <c r="L209" s="252">
        <f>L210</f>
        <v>1323.7</v>
      </c>
    </row>
    <row r="210" spans="1:12" s="1" customFormat="1" ht="26.25" x14ac:dyDescent="0.25">
      <c r="A210" s="7"/>
      <c r="B210" s="7" t="s">
        <v>12</v>
      </c>
      <c r="C210" s="6" t="s">
        <v>11</v>
      </c>
      <c r="D210" s="252">
        <v>1370.6</v>
      </c>
      <c r="E210" s="252"/>
      <c r="F210" s="252">
        <f>SUM(D210:E210)</f>
        <v>1370.6</v>
      </c>
      <c r="G210" s="252">
        <v>1323.7</v>
      </c>
      <c r="H210" s="306"/>
      <c r="I210" s="252">
        <v>1323.7</v>
      </c>
      <c r="J210" s="252">
        <v>1323.7</v>
      </c>
      <c r="K210" s="252"/>
      <c r="L210" s="252">
        <v>1323.7</v>
      </c>
    </row>
    <row r="211" spans="1:12" s="1" customFormat="1" ht="51.75" x14ac:dyDescent="0.25">
      <c r="A211" s="7" t="s">
        <v>377</v>
      </c>
      <c r="B211" s="7"/>
      <c r="C211" s="76" t="s">
        <v>376</v>
      </c>
      <c r="D211" s="252">
        <f>D212</f>
        <v>110.6</v>
      </c>
      <c r="E211" s="252"/>
      <c r="F211" s="252">
        <f>F212</f>
        <v>110.6</v>
      </c>
      <c r="G211" s="252">
        <f>G212</f>
        <v>110.6</v>
      </c>
      <c r="H211" s="306"/>
      <c r="I211" s="252">
        <f>I212</f>
        <v>110.6</v>
      </c>
      <c r="J211" s="252">
        <f>J212</f>
        <v>110.6</v>
      </c>
      <c r="K211" s="252"/>
      <c r="L211" s="252">
        <f>L212</f>
        <v>110.6</v>
      </c>
    </row>
    <row r="212" spans="1:12" s="1" customFormat="1" ht="26.25" x14ac:dyDescent="0.25">
      <c r="A212" s="7"/>
      <c r="B212" s="7" t="s">
        <v>12</v>
      </c>
      <c r="C212" s="6" t="s">
        <v>11</v>
      </c>
      <c r="D212" s="252">
        <v>110.6</v>
      </c>
      <c r="E212" s="252"/>
      <c r="F212" s="252">
        <v>110.6</v>
      </c>
      <c r="G212" s="252">
        <v>110.6</v>
      </c>
      <c r="H212" s="306"/>
      <c r="I212" s="252">
        <v>110.6</v>
      </c>
      <c r="J212" s="252">
        <v>110.6</v>
      </c>
      <c r="K212" s="252"/>
      <c r="L212" s="252">
        <v>110.6</v>
      </c>
    </row>
    <row r="213" spans="1:12" s="1" customFormat="1" ht="39" x14ac:dyDescent="0.25">
      <c r="A213" s="7" t="s">
        <v>281</v>
      </c>
      <c r="B213" s="7"/>
      <c r="C213" s="76" t="s">
        <v>280</v>
      </c>
      <c r="D213" s="252">
        <f>D214+D215</f>
        <v>3790.3</v>
      </c>
      <c r="E213" s="252"/>
      <c r="F213" s="252">
        <f>F214+F215</f>
        <v>3790.3</v>
      </c>
      <c r="G213" s="252">
        <f>G214+G215</f>
        <v>1421.9</v>
      </c>
      <c r="H213" s="306"/>
      <c r="I213" s="252">
        <f>I214+I215</f>
        <v>1421.9</v>
      </c>
      <c r="J213" s="252">
        <f>J214+J215</f>
        <v>3790.3</v>
      </c>
      <c r="K213" s="252"/>
      <c r="L213" s="252">
        <f>L214+L215</f>
        <v>3790.3</v>
      </c>
    </row>
    <row r="214" spans="1:12" s="1" customFormat="1" ht="26.25" x14ac:dyDescent="0.25">
      <c r="A214" s="7"/>
      <c r="B214" s="7" t="s">
        <v>12</v>
      </c>
      <c r="C214" s="6" t="s">
        <v>11</v>
      </c>
      <c r="D214" s="252">
        <v>2368.4</v>
      </c>
      <c r="E214" s="252"/>
      <c r="F214" s="252">
        <v>2368.4</v>
      </c>
      <c r="G214" s="252">
        <f>2368.4-2368.4</f>
        <v>0</v>
      </c>
      <c r="H214" s="306"/>
      <c r="I214" s="252">
        <f>2368.4-2368.4</f>
        <v>0</v>
      </c>
      <c r="J214" s="252">
        <v>2368.4</v>
      </c>
      <c r="K214" s="252"/>
      <c r="L214" s="252">
        <v>2368.4</v>
      </c>
    </row>
    <row r="215" spans="1:12" s="1" customFormat="1" ht="26.25" x14ac:dyDescent="0.25">
      <c r="A215" s="7"/>
      <c r="B215" s="7" t="s">
        <v>79</v>
      </c>
      <c r="C215" s="6" t="s">
        <v>78</v>
      </c>
      <c r="D215" s="252">
        <v>1421.9</v>
      </c>
      <c r="E215" s="252"/>
      <c r="F215" s="252">
        <v>1421.9</v>
      </c>
      <c r="G215" s="252">
        <v>1421.9</v>
      </c>
      <c r="H215" s="306"/>
      <c r="I215" s="252">
        <v>1421.9</v>
      </c>
      <c r="J215" s="252">
        <v>1421.9</v>
      </c>
      <c r="K215" s="252"/>
      <c r="L215" s="252">
        <v>1421.9</v>
      </c>
    </row>
    <row r="216" spans="1:12" s="1" customFormat="1" ht="39" x14ac:dyDescent="0.25">
      <c r="A216" s="7" t="s">
        <v>375</v>
      </c>
      <c r="B216" s="7"/>
      <c r="C216" s="6" t="s">
        <v>374</v>
      </c>
      <c r="D216" s="252">
        <f>D217</f>
        <v>35.299999999999997</v>
      </c>
      <c r="E216" s="252"/>
      <c r="F216" s="252">
        <f>F217</f>
        <v>35.299999999999997</v>
      </c>
      <c r="G216" s="252">
        <f>G217</f>
        <v>35.299999999999997</v>
      </c>
      <c r="H216" s="306"/>
      <c r="I216" s="252">
        <f>I217</f>
        <v>35.299999999999997</v>
      </c>
      <c r="J216" s="252">
        <f>J217</f>
        <v>35.299999999999997</v>
      </c>
      <c r="K216" s="252"/>
      <c r="L216" s="252">
        <f>L217</f>
        <v>35.299999999999997</v>
      </c>
    </row>
    <row r="217" spans="1:12" s="1" customFormat="1" ht="26.25" x14ac:dyDescent="0.25">
      <c r="A217" s="7"/>
      <c r="B217" s="7" t="s">
        <v>12</v>
      </c>
      <c r="C217" s="6" t="s">
        <v>11</v>
      </c>
      <c r="D217" s="252">
        <v>35.299999999999997</v>
      </c>
      <c r="E217" s="252"/>
      <c r="F217" s="252">
        <v>35.299999999999997</v>
      </c>
      <c r="G217" s="252">
        <v>35.299999999999997</v>
      </c>
      <c r="H217" s="306"/>
      <c r="I217" s="252">
        <v>35.299999999999997</v>
      </c>
      <c r="J217" s="252">
        <v>35.299999999999997</v>
      </c>
      <c r="K217" s="252"/>
      <c r="L217" s="252">
        <v>35.299999999999997</v>
      </c>
    </row>
    <row r="218" spans="1:12" s="1" customFormat="1" ht="51.75" x14ac:dyDescent="0.25">
      <c r="A218" s="7" t="s">
        <v>589</v>
      </c>
      <c r="B218" s="7"/>
      <c r="C218" s="6" t="s">
        <v>722</v>
      </c>
      <c r="D218" s="252">
        <f>D219</f>
        <v>489.6</v>
      </c>
      <c r="E218" s="252"/>
      <c r="F218" s="252">
        <f>F219</f>
        <v>489.6</v>
      </c>
      <c r="G218" s="252">
        <f>G219</f>
        <v>0</v>
      </c>
      <c r="H218" s="306"/>
      <c r="I218" s="252">
        <f>I219</f>
        <v>0</v>
      </c>
      <c r="J218" s="252">
        <f>J219</f>
        <v>489.6</v>
      </c>
      <c r="K218" s="252"/>
      <c r="L218" s="252">
        <f>L219</f>
        <v>489.6</v>
      </c>
    </row>
    <row r="219" spans="1:12" s="1" customFormat="1" ht="26.25" x14ac:dyDescent="0.25">
      <c r="A219" s="7"/>
      <c r="B219" s="7" t="s">
        <v>12</v>
      </c>
      <c r="C219" s="6" t="s">
        <v>11</v>
      </c>
      <c r="D219" s="252">
        <v>489.6</v>
      </c>
      <c r="E219" s="252"/>
      <c r="F219" s="252">
        <v>489.6</v>
      </c>
      <c r="G219" s="252">
        <f>489.6-489.6</f>
        <v>0</v>
      </c>
      <c r="H219" s="306"/>
      <c r="I219" s="252">
        <f>489.6-489.6</f>
        <v>0</v>
      </c>
      <c r="J219" s="252">
        <v>489.6</v>
      </c>
      <c r="K219" s="252"/>
      <c r="L219" s="252">
        <v>489.6</v>
      </c>
    </row>
    <row r="220" spans="1:12" s="1" customFormat="1" ht="15" x14ac:dyDescent="0.25">
      <c r="A220" s="7" t="s">
        <v>934</v>
      </c>
      <c r="B220" s="7"/>
      <c r="C220" s="6" t="s">
        <v>935</v>
      </c>
      <c r="D220" s="252">
        <f>D221</f>
        <v>0</v>
      </c>
      <c r="E220" s="252">
        <f>E221</f>
        <v>208.6</v>
      </c>
      <c r="F220" s="252">
        <f>F221</f>
        <v>208.6</v>
      </c>
      <c r="G220" s="252">
        <f>G221</f>
        <v>0</v>
      </c>
      <c r="H220" s="306"/>
      <c r="I220" s="252">
        <f>I221</f>
        <v>0</v>
      </c>
      <c r="J220" s="252">
        <f>J221</f>
        <v>489.6</v>
      </c>
      <c r="K220" s="252"/>
      <c r="L220" s="252">
        <f>L221</f>
        <v>0</v>
      </c>
    </row>
    <row r="221" spans="1:12" s="1" customFormat="1" ht="26.25" x14ac:dyDescent="0.25">
      <c r="A221" s="7"/>
      <c r="B221" s="7" t="s">
        <v>79</v>
      </c>
      <c r="C221" s="6" t="s">
        <v>78</v>
      </c>
      <c r="D221" s="252">
        <v>0</v>
      </c>
      <c r="E221" s="252">
        <v>208.6</v>
      </c>
      <c r="F221" s="252">
        <v>208.6</v>
      </c>
      <c r="G221" s="252">
        <f>489.6-489.6</f>
        <v>0</v>
      </c>
      <c r="H221" s="306"/>
      <c r="I221" s="252">
        <f>489.6-489.6</f>
        <v>0</v>
      </c>
      <c r="J221" s="252">
        <v>489.6</v>
      </c>
      <c r="K221" s="252"/>
      <c r="L221" s="252">
        <v>0</v>
      </c>
    </row>
    <row r="222" spans="1:12" s="1" customFormat="1" ht="51.75" x14ac:dyDescent="0.25">
      <c r="A222" s="7" t="s">
        <v>373</v>
      </c>
      <c r="B222" s="7"/>
      <c r="C222" s="6" t="s">
        <v>721</v>
      </c>
      <c r="D222" s="252">
        <f>D223</f>
        <v>1667.09725</v>
      </c>
      <c r="E222" s="252"/>
      <c r="F222" s="252">
        <f>F223</f>
        <v>1667.09725</v>
      </c>
      <c r="G222" s="252">
        <f>G223</f>
        <v>4545.6163399999996</v>
      </c>
      <c r="H222" s="306"/>
      <c r="I222" s="252">
        <f>I223</f>
        <v>4545.6163399999996</v>
      </c>
      <c r="J222" s="252">
        <f>J223</f>
        <v>146.83519999999999</v>
      </c>
      <c r="K222" s="252"/>
      <c r="L222" s="252">
        <f>L223</f>
        <v>146.83519999999999</v>
      </c>
    </row>
    <row r="223" spans="1:12" s="1" customFormat="1" ht="26.25" x14ac:dyDescent="0.25">
      <c r="A223" s="7"/>
      <c r="B223" s="7" t="s">
        <v>12</v>
      </c>
      <c r="C223" s="6" t="s">
        <v>11</v>
      </c>
      <c r="D223" s="252">
        <f>D224+D225</f>
        <v>1667.09725</v>
      </c>
      <c r="E223" s="252"/>
      <c r="F223" s="252">
        <f>F224+F225</f>
        <v>1667.09725</v>
      </c>
      <c r="G223" s="252">
        <f>G224+G225</f>
        <v>4545.6163399999996</v>
      </c>
      <c r="H223" s="306"/>
      <c r="I223" s="252">
        <f>I224+I225</f>
        <v>4545.6163399999996</v>
      </c>
      <c r="J223" s="252">
        <f>J224+J225</f>
        <v>146.83519999999999</v>
      </c>
      <c r="K223" s="252"/>
      <c r="L223" s="252">
        <f>L224+L225</f>
        <v>146.83519999999999</v>
      </c>
    </row>
    <row r="224" spans="1:12" s="1" customFormat="1" ht="15" x14ac:dyDescent="0.25">
      <c r="A224" s="7"/>
      <c r="B224" s="7"/>
      <c r="C224" s="6" t="s">
        <v>114</v>
      </c>
      <c r="D224" s="252">
        <v>1634.0559000000001</v>
      </c>
      <c r="E224" s="252"/>
      <c r="F224" s="252">
        <v>1634.0559000000001</v>
      </c>
      <c r="G224" s="252">
        <v>4454.7039999999997</v>
      </c>
      <c r="H224" s="306"/>
      <c r="I224" s="252">
        <v>4454.7039999999997</v>
      </c>
      <c r="J224" s="252">
        <v>0</v>
      </c>
      <c r="K224" s="252"/>
      <c r="L224" s="252">
        <v>0</v>
      </c>
    </row>
    <row r="225" spans="1:14" s="1" customFormat="1" ht="15" x14ac:dyDescent="0.25">
      <c r="A225" s="7"/>
      <c r="B225" s="7"/>
      <c r="C225" s="6" t="s">
        <v>106</v>
      </c>
      <c r="D225" s="252">
        <v>33.041350000000001</v>
      </c>
      <c r="E225" s="252"/>
      <c r="F225" s="252">
        <v>33.041350000000001</v>
      </c>
      <c r="G225" s="252">
        <v>90.91234</v>
      </c>
      <c r="H225" s="306"/>
      <c r="I225" s="252">
        <v>90.91234</v>
      </c>
      <c r="J225" s="252">
        <v>146.83519999999999</v>
      </c>
      <c r="K225" s="252"/>
      <c r="L225" s="252">
        <v>146.83519999999999</v>
      </c>
    </row>
    <row r="226" spans="1:14" s="1" customFormat="1" ht="39" x14ac:dyDescent="0.25">
      <c r="A226" s="208" t="s">
        <v>409</v>
      </c>
      <c r="B226" s="208"/>
      <c r="C226" s="209" t="s">
        <v>408</v>
      </c>
      <c r="D226" s="251">
        <f t="shared" ref="D226:L227" si="25">D227</f>
        <v>4643.2</v>
      </c>
      <c r="E226" s="251"/>
      <c r="F226" s="251">
        <f t="shared" si="25"/>
        <v>4643.2</v>
      </c>
      <c r="G226" s="251">
        <f t="shared" si="25"/>
        <v>0</v>
      </c>
      <c r="H226" s="310"/>
      <c r="I226" s="251">
        <f t="shared" si="25"/>
        <v>0</v>
      </c>
      <c r="J226" s="251">
        <f t="shared" si="25"/>
        <v>0</v>
      </c>
      <c r="K226" s="251"/>
      <c r="L226" s="251">
        <f t="shared" si="25"/>
        <v>0</v>
      </c>
    </row>
    <row r="227" spans="1:14" s="1" customFormat="1" ht="26.25" x14ac:dyDescent="0.25">
      <c r="A227" s="7" t="s">
        <v>407</v>
      </c>
      <c r="B227" s="7"/>
      <c r="C227" s="76" t="s">
        <v>631</v>
      </c>
      <c r="D227" s="252">
        <f t="shared" si="25"/>
        <v>4643.2</v>
      </c>
      <c r="E227" s="252"/>
      <c r="F227" s="252">
        <f t="shared" si="25"/>
        <v>4643.2</v>
      </c>
      <c r="G227" s="252">
        <f t="shared" si="25"/>
        <v>0</v>
      </c>
      <c r="H227" s="306"/>
      <c r="I227" s="252">
        <f t="shared" si="25"/>
        <v>0</v>
      </c>
      <c r="J227" s="252">
        <f t="shared" si="25"/>
        <v>0</v>
      </c>
      <c r="K227" s="252"/>
      <c r="L227" s="252">
        <f t="shared" si="25"/>
        <v>0</v>
      </c>
    </row>
    <row r="228" spans="1:14" s="1" customFormat="1" ht="39" x14ac:dyDescent="0.25">
      <c r="A228" s="7"/>
      <c r="B228" s="69" t="s">
        <v>272</v>
      </c>
      <c r="C228" s="6" t="s">
        <v>271</v>
      </c>
      <c r="D228" s="252">
        <v>4643.2</v>
      </c>
      <c r="E228" s="252"/>
      <c r="F228" s="252">
        <v>4643.2</v>
      </c>
      <c r="G228" s="252">
        <v>0</v>
      </c>
      <c r="H228" s="306"/>
      <c r="I228" s="252">
        <v>0</v>
      </c>
      <c r="J228" s="252">
        <v>0</v>
      </c>
      <c r="K228" s="252"/>
      <c r="L228" s="252">
        <v>0</v>
      </c>
    </row>
    <row r="229" spans="1:14" ht="38.25" x14ac:dyDescent="0.2">
      <c r="A229" s="225" t="s">
        <v>65</v>
      </c>
      <c r="B229" s="225"/>
      <c r="C229" s="228" t="s">
        <v>64</v>
      </c>
      <c r="D229" s="249">
        <f t="shared" ref="D229:J229" si="26">D230+D284+D292</f>
        <v>173320.83093</v>
      </c>
      <c r="E229" s="249">
        <f t="shared" si="26"/>
        <v>-4.1640499999999996</v>
      </c>
      <c r="F229" s="249">
        <f t="shared" si="26"/>
        <v>173316.66688</v>
      </c>
      <c r="G229" s="249">
        <f t="shared" si="26"/>
        <v>94211.557889999996</v>
      </c>
      <c r="H229" s="249">
        <f t="shared" si="26"/>
        <v>4.1640499999999996</v>
      </c>
      <c r="I229" s="249">
        <f t="shared" si="26"/>
        <v>94215.721940000003</v>
      </c>
      <c r="J229" s="249">
        <f t="shared" si="26"/>
        <v>96369.7</v>
      </c>
      <c r="K229" s="249"/>
      <c r="L229" s="249">
        <f>L230+L284+L292</f>
        <v>96369.7</v>
      </c>
      <c r="M229" s="271" t="e">
        <f>M230+M231</f>
        <v>#REF!</v>
      </c>
    </row>
    <row r="230" spans="1:14" ht="38.25" x14ac:dyDescent="0.2">
      <c r="A230" s="30" t="s">
        <v>101</v>
      </c>
      <c r="B230" s="30"/>
      <c r="C230" s="50" t="s">
        <v>100</v>
      </c>
      <c r="D230" s="250">
        <f>D231+D234+D239+D242+D245+D256+D259+D277+D271</f>
        <v>171882.83093</v>
      </c>
      <c r="E230" s="250">
        <f>E231+E234+E239+E242+E245+E256+E259+E277+E271</f>
        <v>-4.1640499999999996</v>
      </c>
      <c r="F230" s="250">
        <f>F231+F234+F239+F242+F245+F256+F259+F277+F271</f>
        <v>171878.66688</v>
      </c>
      <c r="G230" s="250">
        <f>G231+G234+G239+G242+G245+G256+G259+G277</f>
        <v>93101.957889999991</v>
      </c>
      <c r="H230" s="250">
        <f>H231+H234+H239+H242+H245+H256+H259+H277+H271</f>
        <v>4.1640499999999996</v>
      </c>
      <c r="I230" s="250">
        <f>I231+I234+I239+I242+I245+I256+I259+I277+I271</f>
        <v>93106.121939999997</v>
      </c>
      <c r="J230" s="250">
        <f>J231+J234+J239+J242+J245+J256+J259+J277</f>
        <v>94961.599999999991</v>
      </c>
      <c r="K230" s="250"/>
      <c r="L230" s="250">
        <f>L231+L234+L239+L242+L245+L256+L259+L277</f>
        <v>94961.599999999991</v>
      </c>
      <c r="M230" s="271" t="e">
        <f>J232+J235+J237+J240+J243+J246+J248+J250+J257+#REF!+J262+J266+J267+J280+J283+J286+J291+J294</f>
        <v>#REF!</v>
      </c>
      <c r="N230" s="134" t="s">
        <v>623</v>
      </c>
    </row>
    <row r="231" spans="1:14" ht="51" x14ac:dyDescent="0.2">
      <c r="A231" s="208" t="s">
        <v>132</v>
      </c>
      <c r="B231" s="208"/>
      <c r="C231" s="209" t="s">
        <v>131</v>
      </c>
      <c r="D231" s="251">
        <f t="shared" ref="D231:L232" si="27">D232</f>
        <v>48819.1</v>
      </c>
      <c r="E231" s="251">
        <f t="shared" si="27"/>
        <v>0</v>
      </c>
      <c r="F231" s="251">
        <f t="shared" si="27"/>
        <v>48819.100000000006</v>
      </c>
      <c r="G231" s="251">
        <f t="shared" si="27"/>
        <v>48475.8</v>
      </c>
      <c r="H231" s="310"/>
      <c r="I231" s="251">
        <f t="shared" si="27"/>
        <v>48475.8</v>
      </c>
      <c r="J231" s="251">
        <f t="shared" si="27"/>
        <v>48475.8</v>
      </c>
      <c r="K231" s="251"/>
      <c r="L231" s="251">
        <f t="shared" si="27"/>
        <v>48475.8</v>
      </c>
      <c r="M231" s="271" t="e">
        <f>#REF!</f>
        <v>#REF!</v>
      </c>
      <c r="N231" s="134" t="s">
        <v>622</v>
      </c>
    </row>
    <row r="232" spans="1:14" ht="25.5" x14ac:dyDescent="0.2">
      <c r="A232" s="7" t="s">
        <v>130</v>
      </c>
      <c r="B232" s="7"/>
      <c r="C232" s="12" t="s">
        <v>129</v>
      </c>
      <c r="D232" s="252">
        <f t="shared" si="27"/>
        <v>48819.1</v>
      </c>
      <c r="E232" s="252">
        <f t="shared" si="27"/>
        <v>0</v>
      </c>
      <c r="F232" s="252">
        <f t="shared" si="27"/>
        <v>48819.100000000006</v>
      </c>
      <c r="G232" s="252">
        <f t="shared" si="27"/>
        <v>48475.8</v>
      </c>
      <c r="H232" s="306"/>
      <c r="I232" s="252">
        <f t="shared" si="27"/>
        <v>48475.8</v>
      </c>
      <c r="J232" s="252">
        <f t="shared" si="27"/>
        <v>48475.8</v>
      </c>
      <c r="K232" s="252"/>
      <c r="L232" s="252">
        <f t="shared" si="27"/>
        <v>48475.8</v>
      </c>
    </row>
    <row r="233" spans="1:14" ht="38.25" x14ac:dyDescent="0.2">
      <c r="A233" s="7"/>
      <c r="B233" s="7" t="s">
        <v>57</v>
      </c>
      <c r="C233" s="6" t="s">
        <v>56</v>
      </c>
      <c r="D233" s="252">
        <v>48819.1</v>
      </c>
      <c r="E233" s="252"/>
      <c r="F233" s="252">
        <f>49854.3-1378.5+343.3</f>
        <v>48819.100000000006</v>
      </c>
      <c r="G233" s="252">
        <f>49854.3-1378.5</f>
        <v>48475.8</v>
      </c>
      <c r="H233" s="306"/>
      <c r="I233" s="252">
        <f>49854.3-1378.5</f>
        <v>48475.8</v>
      </c>
      <c r="J233" s="252">
        <f>49854.3-1378.5</f>
        <v>48475.8</v>
      </c>
      <c r="K233" s="252"/>
      <c r="L233" s="252">
        <f>49854.3-1378.5</f>
        <v>48475.8</v>
      </c>
    </row>
    <row r="234" spans="1:14" ht="25.5" x14ac:dyDescent="0.2">
      <c r="A234" s="208" t="s">
        <v>128</v>
      </c>
      <c r="B234" s="208"/>
      <c r="C234" s="209" t="s">
        <v>127</v>
      </c>
      <c r="D234" s="251">
        <f>D235+D237</f>
        <v>24594.400000000001</v>
      </c>
      <c r="E234" s="251">
        <f>E235+E237</f>
        <v>0</v>
      </c>
      <c r="F234" s="251">
        <f>F235+F237</f>
        <v>24594.400000000001</v>
      </c>
      <c r="G234" s="251">
        <f>G235+G237</f>
        <v>20746</v>
      </c>
      <c r="H234" s="310"/>
      <c r="I234" s="251">
        <f>I235+I237</f>
        <v>20746</v>
      </c>
      <c r="J234" s="251">
        <f>J235+J237</f>
        <v>21246</v>
      </c>
      <c r="K234" s="251"/>
      <c r="L234" s="251">
        <f>L235+L237</f>
        <v>21246</v>
      </c>
    </row>
    <row r="235" spans="1:14" ht="38.25" x14ac:dyDescent="0.2">
      <c r="A235" s="7" t="s">
        <v>126</v>
      </c>
      <c r="B235" s="7"/>
      <c r="C235" s="12" t="s">
        <v>125</v>
      </c>
      <c r="D235" s="252">
        <f>D236</f>
        <v>24094.400000000001</v>
      </c>
      <c r="E235" s="252">
        <f>E236</f>
        <v>0</v>
      </c>
      <c r="F235" s="252">
        <f>F236</f>
        <v>24094.400000000001</v>
      </c>
      <c r="G235" s="252">
        <f>G236</f>
        <v>20746</v>
      </c>
      <c r="H235" s="306"/>
      <c r="I235" s="252">
        <f>I236</f>
        <v>20746</v>
      </c>
      <c r="J235" s="252">
        <f>J236</f>
        <v>20746</v>
      </c>
      <c r="K235" s="252"/>
      <c r="L235" s="252">
        <f>L236</f>
        <v>20746</v>
      </c>
    </row>
    <row r="236" spans="1:14" ht="38.25" x14ac:dyDescent="0.2">
      <c r="A236" s="7"/>
      <c r="B236" s="7" t="s">
        <v>57</v>
      </c>
      <c r="C236" s="6" t="s">
        <v>56</v>
      </c>
      <c r="D236" s="252">
        <v>24094.400000000001</v>
      </c>
      <c r="E236" s="252"/>
      <c r="F236" s="252">
        <f>20746+1245.9+2152.5-50</f>
        <v>24094.400000000001</v>
      </c>
      <c r="G236" s="252">
        <v>20746</v>
      </c>
      <c r="H236" s="306"/>
      <c r="I236" s="252">
        <v>20746</v>
      </c>
      <c r="J236" s="252">
        <v>20746</v>
      </c>
      <c r="K236" s="252"/>
      <c r="L236" s="252">
        <v>20746</v>
      </c>
    </row>
    <row r="237" spans="1:14" ht="25.5" x14ac:dyDescent="0.2">
      <c r="A237" s="7" t="s">
        <v>124</v>
      </c>
      <c r="B237" s="7"/>
      <c r="C237" s="12" t="s">
        <v>123</v>
      </c>
      <c r="D237" s="252">
        <f>D238</f>
        <v>500</v>
      </c>
      <c r="E237" s="252"/>
      <c r="F237" s="252">
        <f>F238</f>
        <v>500</v>
      </c>
      <c r="G237" s="252">
        <f>G238</f>
        <v>0</v>
      </c>
      <c r="H237" s="306"/>
      <c r="I237" s="252">
        <f>I238</f>
        <v>0</v>
      </c>
      <c r="J237" s="252">
        <f>J238</f>
        <v>500</v>
      </c>
      <c r="K237" s="252"/>
      <c r="L237" s="252">
        <f>L238</f>
        <v>500</v>
      </c>
    </row>
    <row r="238" spans="1:14" ht="38.25" x14ac:dyDescent="0.2">
      <c r="A238" s="7"/>
      <c r="B238" s="7" t="s">
        <v>57</v>
      </c>
      <c r="C238" s="6" t="s">
        <v>56</v>
      </c>
      <c r="D238" s="252">
        <f>734-234</f>
        <v>500</v>
      </c>
      <c r="E238" s="252"/>
      <c r="F238" s="252">
        <f>734-234</f>
        <v>500</v>
      </c>
      <c r="G238" s="252">
        <f>734-234-500</f>
        <v>0</v>
      </c>
      <c r="H238" s="306"/>
      <c r="I238" s="252">
        <f>734-234-500</f>
        <v>0</v>
      </c>
      <c r="J238" s="252">
        <f>734-234</f>
        <v>500</v>
      </c>
      <c r="K238" s="252"/>
      <c r="L238" s="252">
        <f>734-234</f>
        <v>500</v>
      </c>
    </row>
    <row r="239" spans="1:14" ht="25.5" x14ac:dyDescent="0.2">
      <c r="A239" s="208" t="s">
        <v>122</v>
      </c>
      <c r="B239" s="208"/>
      <c r="C239" s="209" t="s">
        <v>121</v>
      </c>
      <c r="D239" s="251">
        <f t="shared" ref="D239:L240" si="28">D240</f>
        <v>1706.1</v>
      </c>
      <c r="E239" s="251">
        <f t="shared" si="28"/>
        <v>0</v>
      </c>
      <c r="F239" s="251">
        <f t="shared" si="28"/>
        <v>1706.1000000000001</v>
      </c>
      <c r="G239" s="251">
        <f t="shared" si="28"/>
        <v>1473.4</v>
      </c>
      <c r="H239" s="310"/>
      <c r="I239" s="251">
        <f t="shared" si="28"/>
        <v>1473.4</v>
      </c>
      <c r="J239" s="251">
        <f t="shared" si="28"/>
        <v>1473.4</v>
      </c>
      <c r="K239" s="251"/>
      <c r="L239" s="251">
        <f t="shared" si="28"/>
        <v>1473.4</v>
      </c>
    </row>
    <row r="240" spans="1:14" ht="25.5" x14ac:dyDescent="0.2">
      <c r="A240" s="7" t="s">
        <v>120</v>
      </c>
      <c r="B240" s="7"/>
      <c r="C240" s="12" t="s">
        <v>119</v>
      </c>
      <c r="D240" s="252">
        <f t="shared" si="28"/>
        <v>1706.1</v>
      </c>
      <c r="E240" s="252">
        <f t="shared" si="28"/>
        <v>0</v>
      </c>
      <c r="F240" s="252">
        <f t="shared" si="28"/>
        <v>1706.1000000000001</v>
      </c>
      <c r="G240" s="252">
        <f t="shared" si="28"/>
        <v>1473.4</v>
      </c>
      <c r="H240" s="306"/>
      <c r="I240" s="252">
        <f t="shared" si="28"/>
        <v>1473.4</v>
      </c>
      <c r="J240" s="252">
        <f t="shared" si="28"/>
        <v>1473.4</v>
      </c>
      <c r="K240" s="252"/>
      <c r="L240" s="252">
        <f t="shared" si="28"/>
        <v>1473.4</v>
      </c>
    </row>
    <row r="241" spans="1:12" ht="38.25" x14ac:dyDescent="0.2">
      <c r="A241" s="7"/>
      <c r="B241" s="7" t="s">
        <v>57</v>
      </c>
      <c r="C241" s="6" t="s">
        <v>56</v>
      </c>
      <c r="D241" s="252">
        <v>1706.1</v>
      </c>
      <c r="E241" s="252"/>
      <c r="F241" s="252">
        <f>1473.4+232.7</f>
        <v>1706.1000000000001</v>
      </c>
      <c r="G241" s="252">
        <v>1473.4</v>
      </c>
      <c r="H241" s="306"/>
      <c r="I241" s="252">
        <v>1473.4</v>
      </c>
      <c r="J241" s="252">
        <v>1473.4</v>
      </c>
      <c r="K241" s="252"/>
      <c r="L241" s="252">
        <v>1473.4</v>
      </c>
    </row>
    <row r="242" spans="1:12" ht="38.25" x14ac:dyDescent="0.2">
      <c r="A242" s="208" t="s">
        <v>158</v>
      </c>
      <c r="B242" s="208"/>
      <c r="C242" s="209" t="s">
        <v>157</v>
      </c>
      <c r="D242" s="251">
        <f t="shared" ref="D242:L243" si="29">D243</f>
        <v>22821.8</v>
      </c>
      <c r="E242" s="251">
        <f t="shared" si="29"/>
        <v>0</v>
      </c>
      <c r="F242" s="251">
        <f t="shared" si="29"/>
        <v>22821.8</v>
      </c>
      <c r="G242" s="251">
        <f t="shared" si="29"/>
        <v>22356.6</v>
      </c>
      <c r="H242" s="310"/>
      <c r="I242" s="251">
        <f t="shared" si="29"/>
        <v>22356.6</v>
      </c>
      <c r="J242" s="251">
        <f t="shared" si="29"/>
        <v>22356.6</v>
      </c>
      <c r="K242" s="251"/>
      <c r="L242" s="251">
        <f t="shared" si="29"/>
        <v>22356.6</v>
      </c>
    </row>
    <row r="243" spans="1:12" ht="25.5" x14ac:dyDescent="0.2">
      <c r="A243" s="7" t="s">
        <v>156</v>
      </c>
      <c r="B243" s="7"/>
      <c r="C243" s="12" t="s">
        <v>155</v>
      </c>
      <c r="D243" s="252">
        <f t="shared" si="29"/>
        <v>22821.8</v>
      </c>
      <c r="E243" s="252">
        <f t="shared" si="29"/>
        <v>0</v>
      </c>
      <c r="F243" s="252">
        <f t="shared" si="29"/>
        <v>22821.8</v>
      </c>
      <c r="G243" s="252">
        <f t="shared" si="29"/>
        <v>22356.6</v>
      </c>
      <c r="H243" s="306"/>
      <c r="I243" s="252">
        <f t="shared" si="29"/>
        <v>22356.6</v>
      </c>
      <c r="J243" s="252">
        <f t="shared" si="29"/>
        <v>22356.6</v>
      </c>
      <c r="K243" s="252"/>
      <c r="L243" s="252">
        <f t="shared" si="29"/>
        <v>22356.6</v>
      </c>
    </row>
    <row r="244" spans="1:12" ht="38.25" x14ac:dyDescent="0.2">
      <c r="A244" s="7"/>
      <c r="B244" s="7" t="s">
        <v>57</v>
      </c>
      <c r="C244" s="6" t="s">
        <v>56</v>
      </c>
      <c r="D244" s="252">
        <v>22821.8</v>
      </c>
      <c r="E244" s="252"/>
      <c r="F244" s="252">
        <f>22356.6+465.2</f>
        <v>22821.8</v>
      </c>
      <c r="G244" s="252">
        <v>22356.6</v>
      </c>
      <c r="H244" s="306"/>
      <c r="I244" s="252">
        <v>22356.6</v>
      </c>
      <c r="J244" s="252">
        <v>22356.6</v>
      </c>
      <c r="K244" s="252"/>
      <c r="L244" s="252">
        <v>22356.6</v>
      </c>
    </row>
    <row r="245" spans="1:12" ht="38.25" x14ac:dyDescent="0.2">
      <c r="A245" s="208" t="s">
        <v>99</v>
      </c>
      <c r="B245" s="216"/>
      <c r="C245" s="209" t="s">
        <v>98</v>
      </c>
      <c r="D245" s="251">
        <f>D246+D248+D250+D253</f>
        <v>2314.3000000000002</v>
      </c>
      <c r="E245" s="251"/>
      <c r="F245" s="251">
        <f>F246+F248+F250+F253</f>
        <v>2314.3000000000002</v>
      </c>
      <c r="G245" s="251">
        <f>G246+G248+G250</f>
        <v>0</v>
      </c>
      <c r="H245" s="310"/>
      <c r="I245" s="251">
        <f>I246+I248+I250</f>
        <v>0</v>
      </c>
      <c r="J245" s="251">
        <f>J246+J248+J250</f>
        <v>1359.8</v>
      </c>
      <c r="K245" s="251"/>
      <c r="L245" s="251">
        <f>L246+L248+L250</f>
        <v>1359.8</v>
      </c>
    </row>
    <row r="246" spans="1:12" ht="89.25" x14ac:dyDescent="0.2">
      <c r="A246" s="7" t="s">
        <v>97</v>
      </c>
      <c r="B246" s="7"/>
      <c r="C246" s="6" t="s">
        <v>632</v>
      </c>
      <c r="D246" s="252">
        <f>D247</f>
        <v>669.8</v>
      </c>
      <c r="E246" s="252"/>
      <c r="F246" s="252">
        <f>F247</f>
        <v>669.8</v>
      </c>
      <c r="G246" s="252">
        <f>G247</f>
        <v>0</v>
      </c>
      <c r="H246" s="306"/>
      <c r="I246" s="252">
        <f>I247</f>
        <v>0</v>
      </c>
      <c r="J246" s="252">
        <f>J247</f>
        <v>769.8</v>
      </c>
      <c r="K246" s="252"/>
      <c r="L246" s="252">
        <f>L247</f>
        <v>769.8</v>
      </c>
    </row>
    <row r="247" spans="1:12" ht="38.25" x14ac:dyDescent="0.2">
      <c r="A247" s="7"/>
      <c r="B247" s="7" t="s">
        <v>57</v>
      </c>
      <c r="C247" s="6" t="s">
        <v>56</v>
      </c>
      <c r="D247" s="252">
        <v>669.8</v>
      </c>
      <c r="E247" s="252"/>
      <c r="F247" s="252">
        <f>769.8-100</f>
        <v>669.8</v>
      </c>
      <c r="G247" s="252">
        <f>769.8-769.8</f>
        <v>0</v>
      </c>
      <c r="H247" s="306"/>
      <c r="I247" s="252">
        <f>769.8-769.8</f>
        <v>0</v>
      </c>
      <c r="J247" s="252">
        <v>769.8</v>
      </c>
      <c r="K247" s="252"/>
      <c r="L247" s="252">
        <v>769.8</v>
      </c>
    </row>
    <row r="248" spans="1:12" ht="76.5" x14ac:dyDescent="0.2">
      <c r="A248" s="7" t="s">
        <v>95</v>
      </c>
      <c r="B248" s="7"/>
      <c r="C248" s="6" t="s">
        <v>94</v>
      </c>
      <c r="D248" s="252">
        <f>D249</f>
        <v>590</v>
      </c>
      <c r="E248" s="252"/>
      <c r="F248" s="252">
        <f>F249</f>
        <v>590</v>
      </c>
      <c r="G248" s="252">
        <f>G249</f>
        <v>0</v>
      </c>
      <c r="H248" s="306"/>
      <c r="I248" s="252">
        <f>I249</f>
        <v>0</v>
      </c>
      <c r="J248" s="252">
        <f>J249</f>
        <v>590</v>
      </c>
      <c r="K248" s="252"/>
      <c r="L248" s="252">
        <f>L249</f>
        <v>590</v>
      </c>
    </row>
    <row r="249" spans="1:12" ht="38.25" x14ac:dyDescent="0.2">
      <c r="A249" s="7"/>
      <c r="B249" s="7" t="s">
        <v>57</v>
      </c>
      <c r="C249" s="6" t="s">
        <v>56</v>
      </c>
      <c r="D249" s="252">
        <v>590</v>
      </c>
      <c r="E249" s="252"/>
      <c r="F249" s="252">
        <v>590</v>
      </c>
      <c r="G249" s="252">
        <f>590-590</f>
        <v>0</v>
      </c>
      <c r="H249" s="306"/>
      <c r="I249" s="252">
        <f>590-590</f>
        <v>0</v>
      </c>
      <c r="J249" s="252">
        <v>590</v>
      </c>
      <c r="K249" s="252"/>
      <c r="L249" s="252">
        <v>590</v>
      </c>
    </row>
    <row r="250" spans="1:12" ht="25.5" x14ac:dyDescent="0.2">
      <c r="A250" s="7" t="s">
        <v>606</v>
      </c>
      <c r="B250" s="7"/>
      <c r="C250" s="6" t="s">
        <v>607</v>
      </c>
      <c r="D250" s="252">
        <f>D251+D252</f>
        <v>887.5</v>
      </c>
      <c r="E250" s="252"/>
      <c r="F250" s="252">
        <f>F251+F252</f>
        <v>887.5</v>
      </c>
      <c r="G250" s="252">
        <f>G252</f>
        <v>0</v>
      </c>
      <c r="H250" s="306"/>
      <c r="I250" s="252">
        <f>I252</f>
        <v>0</v>
      </c>
      <c r="J250" s="252">
        <f>J252</f>
        <v>0</v>
      </c>
      <c r="K250" s="252"/>
      <c r="L250" s="252">
        <f>L252</f>
        <v>0</v>
      </c>
    </row>
    <row r="251" spans="1:12" ht="25.5" x14ac:dyDescent="0.2">
      <c r="A251" s="7"/>
      <c r="B251" s="7" t="s">
        <v>12</v>
      </c>
      <c r="C251" s="6" t="s">
        <v>11</v>
      </c>
      <c r="D251" s="252">
        <v>28</v>
      </c>
      <c r="E251" s="252"/>
      <c r="F251" s="252">
        <v>28</v>
      </c>
      <c r="G251" s="252">
        <v>0</v>
      </c>
      <c r="H251" s="306"/>
      <c r="I251" s="252">
        <v>0</v>
      </c>
      <c r="J251" s="252">
        <v>0</v>
      </c>
      <c r="K251" s="252"/>
      <c r="L251" s="252">
        <v>0</v>
      </c>
    </row>
    <row r="252" spans="1:12" ht="38.25" x14ac:dyDescent="0.2">
      <c r="A252" s="7"/>
      <c r="B252" s="7" t="s">
        <v>57</v>
      </c>
      <c r="C252" s="6" t="s">
        <v>56</v>
      </c>
      <c r="D252" s="252">
        <v>859.5</v>
      </c>
      <c r="E252" s="252"/>
      <c r="F252" s="252">
        <f>560+200-28+127.5</f>
        <v>859.5</v>
      </c>
      <c r="G252" s="252">
        <v>0</v>
      </c>
      <c r="H252" s="306"/>
      <c r="I252" s="252">
        <v>0</v>
      </c>
      <c r="J252" s="252">
        <v>0</v>
      </c>
      <c r="K252" s="252"/>
      <c r="L252" s="252">
        <v>0</v>
      </c>
    </row>
    <row r="253" spans="1:12" ht="25.5" x14ac:dyDescent="0.2">
      <c r="A253" s="7" t="s">
        <v>876</v>
      </c>
      <c r="B253" s="7"/>
      <c r="C253" s="6" t="s">
        <v>877</v>
      </c>
      <c r="D253" s="252">
        <f>D254</f>
        <v>167</v>
      </c>
      <c r="E253" s="252"/>
      <c r="F253" s="252">
        <f>F254</f>
        <v>167</v>
      </c>
      <c r="G253" s="252">
        <f>G256</f>
        <v>50</v>
      </c>
      <c r="H253" s="306"/>
      <c r="I253" s="252">
        <f>I256</f>
        <v>50</v>
      </c>
      <c r="J253" s="252">
        <f>J256</f>
        <v>50</v>
      </c>
      <c r="K253" s="252"/>
      <c r="L253" s="252">
        <f>L256</f>
        <v>50</v>
      </c>
    </row>
    <row r="254" spans="1:12" ht="38.25" x14ac:dyDescent="0.2">
      <c r="A254" s="7"/>
      <c r="B254" s="7" t="s">
        <v>57</v>
      </c>
      <c r="C254" s="6" t="s">
        <v>56</v>
      </c>
      <c r="D254" s="252">
        <v>167</v>
      </c>
      <c r="E254" s="252"/>
      <c r="F254" s="252">
        <v>167</v>
      </c>
      <c r="G254" s="252">
        <v>0</v>
      </c>
      <c r="H254" s="306"/>
      <c r="I254" s="252">
        <v>0</v>
      </c>
      <c r="J254" s="252">
        <v>0</v>
      </c>
      <c r="K254" s="252"/>
      <c r="L254" s="252">
        <v>0</v>
      </c>
    </row>
    <row r="255" spans="1:12" x14ac:dyDescent="0.2">
      <c r="A255" s="386"/>
      <c r="B255" s="386"/>
      <c r="C255" s="6" t="s">
        <v>106</v>
      </c>
      <c r="D255" s="387">
        <v>167</v>
      </c>
      <c r="E255" s="252"/>
      <c r="F255" s="252">
        <v>167</v>
      </c>
      <c r="G255" s="387"/>
      <c r="H255" s="387"/>
      <c r="I255" s="387"/>
      <c r="J255" s="387"/>
      <c r="K255" s="387"/>
      <c r="L255" s="387"/>
    </row>
    <row r="256" spans="1:12" x14ac:dyDescent="0.2">
      <c r="A256" s="208" t="s">
        <v>93</v>
      </c>
      <c r="B256" s="216"/>
      <c r="C256" s="209" t="s">
        <v>92</v>
      </c>
      <c r="D256" s="251">
        <f t="shared" ref="D256:L257" si="30">D257</f>
        <v>50</v>
      </c>
      <c r="E256" s="251"/>
      <c r="F256" s="251">
        <f t="shared" si="30"/>
        <v>50</v>
      </c>
      <c r="G256" s="251">
        <f t="shared" si="30"/>
        <v>50</v>
      </c>
      <c r="H256" s="310"/>
      <c r="I256" s="251">
        <f t="shared" si="30"/>
        <v>50</v>
      </c>
      <c r="J256" s="251">
        <f t="shared" si="30"/>
        <v>50</v>
      </c>
      <c r="K256" s="251"/>
      <c r="L256" s="251">
        <f t="shared" si="30"/>
        <v>50</v>
      </c>
    </row>
    <row r="257" spans="1:12" ht="25.5" x14ac:dyDescent="0.2">
      <c r="A257" s="7" t="s">
        <v>91</v>
      </c>
      <c r="B257" s="7"/>
      <c r="C257" s="6" t="s">
        <v>90</v>
      </c>
      <c r="D257" s="252">
        <f t="shared" si="30"/>
        <v>50</v>
      </c>
      <c r="E257" s="252"/>
      <c r="F257" s="252">
        <f t="shared" si="30"/>
        <v>50</v>
      </c>
      <c r="G257" s="252">
        <f t="shared" si="30"/>
        <v>50</v>
      </c>
      <c r="H257" s="306"/>
      <c r="I257" s="252">
        <f t="shared" si="30"/>
        <v>50</v>
      </c>
      <c r="J257" s="252">
        <f t="shared" si="30"/>
        <v>50</v>
      </c>
      <c r="K257" s="252"/>
      <c r="L257" s="252">
        <f t="shared" si="30"/>
        <v>50</v>
      </c>
    </row>
    <row r="258" spans="1:12" ht="38.25" x14ac:dyDescent="0.2">
      <c r="A258" s="7"/>
      <c r="B258" s="7" t="s">
        <v>57</v>
      </c>
      <c r="C258" s="6" t="s">
        <v>56</v>
      </c>
      <c r="D258" s="252">
        <v>50</v>
      </c>
      <c r="E258" s="252"/>
      <c r="F258" s="252">
        <v>50</v>
      </c>
      <c r="G258" s="252">
        <v>50</v>
      </c>
      <c r="H258" s="306"/>
      <c r="I258" s="252">
        <v>50</v>
      </c>
      <c r="J258" s="252">
        <v>50</v>
      </c>
      <c r="K258" s="252"/>
      <c r="L258" s="252">
        <v>50</v>
      </c>
    </row>
    <row r="259" spans="1:12" ht="74.25" customHeight="1" x14ac:dyDescent="0.2">
      <c r="A259" s="208" t="s">
        <v>118</v>
      </c>
      <c r="B259" s="208"/>
      <c r="C259" s="211" t="s">
        <v>117</v>
      </c>
      <c r="D259" s="251">
        <f>D262+D264+D267</f>
        <v>3146.2</v>
      </c>
      <c r="E259" s="251">
        <f>E262+E264+E267+E269+E260</f>
        <v>0</v>
      </c>
      <c r="F259" s="251">
        <f>F262+F264+F267+F260+F269</f>
        <v>3146.2</v>
      </c>
      <c r="G259" s="251">
        <f>G262</f>
        <v>0</v>
      </c>
      <c r="H259" s="310"/>
      <c r="I259" s="251">
        <f>I262</f>
        <v>0</v>
      </c>
      <c r="J259" s="251">
        <v>0</v>
      </c>
      <c r="K259" s="251"/>
      <c r="L259" s="251">
        <v>0</v>
      </c>
    </row>
    <row r="260" spans="1:12" ht="42.75" customHeight="1" x14ac:dyDescent="0.2">
      <c r="A260" s="7" t="s">
        <v>918</v>
      </c>
      <c r="B260" s="409"/>
      <c r="C260" s="417" t="s">
        <v>917</v>
      </c>
      <c r="D260" s="410"/>
      <c r="E260" s="410">
        <f>E261</f>
        <v>200.2</v>
      </c>
      <c r="F260" s="410">
        <f>F261</f>
        <v>200.2</v>
      </c>
      <c r="G260" s="410"/>
      <c r="H260" s="410"/>
      <c r="I260" s="410"/>
      <c r="J260" s="410"/>
      <c r="K260" s="410"/>
      <c r="L260" s="418"/>
    </row>
    <row r="261" spans="1:12" ht="30" customHeight="1" x14ac:dyDescent="0.2">
      <c r="A261" s="415"/>
      <c r="B261" s="7" t="s">
        <v>57</v>
      </c>
      <c r="C261" s="6" t="s">
        <v>56</v>
      </c>
      <c r="D261" s="416"/>
      <c r="E261" s="410">
        <v>200.2</v>
      </c>
      <c r="F261" s="410">
        <v>200.2</v>
      </c>
      <c r="G261" s="416"/>
      <c r="H261" s="416"/>
      <c r="I261" s="416"/>
      <c r="J261" s="416"/>
      <c r="K261" s="416"/>
      <c r="L261" s="414"/>
    </row>
    <row r="262" spans="1:12" ht="76.5" x14ac:dyDescent="0.2">
      <c r="A262" s="7" t="s">
        <v>605</v>
      </c>
      <c r="B262" s="7"/>
      <c r="C262" s="6" t="s">
        <v>634</v>
      </c>
      <c r="D262" s="252">
        <f>D263</f>
        <v>2600</v>
      </c>
      <c r="E262" s="252">
        <f>E263</f>
        <v>-632.20000000000005</v>
      </c>
      <c r="F262" s="252">
        <f>F263</f>
        <v>1967.8</v>
      </c>
      <c r="G262" s="252">
        <v>0</v>
      </c>
      <c r="H262" s="306"/>
      <c r="I262" s="252">
        <v>0</v>
      </c>
      <c r="J262" s="252">
        <v>0</v>
      </c>
      <c r="K262" s="252"/>
      <c r="L262" s="252">
        <v>0</v>
      </c>
    </row>
    <row r="263" spans="1:12" ht="26.25" customHeight="1" x14ac:dyDescent="0.2">
      <c r="A263" s="57"/>
      <c r="B263" s="7" t="s">
        <v>57</v>
      </c>
      <c r="C263" s="6" t="s">
        <v>56</v>
      </c>
      <c r="D263" s="252">
        <v>2600</v>
      </c>
      <c r="E263" s="252">
        <v>-632.20000000000005</v>
      </c>
      <c r="F263" s="252">
        <f>SUM(D263:E263)</f>
        <v>1967.8</v>
      </c>
      <c r="G263" s="252">
        <v>0</v>
      </c>
      <c r="H263" s="306"/>
      <c r="I263" s="252">
        <v>0</v>
      </c>
      <c r="J263" s="252">
        <v>0</v>
      </c>
      <c r="K263" s="252"/>
      <c r="L263" s="252">
        <v>0</v>
      </c>
    </row>
    <row r="264" spans="1:12" ht="51" x14ac:dyDescent="0.2">
      <c r="A264" s="7" t="s">
        <v>723</v>
      </c>
      <c r="B264" s="7"/>
      <c r="C264" s="6" t="s">
        <v>618</v>
      </c>
      <c r="D264" s="252">
        <f t="shared" ref="D264:F265" si="31">D265</f>
        <v>500</v>
      </c>
      <c r="E264" s="252"/>
      <c r="F264" s="252">
        <f t="shared" si="31"/>
        <v>500</v>
      </c>
      <c r="G264" s="252">
        <v>0</v>
      </c>
      <c r="H264" s="306"/>
      <c r="I264" s="252">
        <v>0</v>
      </c>
      <c r="J264" s="252">
        <v>0</v>
      </c>
      <c r="K264" s="252"/>
      <c r="L264" s="252">
        <v>0</v>
      </c>
    </row>
    <row r="265" spans="1:12" ht="38.25" x14ac:dyDescent="0.2">
      <c r="A265" s="57"/>
      <c r="B265" s="7" t="s">
        <v>57</v>
      </c>
      <c r="C265" s="6" t="s">
        <v>56</v>
      </c>
      <c r="D265" s="252">
        <f t="shared" si="31"/>
        <v>500</v>
      </c>
      <c r="E265" s="252"/>
      <c r="F265" s="252">
        <f t="shared" si="31"/>
        <v>500</v>
      </c>
      <c r="G265" s="252">
        <v>0</v>
      </c>
      <c r="H265" s="306"/>
      <c r="I265" s="252">
        <v>0</v>
      </c>
      <c r="J265" s="252">
        <v>0</v>
      </c>
      <c r="K265" s="252"/>
      <c r="L265" s="252">
        <v>0</v>
      </c>
    </row>
    <row r="266" spans="1:12" x14ac:dyDescent="0.2">
      <c r="A266" s="57"/>
      <c r="B266" s="7"/>
      <c r="C266" s="6" t="s">
        <v>106</v>
      </c>
      <c r="D266" s="252">
        <v>500</v>
      </c>
      <c r="E266" s="252"/>
      <c r="F266" s="252">
        <f>251.559+248.441</f>
        <v>500</v>
      </c>
      <c r="G266" s="252">
        <v>0</v>
      </c>
      <c r="H266" s="306"/>
      <c r="I266" s="252">
        <v>0</v>
      </c>
      <c r="J266" s="252">
        <v>0</v>
      </c>
      <c r="K266" s="252"/>
      <c r="L266" s="252">
        <v>0</v>
      </c>
    </row>
    <row r="267" spans="1:12" ht="38.25" x14ac:dyDescent="0.2">
      <c r="A267" s="7" t="s">
        <v>724</v>
      </c>
      <c r="B267" s="7"/>
      <c r="C267" s="6" t="s">
        <v>791</v>
      </c>
      <c r="D267" s="259">
        <f>D268</f>
        <v>46.2</v>
      </c>
      <c r="E267" s="259"/>
      <c r="F267" s="259">
        <f>F268</f>
        <v>46.2</v>
      </c>
      <c r="G267" s="252">
        <v>0</v>
      </c>
      <c r="H267" s="306"/>
      <c r="I267" s="252">
        <v>0</v>
      </c>
      <c r="J267" s="252">
        <v>0</v>
      </c>
      <c r="K267" s="252"/>
      <c r="L267" s="252">
        <v>0</v>
      </c>
    </row>
    <row r="268" spans="1:12" ht="25.5" x14ac:dyDescent="0.2">
      <c r="A268" s="7"/>
      <c r="B268" s="7" t="s">
        <v>12</v>
      </c>
      <c r="C268" s="6" t="s">
        <v>11</v>
      </c>
      <c r="D268" s="259">
        <v>46.2</v>
      </c>
      <c r="E268" s="259"/>
      <c r="F268" s="259">
        <v>46.2</v>
      </c>
      <c r="G268" s="252">
        <v>0</v>
      </c>
      <c r="H268" s="306"/>
      <c r="I268" s="252">
        <v>0</v>
      </c>
      <c r="J268" s="252">
        <v>0</v>
      </c>
      <c r="K268" s="252"/>
      <c r="L268" s="252">
        <v>0</v>
      </c>
    </row>
    <row r="269" spans="1:12" ht="25.5" x14ac:dyDescent="0.2">
      <c r="A269" s="7" t="s">
        <v>919</v>
      </c>
      <c r="B269" s="409"/>
      <c r="C269" s="419" t="s">
        <v>920</v>
      </c>
      <c r="D269" s="420"/>
      <c r="E269" s="420">
        <f>E270</f>
        <v>432</v>
      </c>
      <c r="F269" s="420">
        <f>F270</f>
        <v>432</v>
      </c>
      <c r="G269" s="410"/>
      <c r="H269" s="410"/>
      <c r="I269" s="410"/>
      <c r="J269" s="410"/>
      <c r="K269" s="410"/>
      <c r="L269" s="410"/>
    </row>
    <row r="270" spans="1:12" ht="23.25" customHeight="1" x14ac:dyDescent="0.2">
      <c r="A270" s="409"/>
      <c r="B270" s="7" t="s">
        <v>57</v>
      </c>
      <c r="C270" s="6" t="s">
        <v>56</v>
      </c>
      <c r="D270" s="420"/>
      <c r="E270" s="420">
        <v>432</v>
      </c>
      <c r="F270" s="420">
        <v>432</v>
      </c>
      <c r="G270" s="410"/>
      <c r="H270" s="410"/>
      <c r="I270" s="410"/>
      <c r="J270" s="410"/>
      <c r="K270" s="410"/>
      <c r="L270" s="410"/>
    </row>
    <row r="271" spans="1:12" ht="25.5" x14ac:dyDescent="0.2">
      <c r="A271" s="325" t="s">
        <v>856</v>
      </c>
      <c r="B271" s="325"/>
      <c r="C271" s="328" t="s">
        <v>857</v>
      </c>
      <c r="D271" s="251">
        <f t="shared" ref="D271:L273" si="32">D272</f>
        <v>68430.930930000002</v>
      </c>
      <c r="E271" s="251">
        <f t="shared" si="32"/>
        <v>-4.1640499999999996</v>
      </c>
      <c r="F271" s="251">
        <f t="shared" si="32"/>
        <v>68426.766879999996</v>
      </c>
      <c r="G271" s="251">
        <f t="shared" si="32"/>
        <v>0</v>
      </c>
      <c r="H271" s="251">
        <f t="shared" si="32"/>
        <v>4.1640499999999996</v>
      </c>
      <c r="I271" s="251">
        <f t="shared" si="32"/>
        <v>4.1640499999999996</v>
      </c>
      <c r="J271" s="251">
        <f t="shared" si="32"/>
        <v>0</v>
      </c>
      <c r="K271" s="251"/>
      <c r="L271" s="251">
        <f t="shared" si="32"/>
        <v>0</v>
      </c>
    </row>
    <row r="272" spans="1:12" ht="25.5" x14ac:dyDescent="0.2">
      <c r="A272" s="36" t="s">
        <v>858</v>
      </c>
      <c r="B272" s="22"/>
      <c r="C272" s="12" t="s">
        <v>633</v>
      </c>
      <c r="D272" s="252">
        <f t="shared" si="32"/>
        <v>68430.930930000002</v>
      </c>
      <c r="E272" s="252">
        <f t="shared" si="32"/>
        <v>-4.1640499999999996</v>
      </c>
      <c r="F272" s="252">
        <f t="shared" si="32"/>
        <v>68426.766879999996</v>
      </c>
      <c r="G272" s="252">
        <f t="shared" si="32"/>
        <v>0</v>
      </c>
      <c r="H272" s="252">
        <f t="shared" si="32"/>
        <v>4.1640499999999996</v>
      </c>
      <c r="I272" s="252">
        <f t="shared" si="32"/>
        <v>4.1640499999999996</v>
      </c>
      <c r="J272" s="252">
        <f t="shared" si="32"/>
        <v>0</v>
      </c>
      <c r="K272" s="252"/>
      <c r="L272" s="252">
        <f t="shared" si="32"/>
        <v>0</v>
      </c>
    </row>
    <row r="273" spans="1:12" ht="26.25" x14ac:dyDescent="0.25">
      <c r="A273" s="58"/>
      <c r="B273" s="138"/>
      <c r="C273" s="139" t="s">
        <v>291</v>
      </c>
      <c r="D273" s="252">
        <f t="shared" si="32"/>
        <v>68430.930930000002</v>
      </c>
      <c r="E273" s="252">
        <f t="shared" si="32"/>
        <v>-4.1640499999999996</v>
      </c>
      <c r="F273" s="252">
        <f t="shared" si="32"/>
        <v>68426.766879999996</v>
      </c>
      <c r="G273" s="252">
        <f t="shared" si="32"/>
        <v>0</v>
      </c>
      <c r="H273" s="252">
        <f t="shared" si="32"/>
        <v>4.1640499999999996</v>
      </c>
      <c r="I273" s="252">
        <f t="shared" si="32"/>
        <v>4.1640499999999996</v>
      </c>
      <c r="J273" s="252">
        <f t="shared" si="32"/>
        <v>0</v>
      </c>
      <c r="K273" s="252"/>
      <c r="L273" s="252">
        <f t="shared" si="32"/>
        <v>0</v>
      </c>
    </row>
    <row r="274" spans="1:12" ht="38.25" x14ac:dyDescent="0.2">
      <c r="A274" s="7"/>
      <c r="B274" s="69" t="s">
        <v>272</v>
      </c>
      <c r="C274" s="6" t="s">
        <v>271</v>
      </c>
      <c r="D274" s="252">
        <f>D275+D276</f>
        <v>68430.930930000002</v>
      </c>
      <c r="E274" s="252">
        <f>E275+E276</f>
        <v>-4.1640499999999996</v>
      </c>
      <c r="F274" s="252">
        <f t="shared" ref="F274:L274" si="33">F275+F276</f>
        <v>68426.766879999996</v>
      </c>
      <c r="G274" s="252">
        <f t="shared" si="33"/>
        <v>0</v>
      </c>
      <c r="H274" s="252">
        <f>H275+H276</f>
        <v>4.1640499999999996</v>
      </c>
      <c r="I274" s="252">
        <f t="shared" si="33"/>
        <v>4.1640499999999996</v>
      </c>
      <c r="J274" s="252">
        <f t="shared" si="33"/>
        <v>0</v>
      </c>
      <c r="K274" s="252"/>
      <c r="L274" s="252">
        <f t="shared" si="33"/>
        <v>0</v>
      </c>
    </row>
    <row r="275" spans="1:12" x14ac:dyDescent="0.2">
      <c r="A275" s="7"/>
      <c r="B275" s="69"/>
      <c r="C275" s="6" t="s">
        <v>114</v>
      </c>
      <c r="D275" s="252">
        <v>68362.5</v>
      </c>
      <c r="E275" s="252"/>
      <c r="F275" s="252">
        <v>68362.5</v>
      </c>
      <c r="G275" s="252">
        <v>0</v>
      </c>
      <c r="H275" s="306"/>
      <c r="I275" s="252">
        <v>0</v>
      </c>
      <c r="J275" s="252">
        <v>0</v>
      </c>
      <c r="K275" s="252"/>
      <c r="L275" s="252">
        <v>0</v>
      </c>
    </row>
    <row r="276" spans="1:12" x14ac:dyDescent="0.2">
      <c r="A276" s="57"/>
      <c r="B276" s="7"/>
      <c r="C276" s="6" t="s">
        <v>106</v>
      </c>
      <c r="D276" s="252">
        <v>68.430930000000004</v>
      </c>
      <c r="E276" s="252">
        <v>-4.1640499999999996</v>
      </c>
      <c r="F276" s="252">
        <f>SUM(D276:E276)</f>
        <v>64.26688</v>
      </c>
      <c r="G276" s="252">
        <v>0</v>
      </c>
      <c r="H276" s="306">
        <v>4.1640499999999996</v>
      </c>
      <c r="I276" s="306">
        <v>4.1640499999999996</v>
      </c>
      <c r="J276" s="252">
        <v>0</v>
      </c>
      <c r="K276" s="252"/>
      <c r="L276" s="252">
        <v>0</v>
      </c>
    </row>
    <row r="277" spans="1:12" ht="25.5" x14ac:dyDescent="0.2">
      <c r="A277" s="213" t="s">
        <v>112</v>
      </c>
      <c r="B277" s="213"/>
      <c r="C277" s="211" t="s">
        <v>111</v>
      </c>
      <c r="D277" s="251">
        <f>D278+D281</f>
        <v>0</v>
      </c>
      <c r="E277" s="251"/>
      <c r="F277" s="251">
        <f>F278+F281</f>
        <v>0</v>
      </c>
      <c r="G277" s="251">
        <f>G278+G281</f>
        <v>0.15789</v>
      </c>
      <c r="H277" s="310"/>
      <c r="I277" s="251">
        <f>I278+I281</f>
        <v>0.15789</v>
      </c>
      <c r="J277" s="251">
        <f>J278+J281</f>
        <v>0</v>
      </c>
      <c r="K277" s="251"/>
      <c r="L277" s="251">
        <f>L278+L281</f>
        <v>0</v>
      </c>
    </row>
    <row r="278" spans="1:12" ht="38.25" x14ac:dyDescent="0.2">
      <c r="A278" s="52" t="s">
        <v>110</v>
      </c>
      <c r="B278" s="52"/>
      <c r="C278" s="95" t="s">
        <v>109</v>
      </c>
      <c r="D278" s="252">
        <f t="shared" ref="D278:L279" si="34">D279</f>
        <v>0</v>
      </c>
      <c r="E278" s="252"/>
      <c r="F278" s="252">
        <f t="shared" si="34"/>
        <v>0</v>
      </c>
      <c r="G278" s="252">
        <f t="shared" si="34"/>
        <v>5.2630000000000003E-2</v>
      </c>
      <c r="H278" s="306"/>
      <c r="I278" s="252">
        <f t="shared" si="34"/>
        <v>5.2630000000000003E-2</v>
      </c>
      <c r="J278" s="252">
        <f t="shared" si="34"/>
        <v>0</v>
      </c>
      <c r="K278" s="252"/>
      <c r="L278" s="252">
        <f t="shared" si="34"/>
        <v>0</v>
      </c>
    </row>
    <row r="279" spans="1:12" ht="38.25" x14ac:dyDescent="0.2">
      <c r="A279" s="22"/>
      <c r="B279" s="52" t="s">
        <v>57</v>
      </c>
      <c r="C279" s="6" t="s">
        <v>56</v>
      </c>
      <c r="D279" s="252">
        <f t="shared" si="34"/>
        <v>0</v>
      </c>
      <c r="E279" s="252"/>
      <c r="F279" s="252">
        <f t="shared" si="34"/>
        <v>0</v>
      </c>
      <c r="G279" s="252">
        <f t="shared" si="34"/>
        <v>5.2630000000000003E-2</v>
      </c>
      <c r="H279" s="306"/>
      <c r="I279" s="252">
        <f t="shared" si="34"/>
        <v>5.2630000000000003E-2</v>
      </c>
      <c r="J279" s="252">
        <f t="shared" si="34"/>
        <v>0</v>
      </c>
      <c r="K279" s="252"/>
      <c r="L279" s="252">
        <f t="shared" si="34"/>
        <v>0</v>
      </c>
    </row>
    <row r="280" spans="1:12" x14ac:dyDescent="0.2">
      <c r="A280" s="22"/>
      <c r="B280" s="52"/>
      <c r="C280" s="6" t="s">
        <v>106</v>
      </c>
      <c r="D280" s="252">
        <v>0</v>
      </c>
      <c r="E280" s="252"/>
      <c r="F280" s="252">
        <v>0</v>
      </c>
      <c r="G280" s="252">
        <v>5.2630000000000003E-2</v>
      </c>
      <c r="H280" s="306"/>
      <c r="I280" s="252">
        <v>5.2630000000000003E-2</v>
      </c>
      <c r="J280" s="252">
        <f>0.05263-0.05263</f>
        <v>0</v>
      </c>
      <c r="K280" s="252"/>
      <c r="L280" s="252">
        <f>0.05263-0.05263</f>
        <v>0</v>
      </c>
    </row>
    <row r="281" spans="1:12" ht="38.25" x14ac:dyDescent="0.2">
      <c r="A281" s="52" t="s">
        <v>108</v>
      </c>
      <c r="B281" s="52"/>
      <c r="C281" s="95" t="s">
        <v>107</v>
      </c>
      <c r="D281" s="252">
        <f t="shared" ref="D281:L282" si="35">D282</f>
        <v>0</v>
      </c>
      <c r="E281" s="252"/>
      <c r="F281" s="252">
        <f t="shared" si="35"/>
        <v>0</v>
      </c>
      <c r="G281" s="252">
        <f t="shared" si="35"/>
        <v>0.10526000000000001</v>
      </c>
      <c r="H281" s="306"/>
      <c r="I281" s="252">
        <f t="shared" si="35"/>
        <v>0.10526000000000001</v>
      </c>
      <c r="J281" s="252">
        <f t="shared" si="35"/>
        <v>0</v>
      </c>
      <c r="K281" s="252"/>
      <c r="L281" s="252">
        <f t="shared" si="35"/>
        <v>0</v>
      </c>
    </row>
    <row r="282" spans="1:12" ht="38.25" x14ac:dyDescent="0.2">
      <c r="A282" s="22"/>
      <c r="B282" s="52" t="s">
        <v>57</v>
      </c>
      <c r="C282" s="6" t="s">
        <v>56</v>
      </c>
      <c r="D282" s="252">
        <f t="shared" si="35"/>
        <v>0</v>
      </c>
      <c r="E282" s="252"/>
      <c r="F282" s="252">
        <f t="shared" si="35"/>
        <v>0</v>
      </c>
      <c r="G282" s="252">
        <f t="shared" si="35"/>
        <v>0.10526000000000001</v>
      </c>
      <c r="H282" s="306"/>
      <c r="I282" s="252">
        <f t="shared" si="35"/>
        <v>0.10526000000000001</v>
      </c>
      <c r="J282" s="252">
        <f t="shared" si="35"/>
        <v>0</v>
      </c>
      <c r="K282" s="252"/>
      <c r="L282" s="252">
        <f t="shared" si="35"/>
        <v>0</v>
      </c>
    </row>
    <row r="283" spans="1:12" x14ac:dyDescent="0.2">
      <c r="A283" s="22"/>
      <c r="B283" s="52"/>
      <c r="C283" s="6" t="s">
        <v>106</v>
      </c>
      <c r="D283" s="252">
        <v>0</v>
      </c>
      <c r="E283" s="252"/>
      <c r="F283" s="252">
        <v>0</v>
      </c>
      <c r="G283" s="252">
        <v>0.10526000000000001</v>
      </c>
      <c r="H283" s="306"/>
      <c r="I283" s="252">
        <v>0.10526000000000001</v>
      </c>
      <c r="J283" s="252">
        <f>0.10526-0.10526</f>
        <v>0</v>
      </c>
      <c r="K283" s="252"/>
      <c r="L283" s="252">
        <f>0.10526-0.10526</f>
        <v>0</v>
      </c>
    </row>
    <row r="284" spans="1:12" x14ac:dyDescent="0.2">
      <c r="A284" s="30" t="s">
        <v>152</v>
      </c>
      <c r="B284" s="30"/>
      <c r="C284" s="50" t="s">
        <v>151</v>
      </c>
      <c r="D284" s="250">
        <f>D285</f>
        <v>298.5</v>
      </c>
      <c r="E284" s="250"/>
      <c r="F284" s="250">
        <f>F285</f>
        <v>298.5</v>
      </c>
      <c r="G284" s="250">
        <f>G285</f>
        <v>67</v>
      </c>
      <c r="H284" s="309"/>
      <c r="I284" s="250">
        <f>I285</f>
        <v>67</v>
      </c>
      <c r="J284" s="250">
        <f>J285</f>
        <v>365.5</v>
      </c>
      <c r="K284" s="250"/>
      <c r="L284" s="250">
        <f>L285</f>
        <v>365.5</v>
      </c>
    </row>
    <row r="285" spans="1:12" ht="25.5" x14ac:dyDescent="0.2">
      <c r="A285" s="208" t="s">
        <v>150</v>
      </c>
      <c r="B285" s="208"/>
      <c r="C285" s="209" t="s">
        <v>149</v>
      </c>
      <c r="D285" s="251">
        <f>D286+D288</f>
        <v>298.5</v>
      </c>
      <c r="E285" s="251"/>
      <c r="F285" s="251">
        <f>F286+F288</f>
        <v>298.5</v>
      </c>
      <c r="G285" s="251">
        <f>G286+G288</f>
        <v>67</v>
      </c>
      <c r="H285" s="310"/>
      <c r="I285" s="251">
        <f>I286+I288</f>
        <v>67</v>
      </c>
      <c r="J285" s="251">
        <f>J286+J288</f>
        <v>365.5</v>
      </c>
      <c r="K285" s="251"/>
      <c r="L285" s="251">
        <f>L286+L288</f>
        <v>365.5</v>
      </c>
    </row>
    <row r="286" spans="1:12" ht="127.5" x14ac:dyDescent="0.2">
      <c r="A286" s="7" t="s">
        <v>148</v>
      </c>
      <c r="B286" s="7"/>
      <c r="C286" s="6" t="s">
        <v>147</v>
      </c>
      <c r="D286" s="252">
        <f>D287</f>
        <v>298.5</v>
      </c>
      <c r="E286" s="252"/>
      <c r="F286" s="252">
        <f>F287</f>
        <v>298.5</v>
      </c>
      <c r="G286" s="252">
        <f>G287</f>
        <v>0</v>
      </c>
      <c r="H286" s="306"/>
      <c r="I286" s="252">
        <f>I287</f>
        <v>0</v>
      </c>
      <c r="J286" s="252">
        <f>J287</f>
        <v>298.5</v>
      </c>
      <c r="K286" s="252"/>
      <c r="L286" s="252">
        <f>L287</f>
        <v>298.5</v>
      </c>
    </row>
    <row r="287" spans="1:12" ht="38.25" x14ac:dyDescent="0.2">
      <c r="A287" s="7"/>
      <c r="B287" s="7" t="s">
        <v>57</v>
      </c>
      <c r="C287" s="6" t="s">
        <v>56</v>
      </c>
      <c r="D287" s="252">
        <v>298.5</v>
      </c>
      <c r="E287" s="252"/>
      <c r="F287" s="252">
        <v>298.5</v>
      </c>
      <c r="G287" s="252">
        <f>298.5-298.5</f>
        <v>0</v>
      </c>
      <c r="H287" s="306"/>
      <c r="I287" s="252">
        <f>298.5-298.5</f>
        <v>0</v>
      </c>
      <c r="J287" s="252">
        <v>298.5</v>
      </c>
      <c r="K287" s="252"/>
      <c r="L287" s="252">
        <v>298.5</v>
      </c>
    </row>
    <row r="288" spans="1:12" ht="25.5" x14ac:dyDescent="0.2">
      <c r="A288" s="52" t="s">
        <v>146</v>
      </c>
      <c r="B288" s="52"/>
      <c r="C288" s="6" t="s">
        <v>145</v>
      </c>
      <c r="D288" s="252">
        <f>D289</f>
        <v>0</v>
      </c>
      <c r="E288" s="252"/>
      <c r="F288" s="252">
        <f>F289</f>
        <v>0</v>
      </c>
      <c r="G288" s="252">
        <f>G289</f>
        <v>67</v>
      </c>
      <c r="H288" s="306"/>
      <c r="I288" s="252">
        <f>I289</f>
        <v>67</v>
      </c>
      <c r="J288" s="252">
        <f>J289</f>
        <v>67</v>
      </c>
      <c r="K288" s="252"/>
      <c r="L288" s="252">
        <f>L289</f>
        <v>67</v>
      </c>
    </row>
    <row r="289" spans="1:12" ht="38.25" x14ac:dyDescent="0.2">
      <c r="A289" s="52"/>
      <c r="B289" s="7" t="s">
        <v>57</v>
      </c>
      <c r="C289" s="6" t="s">
        <v>56</v>
      </c>
      <c r="D289" s="252">
        <f>D291</f>
        <v>0</v>
      </c>
      <c r="E289" s="252"/>
      <c r="F289" s="252">
        <f>F291</f>
        <v>0</v>
      </c>
      <c r="G289" s="252">
        <f>G291</f>
        <v>67</v>
      </c>
      <c r="H289" s="306"/>
      <c r="I289" s="252">
        <f>I291</f>
        <v>67</v>
      </c>
      <c r="J289" s="252">
        <f>J291</f>
        <v>67</v>
      </c>
      <c r="K289" s="252"/>
      <c r="L289" s="252">
        <f>L291</f>
        <v>67</v>
      </c>
    </row>
    <row r="290" spans="1:12" x14ac:dyDescent="0.2">
      <c r="A290" s="7"/>
      <c r="B290" s="7"/>
      <c r="C290" s="6" t="s">
        <v>114</v>
      </c>
      <c r="D290" s="252">
        <v>0</v>
      </c>
      <c r="E290" s="252"/>
      <c r="F290" s="252">
        <v>0</v>
      </c>
      <c r="G290" s="252">
        <v>0</v>
      </c>
      <c r="H290" s="306"/>
      <c r="I290" s="252">
        <v>0</v>
      </c>
      <c r="J290" s="252">
        <v>0</v>
      </c>
      <c r="K290" s="252"/>
      <c r="L290" s="252">
        <v>0</v>
      </c>
    </row>
    <row r="291" spans="1:12" x14ac:dyDescent="0.2">
      <c r="A291" s="7"/>
      <c r="B291" s="7"/>
      <c r="C291" s="6" t="s">
        <v>106</v>
      </c>
      <c r="D291" s="252">
        <v>0</v>
      </c>
      <c r="E291" s="252"/>
      <c r="F291" s="252">
        <v>0</v>
      </c>
      <c r="G291" s="252">
        <v>67</v>
      </c>
      <c r="H291" s="306"/>
      <c r="I291" s="252">
        <v>67</v>
      </c>
      <c r="J291" s="252">
        <v>67</v>
      </c>
      <c r="K291" s="252"/>
      <c r="L291" s="252">
        <v>67</v>
      </c>
    </row>
    <row r="292" spans="1:12" x14ac:dyDescent="0.2">
      <c r="A292" s="30" t="s">
        <v>63</v>
      </c>
      <c r="B292" s="30"/>
      <c r="C292" s="50" t="s">
        <v>62</v>
      </c>
      <c r="D292" s="250">
        <f t="shared" ref="D292:F294" si="36">D293</f>
        <v>1139.5</v>
      </c>
      <c r="E292" s="250">
        <f t="shared" si="36"/>
        <v>0</v>
      </c>
      <c r="F292" s="250">
        <f t="shared" si="36"/>
        <v>1139.5</v>
      </c>
      <c r="G292" s="250">
        <f t="shared" ref="G292:L294" si="37">G293</f>
        <v>1042.5999999999999</v>
      </c>
      <c r="H292" s="309"/>
      <c r="I292" s="250">
        <f t="shared" si="37"/>
        <v>1042.5999999999999</v>
      </c>
      <c r="J292" s="250">
        <f t="shared" si="37"/>
        <v>1042.5999999999999</v>
      </c>
      <c r="K292" s="250"/>
      <c r="L292" s="250">
        <f t="shared" si="37"/>
        <v>1042.5999999999999</v>
      </c>
    </row>
    <row r="293" spans="1:12" ht="63.75" x14ac:dyDescent="0.2">
      <c r="A293" s="208" t="s">
        <v>61</v>
      </c>
      <c r="B293" s="208"/>
      <c r="C293" s="209" t="s">
        <v>60</v>
      </c>
      <c r="D293" s="251">
        <f t="shared" si="36"/>
        <v>1139.5</v>
      </c>
      <c r="E293" s="251">
        <f t="shared" si="36"/>
        <v>0</v>
      </c>
      <c r="F293" s="251">
        <f t="shared" si="36"/>
        <v>1139.5</v>
      </c>
      <c r="G293" s="251">
        <f t="shared" si="37"/>
        <v>1042.5999999999999</v>
      </c>
      <c r="H293" s="310"/>
      <c r="I293" s="251">
        <f t="shared" si="37"/>
        <v>1042.5999999999999</v>
      </c>
      <c r="J293" s="251">
        <f t="shared" si="37"/>
        <v>1042.5999999999999</v>
      </c>
      <c r="K293" s="251"/>
      <c r="L293" s="251">
        <f t="shared" si="37"/>
        <v>1042.5999999999999</v>
      </c>
    </row>
    <row r="294" spans="1:12" ht="25.5" x14ac:dyDescent="0.2">
      <c r="A294" s="7" t="s">
        <v>59</v>
      </c>
      <c r="B294" s="7"/>
      <c r="C294" s="6" t="s">
        <v>58</v>
      </c>
      <c r="D294" s="252">
        <f t="shared" si="36"/>
        <v>1139.5</v>
      </c>
      <c r="E294" s="252"/>
      <c r="F294" s="252">
        <f t="shared" si="36"/>
        <v>1139.5</v>
      </c>
      <c r="G294" s="252">
        <f t="shared" si="37"/>
        <v>1042.5999999999999</v>
      </c>
      <c r="H294" s="306"/>
      <c r="I294" s="252">
        <f t="shared" si="37"/>
        <v>1042.5999999999999</v>
      </c>
      <c r="J294" s="252">
        <f t="shared" si="37"/>
        <v>1042.5999999999999</v>
      </c>
      <c r="K294" s="252"/>
      <c r="L294" s="252">
        <f t="shared" si="37"/>
        <v>1042.5999999999999</v>
      </c>
    </row>
    <row r="295" spans="1:12" ht="38.25" x14ac:dyDescent="0.2">
      <c r="A295" s="7"/>
      <c r="B295" s="7" t="s">
        <v>57</v>
      </c>
      <c r="C295" s="6" t="s">
        <v>56</v>
      </c>
      <c r="D295" s="252">
        <v>1139.5</v>
      </c>
      <c r="E295" s="252"/>
      <c r="F295" s="252">
        <f>1042.6+96.9</f>
        <v>1139.5</v>
      </c>
      <c r="G295" s="252">
        <v>1042.5999999999999</v>
      </c>
      <c r="H295" s="306"/>
      <c r="I295" s="252">
        <v>1042.5999999999999</v>
      </c>
      <c r="J295" s="252">
        <v>1042.5999999999999</v>
      </c>
      <c r="K295" s="252"/>
      <c r="L295" s="252">
        <v>1042.5999999999999</v>
      </c>
    </row>
    <row r="296" spans="1:12" s="1" customFormat="1" ht="39" x14ac:dyDescent="0.25">
      <c r="A296" s="225" t="s">
        <v>73</v>
      </c>
      <c r="B296" s="225"/>
      <c r="C296" s="228" t="s">
        <v>72</v>
      </c>
      <c r="D296" s="249">
        <f>D297+D305</f>
        <v>2337.3541</v>
      </c>
      <c r="E296" s="249"/>
      <c r="F296" s="249">
        <f>F297+F305</f>
        <v>2337.3541</v>
      </c>
      <c r="G296" s="249">
        <f>G297+G305</f>
        <v>2150</v>
      </c>
      <c r="H296" s="308"/>
      <c r="I296" s="249">
        <f>I297+I305</f>
        <v>2150</v>
      </c>
      <c r="J296" s="249">
        <f>J297+J305</f>
        <v>14790.342860000001</v>
      </c>
      <c r="K296" s="249"/>
      <c r="L296" s="249">
        <f>L297+L305</f>
        <v>14790.342860000001</v>
      </c>
    </row>
    <row r="297" spans="1:12" s="1" customFormat="1" ht="51.75" x14ac:dyDescent="0.25">
      <c r="A297" s="208" t="s">
        <v>71</v>
      </c>
      <c r="B297" s="216"/>
      <c r="C297" s="209" t="s">
        <v>172</v>
      </c>
      <c r="D297" s="251">
        <f>D298+D300+D303</f>
        <v>2337.3541</v>
      </c>
      <c r="E297" s="251"/>
      <c r="F297" s="251">
        <f>F298+F300+F303</f>
        <v>2337.3541</v>
      </c>
      <c r="G297" s="251">
        <f>G298+G300+G303</f>
        <v>299.2</v>
      </c>
      <c r="H297" s="310"/>
      <c r="I297" s="251">
        <f>I298+I300+I303</f>
        <v>299.2</v>
      </c>
      <c r="J297" s="251">
        <f>J298+J300+J303</f>
        <v>1933.2</v>
      </c>
      <c r="K297" s="251"/>
      <c r="L297" s="251">
        <f>L298+L300+L303</f>
        <v>1933.2</v>
      </c>
    </row>
    <row r="298" spans="1:12" s="1" customFormat="1" ht="64.5" x14ac:dyDescent="0.25">
      <c r="A298" s="7" t="s">
        <v>69</v>
      </c>
      <c r="B298" s="7"/>
      <c r="C298" s="6" t="s">
        <v>635</v>
      </c>
      <c r="D298" s="252">
        <f>D299</f>
        <v>1677.6</v>
      </c>
      <c r="E298" s="252"/>
      <c r="F298" s="252">
        <f>F299</f>
        <v>1677.6</v>
      </c>
      <c r="G298" s="252">
        <f>G299</f>
        <v>0</v>
      </c>
      <c r="H298" s="306"/>
      <c r="I298" s="252">
        <f>I299</f>
        <v>0</v>
      </c>
      <c r="J298" s="252">
        <f>J299</f>
        <v>1634</v>
      </c>
      <c r="K298" s="252"/>
      <c r="L298" s="252">
        <f>L299</f>
        <v>1634</v>
      </c>
    </row>
    <row r="299" spans="1:12" s="1" customFormat="1" ht="39" x14ac:dyDescent="0.25">
      <c r="A299" s="7"/>
      <c r="B299" s="7" t="s">
        <v>57</v>
      </c>
      <c r="C299" s="6" t="s">
        <v>56</v>
      </c>
      <c r="D299" s="252">
        <f>1634+43.6</f>
        <v>1677.6</v>
      </c>
      <c r="E299" s="252"/>
      <c r="F299" s="252">
        <f>1634+43.6</f>
        <v>1677.6</v>
      </c>
      <c r="G299" s="252">
        <f>1756.9-114.3-1642.6</f>
        <v>0</v>
      </c>
      <c r="H299" s="306"/>
      <c r="I299" s="252">
        <f>1756.9-114.3-1642.6</f>
        <v>0</v>
      </c>
      <c r="J299" s="252">
        <v>1634</v>
      </c>
      <c r="K299" s="252"/>
      <c r="L299" s="252">
        <v>1634</v>
      </c>
    </row>
    <row r="300" spans="1:12" s="1" customFormat="1" ht="15" x14ac:dyDescent="0.25">
      <c r="A300" s="7" t="s">
        <v>171</v>
      </c>
      <c r="B300" s="7"/>
      <c r="C300" s="6" t="s">
        <v>170</v>
      </c>
      <c r="D300" s="252">
        <f t="shared" ref="D300:L301" si="38">D301</f>
        <v>299.2</v>
      </c>
      <c r="E300" s="252"/>
      <c r="F300" s="252">
        <f t="shared" si="38"/>
        <v>299.2</v>
      </c>
      <c r="G300" s="252">
        <f t="shared" si="38"/>
        <v>299.2</v>
      </c>
      <c r="H300" s="306"/>
      <c r="I300" s="252">
        <f t="shared" si="38"/>
        <v>299.2</v>
      </c>
      <c r="J300" s="252">
        <f t="shared" si="38"/>
        <v>299.2</v>
      </c>
      <c r="K300" s="252"/>
      <c r="L300" s="252">
        <f t="shared" si="38"/>
        <v>299.2</v>
      </c>
    </row>
    <row r="301" spans="1:12" s="1" customFormat="1" ht="39" x14ac:dyDescent="0.25">
      <c r="A301" s="7"/>
      <c r="B301" s="7" t="s">
        <v>57</v>
      </c>
      <c r="C301" s="6" t="s">
        <v>56</v>
      </c>
      <c r="D301" s="252">
        <f t="shared" si="38"/>
        <v>299.2</v>
      </c>
      <c r="E301" s="252"/>
      <c r="F301" s="252">
        <f t="shared" si="38"/>
        <v>299.2</v>
      </c>
      <c r="G301" s="252">
        <f t="shared" si="38"/>
        <v>299.2</v>
      </c>
      <c r="H301" s="306"/>
      <c r="I301" s="252">
        <f t="shared" si="38"/>
        <v>299.2</v>
      </c>
      <c r="J301" s="252">
        <f t="shared" si="38"/>
        <v>299.2</v>
      </c>
      <c r="K301" s="252"/>
      <c r="L301" s="252">
        <f t="shared" si="38"/>
        <v>299.2</v>
      </c>
    </row>
    <row r="302" spans="1:12" s="1" customFormat="1" ht="15" x14ac:dyDescent="0.25">
      <c r="A302" s="7"/>
      <c r="B302" s="7"/>
      <c r="C302" s="6" t="s">
        <v>106</v>
      </c>
      <c r="D302" s="252">
        <v>299.2</v>
      </c>
      <c r="E302" s="252"/>
      <c r="F302" s="252">
        <v>299.2</v>
      </c>
      <c r="G302" s="252">
        <v>299.2</v>
      </c>
      <c r="H302" s="306"/>
      <c r="I302" s="252">
        <v>299.2</v>
      </c>
      <c r="J302" s="252">
        <v>299.2</v>
      </c>
      <c r="K302" s="252"/>
      <c r="L302" s="252">
        <v>299.2</v>
      </c>
    </row>
    <row r="303" spans="1:12" s="1" customFormat="1" ht="26.25" x14ac:dyDescent="0.25">
      <c r="A303" s="7" t="s">
        <v>803</v>
      </c>
      <c r="B303" s="7"/>
      <c r="C303" s="6" t="s">
        <v>804</v>
      </c>
      <c r="D303" s="252">
        <f>D304</f>
        <v>360.55410000000001</v>
      </c>
      <c r="E303" s="252"/>
      <c r="F303" s="252">
        <f>F304</f>
        <v>360.55410000000001</v>
      </c>
      <c r="G303" s="252">
        <v>0</v>
      </c>
      <c r="H303" s="306"/>
      <c r="I303" s="252">
        <v>0</v>
      </c>
      <c r="J303" s="252">
        <v>0</v>
      </c>
      <c r="K303" s="252"/>
      <c r="L303" s="252">
        <v>0</v>
      </c>
    </row>
    <row r="304" spans="1:12" s="1" customFormat="1" ht="39" x14ac:dyDescent="0.25">
      <c r="A304" s="7"/>
      <c r="B304" s="7" t="s">
        <v>57</v>
      </c>
      <c r="C304" s="6" t="s">
        <v>56</v>
      </c>
      <c r="D304" s="252">
        <v>360.55410000000001</v>
      </c>
      <c r="E304" s="252"/>
      <c r="F304" s="252">
        <v>360.55410000000001</v>
      </c>
      <c r="G304" s="252">
        <v>0</v>
      </c>
      <c r="H304" s="306"/>
      <c r="I304" s="252">
        <v>0</v>
      </c>
      <c r="J304" s="252">
        <v>0</v>
      </c>
      <c r="K304" s="252"/>
      <c r="L304" s="252">
        <v>0</v>
      </c>
    </row>
    <row r="305" spans="1:12" s="1" customFormat="1" ht="39" x14ac:dyDescent="0.25">
      <c r="A305" s="208" t="s">
        <v>169</v>
      </c>
      <c r="B305" s="223"/>
      <c r="C305" s="223" t="s">
        <v>168</v>
      </c>
      <c r="D305" s="251">
        <f>D306+D310</f>
        <v>0</v>
      </c>
      <c r="E305" s="251"/>
      <c r="F305" s="251">
        <f>F306+F310</f>
        <v>0</v>
      </c>
      <c r="G305" s="251">
        <f>G306+G310</f>
        <v>1850.8</v>
      </c>
      <c r="H305" s="310"/>
      <c r="I305" s="251">
        <f>I306+I310</f>
        <v>1850.8</v>
      </c>
      <c r="J305" s="251">
        <f>J306+J310</f>
        <v>12857.14286</v>
      </c>
      <c r="K305" s="251"/>
      <c r="L305" s="251">
        <f>L306+L310</f>
        <v>12857.14286</v>
      </c>
    </row>
    <row r="306" spans="1:12" s="1" customFormat="1" ht="26.25" x14ac:dyDescent="0.25">
      <c r="A306" s="7" t="s">
        <v>167</v>
      </c>
      <c r="B306" s="7"/>
      <c r="C306" s="6" t="s">
        <v>166</v>
      </c>
      <c r="D306" s="252">
        <f>D307</f>
        <v>0</v>
      </c>
      <c r="E306" s="252"/>
      <c r="F306" s="252">
        <f>F307</f>
        <v>0</v>
      </c>
      <c r="G306" s="252">
        <f>G307</f>
        <v>0</v>
      </c>
      <c r="H306" s="306"/>
      <c r="I306" s="252">
        <f>I307</f>
        <v>0</v>
      </c>
      <c r="J306" s="252">
        <f>J307</f>
        <v>12857.14286</v>
      </c>
      <c r="K306" s="252"/>
      <c r="L306" s="252">
        <f>L307</f>
        <v>12857.14286</v>
      </c>
    </row>
    <row r="307" spans="1:12" s="1" customFormat="1" ht="39" x14ac:dyDescent="0.25">
      <c r="A307" s="7"/>
      <c r="B307" s="7" t="s">
        <v>57</v>
      </c>
      <c r="C307" s="6" t="s">
        <v>56</v>
      </c>
      <c r="D307" s="252">
        <f>D308+D309</f>
        <v>0</v>
      </c>
      <c r="E307" s="252"/>
      <c r="F307" s="252">
        <f>F308+F309</f>
        <v>0</v>
      </c>
      <c r="G307" s="252">
        <f>G308+G309</f>
        <v>0</v>
      </c>
      <c r="H307" s="306"/>
      <c r="I307" s="252">
        <f>I308+I309</f>
        <v>0</v>
      </c>
      <c r="J307" s="252">
        <f>J308+J309</f>
        <v>12857.14286</v>
      </c>
      <c r="K307" s="252"/>
      <c r="L307" s="252">
        <f>L308+L309</f>
        <v>12857.14286</v>
      </c>
    </row>
    <row r="308" spans="1:12" s="1" customFormat="1" ht="15" x14ac:dyDescent="0.25">
      <c r="A308" s="7"/>
      <c r="B308" s="7"/>
      <c r="C308" s="6" t="s">
        <v>165</v>
      </c>
      <c r="D308" s="252">
        <v>0</v>
      </c>
      <c r="E308" s="252"/>
      <c r="F308" s="252">
        <v>0</v>
      </c>
      <c r="G308" s="252">
        <v>0</v>
      </c>
      <c r="H308" s="306"/>
      <c r="I308" s="252">
        <v>0</v>
      </c>
      <c r="J308" s="252">
        <v>0</v>
      </c>
      <c r="K308" s="252"/>
      <c r="L308" s="252">
        <v>0</v>
      </c>
    </row>
    <row r="309" spans="1:12" s="1" customFormat="1" ht="15" x14ac:dyDescent="0.25">
      <c r="A309" s="7"/>
      <c r="B309" s="7"/>
      <c r="C309" s="6" t="s">
        <v>164</v>
      </c>
      <c r="D309" s="252">
        <v>0</v>
      </c>
      <c r="E309" s="252"/>
      <c r="F309" s="252">
        <v>0</v>
      </c>
      <c r="G309" s="252">
        <v>0</v>
      </c>
      <c r="H309" s="306"/>
      <c r="I309" s="252">
        <v>0</v>
      </c>
      <c r="J309" s="252">
        <v>12857.14286</v>
      </c>
      <c r="K309" s="252"/>
      <c r="L309" s="252">
        <v>12857.14286</v>
      </c>
    </row>
    <row r="310" spans="1:12" ht="51" x14ac:dyDescent="0.2">
      <c r="A310" s="7" t="s">
        <v>603</v>
      </c>
      <c r="B310" s="133"/>
      <c r="C310" s="188" t="s">
        <v>604</v>
      </c>
      <c r="D310" s="252">
        <f>D311</f>
        <v>0</v>
      </c>
      <c r="E310" s="252"/>
      <c r="F310" s="252">
        <f>F311</f>
        <v>0</v>
      </c>
      <c r="G310" s="252">
        <f>G311</f>
        <v>1850.8</v>
      </c>
      <c r="H310" s="306"/>
      <c r="I310" s="252">
        <f>I311</f>
        <v>1850.8</v>
      </c>
      <c r="J310" s="252">
        <f>J311</f>
        <v>0</v>
      </c>
      <c r="K310" s="252"/>
      <c r="L310" s="252">
        <f>L311</f>
        <v>0</v>
      </c>
    </row>
    <row r="311" spans="1:12" ht="38.25" x14ac:dyDescent="0.2">
      <c r="A311" s="133"/>
      <c r="B311" s="7" t="s">
        <v>57</v>
      </c>
      <c r="C311" s="6" t="s">
        <v>56</v>
      </c>
      <c r="D311" s="252">
        <v>0</v>
      </c>
      <c r="E311" s="252"/>
      <c r="F311" s="252">
        <v>0</v>
      </c>
      <c r="G311" s="252">
        <v>1850.8</v>
      </c>
      <c r="H311" s="306"/>
      <c r="I311" s="252">
        <v>1850.8</v>
      </c>
      <c r="J311" s="252">
        <v>0</v>
      </c>
      <c r="K311" s="252"/>
      <c r="L311" s="252">
        <v>0</v>
      </c>
    </row>
    <row r="312" spans="1:12" s="1" customFormat="1" ht="51.75" x14ac:dyDescent="0.25">
      <c r="A312" s="225" t="s">
        <v>489</v>
      </c>
      <c r="B312" s="225"/>
      <c r="C312" s="228" t="s">
        <v>488</v>
      </c>
      <c r="D312" s="249">
        <f>D313+D319</f>
        <v>865.3</v>
      </c>
      <c r="E312" s="249">
        <f>E313+E319</f>
        <v>-46.5</v>
      </c>
      <c r="F312" s="249">
        <f>F313+F319</f>
        <v>818.8</v>
      </c>
      <c r="G312" s="249">
        <f>G313+G319</f>
        <v>865.3</v>
      </c>
      <c r="H312" s="308"/>
      <c r="I312" s="249">
        <f>I313+I319</f>
        <v>865.3</v>
      </c>
      <c r="J312" s="249">
        <f>J313+J319</f>
        <v>623.29999999999995</v>
      </c>
      <c r="K312" s="249"/>
      <c r="L312" s="249">
        <f>L313+L319</f>
        <v>623.29999999999995</v>
      </c>
    </row>
    <row r="313" spans="1:12" s="1" customFormat="1" ht="65.25" customHeight="1" x14ac:dyDescent="0.25">
      <c r="A313" s="30" t="s">
        <v>487</v>
      </c>
      <c r="B313" s="30"/>
      <c r="C313" s="50" t="s">
        <v>725</v>
      </c>
      <c r="D313" s="250">
        <f>D314</f>
        <v>538.19999999999993</v>
      </c>
      <c r="E313" s="250">
        <f>E314</f>
        <v>-1.5</v>
      </c>
      <c r="F313" s="250">
        <f>F314</f>
        <v>536.69999999999993</v>
      </c>
      <c r="G313" s="250">
        <f>G314</f>
        <v>538.19999999999993</v>
      </c>
      <c r="H313" s="309"/>
      <c r="I313" s="250">
        <f>I314</f>
        <v>538.19999999999993</v>
      </c>
      <c r="J313" s="250">
        <f>J314</f>
        <v>296.2</v>
      </c>
      <c r="K313" s="250"/>
      <c r="L313" s="250">
        <f>L314</f>
        <v>296.2</v>
      </c>
    </row>
    <row r="314" spans="1:12" s="1" customFormat="1" ht="61.5" customHeight="1" x14ac:dyDescent="0.25">
      <c r="A314" s="208" t="s">
        <v>486</v>
      </c>
      <c r="B314" s="216"/>
      <c r="C314" s="209" t="s">
        <v>726</v>
      </c>
      <c r="D314" s="251">
        <f>D315+D317</f>
        <v>538.19999999999993</v>
      </c>
      <c r="E314" s="251">
        <f>E315+E317</f>
        <v>-1.5</v>
      </c>
      <c r="F314" s="251">
        <f>F315+F317</f>
        <v>536.69999999999993</v>
      </c>
      <c r="G314" s="251">
        <f>G315+G317</f>
        <v>538.19999999999993</v>
      </c>
      <c r="H314" s="310"/>
      <c r="I314" s="251">
        <f>I315+I317</f>
        <v>538.19999999999993</v>
      </c>
      <c r="J314" s="251">
        <f>J315+J317</f>
        <v>296.2</v>
      </c>
      <c r="K314" s="251"/>
      <c r="L314" s="251">
        <f>L315+L317</f>
        <v>296.2</v>
      </c>
    </row>
    <row r="315" spans="1:12" s="1" customFormat="1" ht="51.75" x14ac:dyDescent="0.25">
      <c r="A315" s="7" t="s">
        <v>485</v>
      </c>
      <c r="B315" s="7"/>
      <c r="C315" s="6" t="s">
        <v>484</v>
      </c>
      <c r="D315" s="252">
        <f>D316</f>
        <v>7.4</v>
      </c>
      <c r="E315" s="252">
        <f>E316</f>
        <v>-1.5</v>
      </c>
      <c r="F315" s="252">
        <f>F316</f>
        <v>5.9</v>
      </c>
      <c r="G315" s="252">
        <f>G316</f>
        <v>7.4</v>
      </c>
      <c r="H315" s="306"/>
      <c r="I315" s="252">
        <f>I316</f>
        <v>7.4</v>
      </c>
      <c r="J315" s="252">
        <f>J316</f>
        <v>7.4</v>
      </c>
      <c r="K315" s="252"/>
      <c r="L315" s="252">
        <f>L316</f>
        <v>7.4</v>
      </c>
    </row>
    <row r="316" spans="1:12" s="1" customFormat="1" ht="26.25" x14ac:dyDescent="0.25">
      <c r="A316" s="7"/>
      <c r="B316" s="7" t="s">
        <v>12</v>
      </c>
      <c r="C316" s="6" t="s">
        <v>11</v>
      </c>
      <c r="D316" s="252">
        <v>7.4</v>
      </c>
      <c r="E316" s="252">
        <v>-1.5</v>
      </c>
      <c r="F316" s="252">
        <f>SUM(D316:E316)</f>
        <v>5.9</v>
      </c>
      <c r="G316" s="252">
        <v>7.4</v>
      </c>
      <c r="H316" s="306"/>
      <c r="I316" s="252">
        <v>7.4</v>
      </c>
      <c r="J316" s="252">
        <v>7.4</v>
      </c>
      <c r="K316" s="252"/>
      <c r="L316" s="252">
        <v>7.4</v>
      </c>
    </row>
    <row r="317" spans="1:12" s="1" customFormat="1" ht="77.25" x14ac:dyDescent="0.25">
      <c r="A317" s="7" t="s">
        <v>483</v>
      </c>
      <c r="B317" s="7"/>
      <c r="C317" s="6" t="s">
        <v>482</v>
      </c>
      <c r="D317" s="252">
        <f>D318</f>
        <v>530.79999999999995</v>
      </c>
      <c r="E317" s="252"/>
      <c r="F317" s="252">
        <f>F318</f>
        <v>530.79999999999995</v>
      </c>
      <c r="G317" s="252">
        <f>G318</f>
        <v>530.79999999999995</v>
      </c>
      <c r="H317" s="306"/>
      <c r="I317" s="252">
        <f>I318</f>
        <v>530.79999999999995</v>
      </c>
      <c r="J317" s="252">
        <f>J318</f>
        <v>288.8</v>
      </c>
      <c r="K317" s="252"/>
      <c r="L317" s="252">
        <f>L318</f>
        <v>288.8</v>
      </c>
    </row>
    <row r="318" spans="1:12" s="1" customFormat="1" ht="26.25" x14ac:dyDescent="0.25">
      <c r="A318" s="7"/>
      <c r="B318" s="7" t="s">
        <v>12</v>
      </c>
      <c r="C318" s="6" t="s">
        <v>11</v>
      </c>
      <c r="D318" s="252">
        <v>530.79999999999995</v>
      </c>
      <c r="E318" s="252"/>
      <c r="F318" s="252">
        <v>530.79999999999995</v>
      </c>
      <c r="G318" s="252">
        <v>530.79999999999995</v>
      </c>
      <c r="H318" s="306"/>
      <c r="I318" s="252">
        <v>530.79999999999995</v>
      </c>
      <c r="J318" s="252">
        <v>288.8</v>
      </c>
      <c r="K318" s="252"/>
      <c r="L318" s="252">
        <v>288.8</v>
      </c>
    </row>
    <row r="319" spans="1:12" s="1" customFormat="1" ht="40.5" customHeight="1" x14ac:dyDescent="0.25">
      <c r="A319" s="30" t="s">
        <v>481</v>
      </c>
      <c r="B319" s="30"/>
      <c r="C319" s="50" t="s">
        <v>480</v>
      </c>
      <c r="D319" s="250">
        <f>D320</f>
        <v>327.10000000000002</v>
      </c>
      <c r="E319" s="250">
        <f>E320</f>
        <v>-45</v>
      </c>
      <c r="F319" s="250">
        <f>F320</f>
        <v>282.10000000000002</v>
      </c>
      <c r="G319" s="250">
        <f>G320</f>
        <v>327.10000000000002</v>
      </c>
      <c r="H319" s="309"/>
      <c r="I319" s="250">
        <f>I320</f>
        <v>327.10000000000002</v>
      </c>
      <c r="J319" s="250">
        <f>J320</f>
        <v>327.10000000000002</v>
      </c>
      <c r="K319" s="250"/>
      <c r="L319" s="250">
        <f>L320</f>
        <v>327.10000000000002</v>
      </c>
    </row>
    <row r="320" spans="1:12" s="1" customFormat="1" ht="39" x14ac:dyDescent="0.25">
      <c r="A320" s="208" t="s">
        <v>479</v>
      </c>
      <c r="B320" s="216"/>
      <c r="C320" s="209" t="s">
        <v>636</v>
      </c>
      <c r="D320" s="251">
        <f>D321+D326+D329</f>
        <v>327.10000000000002</v>
      </c>
      <c r="E320" s="251">
        <f>E321+E326+E329</f>
        <v>-45</v>
      </c>
      <c r="F320" s="251">
        <f>F321+F326+F329</f>
        <v>282.10000000000002</v>
      </c>
      <c r="G320" s="251">
        <f>G321+G326+G329</f>
        <v>327.10000000000002</v>
      </c>
      <c r="H320" s="310"/>
      <c r="I320" s="251">
        <f>I321+I326+I329</f>
        <v>327.10000000000002</v>
      </c>
      <c r="J320" s="251">
        <f>J321+J326+J329</f>
        <v>327.10000000000002</v>
      </c>
      <c r="K320" s="251"/>
      <c r="L320" s="251">
        <f>L321+L326+L329</f>
        <v>327.10000000000002</v>
      </c>
    </row>
    <row r="321" spans="1:12" s="1" customFormat="1" ht="26.25" x14ac:dyDescent="0.25">
      <c r="A321" s="7" t="s">
        <v>477</v>
      </c>
      <c r="B321" s="7"/>
      <c r="C321" s="107" t="s">
        <v>745</v>
      </c>
      <c r="D321" s="252">
        <f>D322+D325</f>
        <v>267.60000000000002</v>
      </c>
      <c r="E321" s="252"/>
      <c r="F321" s="252">
        <f>F322+F325</f>
        <v>267.60000000000002</v>
      </c>
      <c r="G321" s="252">
        <f>G322+G325</f>
        <v>267.60000000000002</v>
      </c>
      <c r="H321" s="306"/>
      <c r="I321" s="252">
        <f>I322+I325</f>
        <v>267.60000000000002</v>
      </c>
      <c r="J321" s="252">
        <f>J322+J325</f>
        <v>267.60000000000002</v>
      </c>
      <c r="K321" s="252"/>
      <c r="L321" s="252">
        <f>L322+L325</f>
        <v>267.60000000000002</v>
      </c>
    </row>
    <row r="322" spans="1:12" s="1" customFormat="1" ht="64.5" x14ac:dyDescent="0.25">
      <c r="A322" s="7"/>
      <c r="B322" s="7" t="s">
        <v>2</v>
      </c>
      <c r="C322" s="6" t="s">
        <v>1</v>
      </c>
      <c r="D322" s="252">
        <f>D323+D324</f>
        <v>248.5</v>
      </c>
      <c r="E322" s="252"/>
      <c r="F322" s="252">
        <f>F323+F324</f>
        <v>248.5</v>
      </c>
      <c r="G322" s="252">
        <f>G323+G324</f>
        <v>248.5</v>
      </c>
      <c r="H322" s="306"/>
      <c r="I322" s="252">
        <f>I323+I324</f>
        <v>248.5</v>
      </c>
      <c r="J322" s="252">
        <f>J323+J324</f>
        <v>248.5</v>
      </c>
      <c r="K322" s="252"/>
      <c r="L322" s="252">
        <f>L323+L324</f>
        <v>248.5</v>
      </c>
    </row>
    <row r="323" spans="1:12" s="1" customFormat="1" ht="15" x14ac:dyDescent="0.25">
      <c r="A323" s="7"/>
      <c r="B323" s="7"/>
      <c r="C323" s="6" t="s">
        <v>165</v>
      </c>
      <c r="D323" s="252">
        <v>86.1</v>
      </c>
      <c r="E323" s="252"/>
      <c r="F323" s="252">
        <v>86.1</v>
      </c>
      <c r="G323" s="252">
        <v>86.1</v>
      </c>
      <c r="H323" s="306"/>
      <c r="I323" s="252">
        <v>86.1</v>
      </c>
      <c r="J323" s="252">
        <v>86.1</v>
      </c>
      <c r="K323" s="252"/>
      <c r="L323" s="252">
        <v>86.1</v>
      </c>
    </row>
    <row r="324" spans="1:12" s="1" customFormat="1" ht="15" x14ac:dyDescent="0.25">
      <c r="A324" s="7"/>
      <c r="B324" s="7"/>
      <c r="C324" s="6" t="s">
        <v>164</v>
      </c>
      <c r="D324" s="252">
        <v>162.4</v>
      </c>
      <c r="E324" s="252"/>
      <c r="F324" s="252">
        <v>162.4</v>
      </c>
      <c r="G324" s="252">
        <v>162.4</v>
      </c>
      <c r="H324" s="306"/>
      <c r="I324" s="252">
        <v>162.4</v>
      </c>
      <c r="J324" s="252">
        <v>162.4</v>
      </c>
      <c r="K324" s="252"/>
      <c r="L324" s="252">
        <v>162.4</v>
      </c>
    </row>
    <row r="325" spans="1:12" s="1" customFormat="1" ht="26.25" x14ac:dyDescent="0.25">
      <c r="A325" s="7"/>
      <c r="B325" s="7" t="s">
        <v>12</v>
      </c>
      <c r="C325" s="6" t="s">
        <v>11</v>
      </c>
      <c r="D325" s="252">
        <v>19.100000000000001</v>
      </c>
      <c r="E325" s="252"/>
      <c r="F325" s="252">
        <v>19.100000000000001</v>
      </c>
      <c r="G325" s="252">
        <v>19.100000000000001</v>
      </c>
      <c r="H325" s="306"/>
      <c r="I325" s="252">
        <v>19.100000000000001</v>
      </c>
      <c r="J325" s="252">
        <v>19.100000000000001</v>
      </c>
      <c r="K325" s="252"/>
      <c r="L325" s="252">
        <v>19.100000000000001</v>
      </c>
    </row>
    <row r="326" spans="1:12" s="1" customFormat="1" ht="39" x14ac:dyDescent="0.25">
      <c r="A326" s="7" t="s">
        <v>476</v>
      </c>
      <c r="B326" s="7"/>
      <c r="C326" s="6" t="s">
        <v>746</v>
      </c>
      <c r="D326" s="252">
        <f>D327+D328</f>
        <v>35.5</v>
      </c>
      <c r="E326" s="252">
        <f>E327+E328</f>
        <v>-32.5</v>
      </c>
      <c r="F326" s="252">
        <f>F327+F328</f>
        <v>3</v>
      </c>
      <c r="G326" s="252">
        <f>G327+G328</f>
        <v>35.5</v>
      </c>
      <c r="H326" s="306"/>
      <c r="I326" s="252">
        <f>I327+I328</f>
        <v>35.5</v>
      </c>
      <c r="J326" s="252">
        <f>J327+J328</f>
        <v>35.5</v>
      </c>
      <c r="K326" s="252"/>
      <c r="L326" s="252">
        <f>L327+L328</f>
        <v>35.5</v>
      </c>
    </row>
    <row r="327" spans="1:12" s="1" customFormat="1" ht="26.25" x14ac:dyDescent="0.25">
      <c r="A327" s="7"/>
      <c r="B327" s="7" t="s">
        <v>12</v>
      </c>
      <c r="C327" s="6" t="s">
        <v>11</v>
      </c>
      <c r="D327" s="252">
        <v>29.5</v>
      </c>
      <c r="E327" s="252">
        <v>-26.5</v>
      </c>
      <c r="F327" s="252">
        <v>3</v>
      </c>
      <c r="G327" s="252">
        <v>29.5</v>
      </c>
      <c r="H327" s="306"/>
      <c r="I327" s="252">
        <v>29.5</v>
      </c>
      <c r="J327" s="252">
        <v>29.5</v>
      </c>
      <c r="K327" s="252"/>
      <c r="L327" s="252">
        <v>29.5</v>
      </c>
    </row>
    <row r="328" spans="1:12" s="1" customFormat="1" ht="39" x14ac:dyDescent="0.25">
      <c r="A328" s="7"/>
      <c r="B328" s="7" t="s">
        <v>57</v>
      </c>
      <c r="C328" s="6" t="s">
        <v>56</v>
      </c>
      <c r="D328" s="252">
        <v>6</v>
      </c>
      <c r="E328" s="252">
        <v>-6</v>
      </c>
      <c r="F328" s="252">
        <v>0</v>
      </c>
      <c r="G328" s="252">
        <v>6</v>
      </c>
      <c r="H328" s="306"/>
      <c r="I328" s="252">
        <v>6</v>
      </c>
      <c r="J328" s="252">
        <v>6</v>
      </c>
      <c r="K328" s="252"/>
      <c r="L328" s="252">
        <v>6</v>
      </c>
    </row>
    <row r="329" spans="1:12" s="1" customFormat="1" ht="15" x14ac:dyDescent="0.25">
      <c r="A329" s="7" t="s">
        <v>475</v>
      </c>
      <c r="B329" s="7"/>
      <c r="C329" s="6" t="s">
        <v>474</v>
      </c>
      <c r="D329" s="252">
        <f>D330</f>
        <v>24</v>
      </c>
      <c r="E329" s="252">
        <f>E330</f>
        <v>-12.5</v>
      </c>
      <c r="F329" s="252">
        <f>F330</f>
        <v>11.5</v>
      </c>
      <c r="G329" s="252">
        <f>G330</f>
        <v>24</v>
      </c>
      <c r="H329" s="306"/>
      <c r="I329" s="252">
        <f>I330</f>
        <v>24</v>
      </c>
      <c r="J329" s="252">
        <f>J330</f>
        <v>24</v>
      </c>
      <c r="K329" s="252"/>
      <c r="L329" s="252">
        <f>L330</f>
        <v>24</v>
      </c>
    </row>
    <row r="330" spans="1:12" s="1" customFormat="1" ht="39" x14ac:dyDescent="0.25">
      <c r="A330" s="7"/>
      <c r="B330" s="7" t="s">
        <v>57</v>
      </c>
      <c r="C330" s="6" t="s">
        <v>56</v>
      </c>
      <c r="D330" s="252">
        <v>24</v>
      </c>
      <c r="E330" s="252">
        <v>-12.5</v>
      </c>
      <c r="F330" s="252">
        <v>11.5</v>
      </c>
      <c r="G330" s="252">
        <v>24</v>
      </c>
      <c r="H330" s="306"/>
      <c r="I330" s="252">
        <v>24</v>
      </c>
      <c r="J330" s="252">
        <v>24</v>
      </c>
      <c r="K330" s="252"/>
      <c r="L330" s="252">
        <v>24</v>
      </c>
    </row>
    <row r="331" spans="1:12" s="1" customFormat="1" ht="39" x14ac:dyDescent="0.25">
      <c r="A331" s="225" t="s">
        <v>405</v>
      </c>
      <c r="B331" s="225"/>
      <c r="C331" s="228" t="s">
        <v>404</v>
      </c>
      <c r="D331" s="249">
        <f>D332+D345</f>
        <v>377</v>
      </c>
      <c r="E331" s="249"/>
      <c r="F331" s="249">
        <f>F332+F345</f>
        <v>377</v>
      </c>
      <c r="G331" s="249">
        <f>G332+G345</f>
        <v>309</v>
      </c>
      <c r="H331" s="308"/>
      <c r="I331" s="249">
        <f>I332+I345</f>
        <v>309</v>
      </c>
      <c r="J331" s="249">
        <f>J332+J345</f>
        <v>309</v>
      </c>
      <c r="K331" s="249"/>
      <c r="L331" s="249">
        <f>L332+L345</f>
        <v>309</v>
      </c>
    </row>
    <row r="332" spans="1:12" s="1" customFormat="1" ht="39" x14ac:dyDescent="0.25">
      <c r="A332" s="30" t="s">
        <v>403</v>
      </c>
      <c r="B332" s="30"/>
      <c r="C332" s="77" t="s">
        <v>402</v>
      </c>
      <c r="D332" s="250">
        <f>D333+D338+D341</f>
        <v>117.2</v>
      </c>
      <c r="E332" s="250"/>
      <c r="F332" s="250">
        <f>F333+F338+F341</f>
        <v>117.2</v>
      </c>
      <c r="G332" s="250">
        <f>G333+G338</f>
        <v>49.2</v>
      </c>
      <c r="H332" s="309"/>
      <c r="I332" s="250">
        <f>I333+I338</f>
        <v>49.2</v>
      </c>
      <c r="J332" s="250">
        <f>J333+J338</f>
        <v>49.2</v>
      </c>
      <c r="K332" s="250"/>
      <c r="L332" s="250">
        <f>L333+L338</f>
        <v>49.2</v>
      </c>
    </row>
    <row r="333" spans="1:12" s="1" customFormat="1" ht="39" x14ac:dyDescent="0.25">
      <c r="A333" s="208" t="s">
        <v>401</v>
      </c>
      <c r="B333" s="216"/>
      <c r="C333" s="220" t="s">
        <v>400</v>
      </c>
      <c r="D333" s="251">
        <f>D334+D336</f>
        <v>49.2</v>
      </c>
      <c r="E333" s="251"/>
      <c r="F333" s="251">
        <f>F334+F336</f>
        <v>49.2</v>
      </c>
      <c r="G333" s="251">
        <f>G334+G336</f>
        <v>49.2</v>
      </c>
      <c r="H333" s="310"/>
      <c r="I333" s="251">
        <f>I334+I336</f>
        <v>49.2</v>
      </c>
      <c r="J333" s="251">
        <f>J334+J336</f>
        <v>49.2</v>
      </c>
      <c r="K333" s="251"/>
      <c r="L333" s="251">
        <f>L334+L336</f>
        <v>49.2</v>
      </c>
    </row>
    <row r="334" spans="1:12" s="1" customFormat="1" ht="26.25" x14ac:dyDescent="0.25">
      <c r="A334" s="7" t="s">
        <v>399</v>
      </c>
      <c r="B334" s="7"/>
      <c r="C334" s="95" t="s">
        <v>398</v>
      </c>
      <c r="D334" s="252">
        <f>D335</f>
        <v>19.2</v>
      </c>
      <c r="E334" s="252"/>
      <c r="F334" s="252">
        <f>F335</f>
        <v>19.2</v>
      </c>
      <c r="G334" s="252">
        <f>G335</f>
        <v>19.2</v>
      </c>
      <c r="H334" s="306"/>
      <c r="I334" s="252">
        <f>I335</f>
        <v>19.2</v>
      </c>
      <c r="J334" s="252">
        <f>J335</f>
        <v>19.2</v>
      </c>
      <c r="K334" s="252"/>
      <c r="L334" s="252">
        <f>L335</f>
        <v>19.2</v>
      </c>
    </row>
    <row r="335" spans="1:12" s="1" customFormat="1" ht="26.25" x14ac:dyDescent="0.25">
      <c r="A335" s="7"/>
      <c r="B335" s="7" t="s">
        <v>12</v>
      </c>
      <c r="C335" s="6" t="s">
        <v>11</v>
      </c>
      <c r="D335" s="252">
        <v>19.2</v>
      </c>
      <c r="E335" s="252"/>
      <c r="F335" s="252">
        <v>19.2</v>
      </c>
      <c r="G335" s="252">
        <v>19.2</v>
      </c>
      <c r="H335" s="306"/>
      <c r="I335" s="252">
        <v>19.2</v>
      </c>
      <c r="J335" s="252">
        <v>19.2</v>
      </c>
      <c r="K335" s="252"/>
      <c r="L335" s="252">
        <v>19.2</v>
      </c>
    </row>
    <row r="336" spans="1:12" s="1" customFormat="1" ht="15" x14ac:dyDescent="0.25">
      <c r="A336" s="7" t="s">
        <v>397</v>
      </c>
      <c r="B336" s="7"/>
      <c r="C336" s="95" t="s">
        <v>396</v>
      </c>
      <c r="D336" s="252">
        <f>D337</f>
        <v>30</v>
      </c>
      <c r="E336" s="252"/>
      <c r="F336" s="252">
        <f>F337</f>
        <v>30</v>
      </c>
      <c r="G336" s="252">
        <f>G337</f>
        <v>30</v>
      </c>
      <c r="H336" s="306"/>
      <c r="I336" s="252">
        <f>I337</f>
        <v>30</v>
      </c>
      <c r="J336" s="252">
        <f>J337</f>
        <v>30</v>
      </c>
      <c r="K336" s="252"/>
      <c r="L336" s="252">
        <f>L337</f>
        <v>30</v>
      </c>
    </row>
    <row r="337" spans="1:12" s="1" customFormat="1" ht="26.25" x14ac:dyDescent="0.25">
      <c r="A337" s="7"/>
      <c r="B337" s="7" t="s">
        <v>12</v>
      </c>
      <c r="C337" s="6" t="s">
        <v>11</v>
      </c>
      <c r="D337" s="252">
        <v>30</v>
      </c>
      <c r="E337" s="252"/>
      <c r="F337" s="252">
        <v>30</v>
      </c>
      <c r="G337" s="252">
        <v>30</v>
      </c>
      <c r="H337" s="306"/>
      <c r="I337" s="252">
        <v>30</v>
      </c>
      <c r="J337" s="252">
        <v>30</v>
      </c>
      <c r="K337" s="252"/>
      <c r="L337" s="252">
        <v>30</v>
      </c>
    </row>
    <row r="338" spans="1:12" s="1" customFormat="1" ht="51.75" x14ac:dyDescent="0.25">
      <c r="A338" s="208" t="s">
        <v>594</v>
      </c>
      <c r="B338" s="208"/>
      <c r="C338" s="209" t="s">
        <v>595</v>
      </c>
      <c r="D338" s="251">
        <f t="shared" ref="D338:G339" si="39">D339</f>
        <v>15.202809999999999</v>
      </c>
      <c r="E338" s="251"/>
      <c r="F338" s="251">
        <f t="shared" si="39"/>
        <v>15.202809999999999</v>
      </c>
      <c r="G338" s="251">
        <f t="shared" si="39"/>
        <v>0</v>
      </c>
      <c r="H338" s="310"/>
      <c r="I338" s="251">
        <f>I339</f>
        <v>0</v>
      </c>
      <c r="J338" s="251">
        <f>J339</f>
        <v>0</v>
      </c>
      <c r="K338" s="251"/>
      <c r="L338" s="251">
        <f>L339</f>
        <v>0</v>
      </c>
    </row>
    <row r="339" spans="1:12" s="1" customFormat="1" ht="26.25" x14ac:dyDescent="0.25">
      <c r="A339" s="7" t="s">
        <v>727</v>
      </c>
      <c r="B339" s="7"/>
      <c r="C339" s="6" t="s">
        <v>596</v>
      </c>
      <c r="D339" s="252">
        <f t="shared" si="39"/>
        <v>15.202809999999999</v>
      </c>
      <c r="E339" s="252"/>
      <c r="F339" s="252">
        <f t="shared" si="39"/>
        <v>15.202809999999999</v>
      </c>
      <c r="G339" s="252">
        <f t="shared" si="39"/>
        <v>0</v>
      </c>
      <c r="H339" s="306"/>
      <c r="I339" s="252">
        <f>I340</f>
        <v>0</v>
      </c>
      <c r="J339" s="252">
        <f>J340</f>
        <v>0</v>
      </c>
      <c r="K339" s="252"/>
      <c r="L339" s="252">
        <f>L340</f>
        <v>0</v>
      </c>
    </row>
    <row r="340" spans="1:12" s="1" customFormat="1" ht="26.25" x14ac:dyDescent="0.25">
      <c r="A340" s="7"/>
      <c r="B340" s="7" t="s">
        <v>12</v>
      </c>
      <c r="C340" s="6" t="s">
        <v>11</v>
      </c>
      <c r="D340" s="252">
        <v>15.202809999999999</v>
      </c>
      <c r="E340" s="252"/>
      <c r="F340" s="252">
        <f>SUM(D340:E340)</f>
        <v>15.202809999999999</v>
      </c>
      <c r="G340" s="252">
        <v>0</v>
      </c>
      <c r="H340" s="306"/>
      <c r="I340" s="252">
        <v>0</v>
      </c>
      <c r="J340" s="252">
        <v>0</v>
      </c>
      <c r="K340" s="252"/>
      <c r="L340" s="252">
        <v>0</v>
      </c>
    </row>
    <row r="341" spans="1:12" s="1" customFormat="1" ht="26.25" x14ac:dyDescent="0.25">
      <c r="A341" s="208" t="s">
        <v>838</v>
      </c>
      <c r="B341" s="208"/>
      <c r="C341" s="209" t="s">
        <v>839</v>
      </c>
      <c r="D341" s="251">
        <f>D342</f>
        <v>52.797190000000001</v>
      </c>
      <c r="E341" s="251"/>
      <c r="F341" s="251">
        <f t="shared" ref="F341:L341" si="40">F342</f>
        <v>52.797190000000001</v>
      </c>
      <c r="G341" s="251">
        <f t="shared" si="40"/>
        <v>0</v>
      </c>
      <c r="H341" s="251"/>
      <c r="I341" s="251">
        <f t="shared" si="40"/>
        <v>0</v>
      </c>
      <c r="J341" s="251">
        <f t="shared" si="40"/>
        <v>0</v>
      </c>
      <c r="K341" s="251"/>
      <c r="L341" s="251">
        <f t="shared" si="40"/>
        <v>0</v>
      </c>
    </row>
    <row r="342" spans="1:12" s="1" customFormat="1" ht="26.25" x14ac:dyDescent="0.25">
      <c r="A342" s="318" t="s">
        <v>840</v>
      </c>
      <c r="B342" s="318"/>
      <c r="C342" s="321" t="s">
        <v>841</v>
      </c>
      <c r="D342" s="320">
        <f>D343</f>
        <v>52.797190000000001</v>
      </c>
      <c r="E342" s="320"/>
      <c r="F342" s="320">
        <f>F343</f>
        <v>52.797190000000001</v>
      </c>
      <c r="G342" s="320">
        <f>G343</f>
        <v>0</v>
      </c>
      <c r="H342" s="320"/>
      <c r="I342" s="320">
        <f>I343</f>
        <v>0</v>
      </c>
      <c r="J342" s="320">
        <f>J343</f>
        <v>0</v>
      </c>
      <c r="K342" s="320"/>
      <c r="L342" s="320">
        <f>L343</f>
        <v>0</v>
      </c>
    </row>
    <row r="343" spans="1:12" s="1" customFormat="1" ht="26.25" x14ac:dyDescent="0.25">
      <c r="A343" s="318"/>
      <c r="B343" s="7" t="s">
        <v>12</v>
      </c>
      <c r="C343" s="6" t="s">
        <v>11</v>
      </c>
      <c r="D343" s="320">
        <f>D344</f>
        <v>52.797190000000001</v>
      </c>
      <c r="E343" s="252"/>
      <c r="F343" s="252">
        <v>52.797190000000001</v>
      </c>
      <c r="G343" s="320">
        <v>0</v>
      </c>
      <c r="H343" s="320"/>
      <c r="I343" s="320">
        <v>0</v>
      </c>
      <c r="J343" s="320">
        <v>0</v>
      </c>
      <c r="K343" s="320"/>
      <c r="L343" s="320">
        <v>0</v>
      </c>
    </row>
    <row r="344" spans="1:12" s="1" customFormat="1" ht="15" x14ac:dyDescent="0.25">
      <c r="A344" s="318"/>
      <c r="B344" s="318"/>
      <c r="C344" s="94" t="s">
        <v>326</v>
      </c>
      <c r="D344" s="320">
        <v>52.797190000000001</v>
      </c>
      <c r="E344" s="252"/>
      <c r="F344" s="252">
        <v>52.797190000000001</v>
      </c>
      <c r="G344" s="320">
        <v>0</v>
      </c>
      <c r="H344" s="320"/>
      <c r="I344" s="320">
        <v>0</v>
      </c>
      <c r="J344" s="320">
        <v>0</v>
      </c>
      <c r="K344" s="320"/>
      <c r="L344" s="320">
        <v>0</v>
      </c>
    </row>
    <row r="345" spans="1:12" s="1" customFormat="1" ht="39" x14ac:dyDescent="0.25">
      <c r="A345" s="30" t="s">
        <v>464</v>
      </c>
      <c r="B345" s="30"/>
      <c r="C345" s="77" t="s">
        <v>463</v>
      </c>
      <c r="D345" s="250">
        <f>D346+D349</f>
        <v>259.8</v>
      </c>
      <c r="E345" s="250"/>
      <c r="F345" s="250">
        <f>F346+F349</f>
        <v>259.8</v>
      </c>
      <c r="G345" s="250">
        <f>G346+G349</f>
        <v>259.8</v>
      </c>
      <c r="H345" s="309"/>
      <c r="I345" s="250">
        <f>I346+I349</f>
        <v>259.8</v>
      </c>
      <c r="J345" s="250">
        <f>J346+J349</f>
        <v>259.8</v>
      </c>
      <c r="K345" s="250"/>
      <c r="L345" s="250">
        <f>L346+L349</f>
        <v>259.8</v>
      </c>
    </row>
    <row r="346" spans="1:12" s="1" customFormat="1" ht="26.25" x14ac:dyDescent="0.25">
      <c r="A346" s="208" t="s">
        <v>462</v>
      </c>
      <c r="B346" s="208"/>
      <c r="C346" s="220" t="s">
        <v>461</v>
      </c>
      <c r="D346" s="251">
        <f t="shared" ref="D346:L347" si="41">D347</f>
        <v>124</v>
      </c>
      <c r="E346" s="251"/>
      <c r="F346" s="251">
        <f t="shared" si="41"/>
        <v>124</v>
      </c>
      <c r="G346" s="251">
        <f t="shared" si="41"/>
        <v>124</v>
      </c>
      <c r="H346" s="310"/>
      <c r="I346" s="251">
        <f t="shared" si="41"/>
        <v>124</v>
      </c>
      <c r="J346" s="251">
        <f t="shared" si="41"/>
        <v>124</v>
      </c>
      <c r="K346" s="251"/>
      <c r="L346" s="251">
        <f t="shared" si="41"/>
        <v>124</v>
      </c>
    </row>
    <row r="347" spans="1:12" s="1" customFormat="1" ht="15" x14ac:dyDescent="0.25">
      <c r="A347" s="7" t="s">
        <v>460</v>
      </c>
      <c r="B347" s="7"/>
      <c r="C347" s="95" t="s">
        <v>459</v>
      </c>
      <c r="D347" s="252">
        <f t="shared" si="41"/>
        <v>124</v>
      </c>
      <c r="E347" s="252"/>
      <c r="F347" s="252">
        <f t="shared" si="41"/>
        <v>124</v>
      </c>
      <c r="G347" s="252">
        <f t="shared" si="41"/>
        <v>124</v>
      </c>
      <c r="H347" s="306"/>
      <c r="I347" s="252">
        <f t="shared" si="41"/>
        <v>124</v>
      </c>
      <c r="J347" s="252">
        <f t="shared" si="41"/>
        <v>124</v>
      </c>
      <c r="K347" s="252"/>
      <c r="L347" s="252">
        <f t="shared" si="41"/>
        <v>124</v>
      </c>
    </row>
    <row r="348" spans="1:12" s="1" customFormat="1" ht="26.25" x14ac:dyDescent="0.25">
      <c r="A348" s="7"/>
      <c r="B348" s="7" t="s">
        <v>12</v>
      </c>
      <c r="C348" s="6" t="s">
        <v>11</v>
      </c>
      <c r="D348" s="252">
        <v>124</v>
      </c>
      <c r="E348" s="252"/>
      <c r="F348" s="252">
        <v>124</v>
      </c>
      <c r="G348" s="252">
        <v>124</v>
      </c>
      <c r="H348" s="306"/>
      <c r="I348" s="252">
        <v>124</v>
      </c>
      <c r="J348" s="252">
        <v>124</v>
      </c>
      <c r="K348" s="252"/>
      <c r="L348" s="252">
        <v>124</v>
      </c>
    </row>
    <row r="349" spans="1:12" s="1" customFormat="1" ht="26.25" x14ac:dyDescent="0.25">
      <c r="A349" s="208" t="s">
        <v>458</v>
      </c>
      <c r="B349" s="208"/>
      <c r="C349" s="220" t="s">
        <v>457</v>
      </c>
      <c r="D349" s="251">
        <f>D350+D352+D354+D356</f>
        <v>135.80000000000001</v>
      </c>
      <c r="E349" s="251"/>
      <c r="F349" s="251">
        <f>F350+F352+F354+F356</f>
        <v>135.80000000000001</v>
      </c>
      <c r="G349" s="251">
        <f>G350+G352+G354+G356</f>
        <v>135.80000000000001</v>
      </c>
      <c r="H349" s="310"/>
      <c r="I349" s="251">
        <f>I350+I352+I354+I356</f>
        <v>135.80000000000001</v>
      </c>
      <c r="J349" s="251">
        <f>J350+J352+J354+J356</f>
        <v>135.80000000000001</v>
      </c>
      <c r="K349" s="251"/>
      <c r="L349" s="251">
        <f>L350+L352+L354+L356</f>
        <v>135.80000000000001</v>
      </c>
    </row>
    <row r="350" spans="1:12" s="1" customFormat="1" ht="39" x14ac:dyDescent="0.25">
      <c r="A350" s="7" t="s">
        <v>456</v>
      </c>
      <c r="B350" s="7"/>
      <c r="C350" s="95" t="s">
        <v>455</v>
      </c>
      <c r="D350" s="252">
        <f>D351</f>
        <v>40.4</v>
      </c>
      <c r="E350" s="252"/>
      <c r="F350" s="252">
        <f>F351</f>
        <v>40.4</v>
      </c>
      <c r="G350" s="252">
        <f>G351</f>
        <v>40.4</v>
      </c>
      <c r="H350" s="306"/>
      <c r="I350" s="252">
        <f>I351</f>
        <v>40.4</v>
      </c>
      <c r="J350" s="252">
        <f>J351</f>
        <v>40.4</v>
      </c>
      <c r="K350" s="252"/>
      <c r="L350" s="252">
        <f>L351</f>
        <v>40.4</v>
      </c>
    </row>
    <row r="351" spans="1:12" s="1" customFormat="1" ht="26.25" x14ac:dyDescent="0.25">
      <c r="A351" s="7"/>
      <c r="B351" s="7" t="s">
        <v>12</v>
      </c>
      <c r="C351" s="6" t="s">
        <v>11</v>
      </c>
      <c r="D351" s="252">
        <v>40.4</v>
      </c>
      <c r="E351" s="252"/>
      <c r="F351" s="252">
        <v>40.4</v>
      </c>
      <c r="G351" s="252">
        <v>40.4</v>
      </c>
      <c r="H351" s="306"/>
      <c r="I351" s="252">
        <v>40.4</v>
      </c>
      <c r="J351" s="252">
        <v>40.4</v>
      </c>
      <c r="K351" s="252"/>
      <c r="L351" s="252">
        <v>40.4</v>
      </c>
    </row>
    <row r="352" spans="1:12" s="1" customFormat="1" ht="26.25" x14ac:dyDescent="0.25">
      <c r="A352" s="7" t="s">
        <v>454</v>
      </c>
      <c r="B352" s="7"/>
      <c r="C352" s="95" t="s">
        <v>453</v>
      </c>
      <c r="D352" s="252">
        <f>D353</f>
        <v>40</v>
      </c>
      <c r="E352" s="252"/>
      <c r="F352" s="252">
        <f>F353</f>
        <v>40</v>
      </c>
      <c r="G352" s="252">
        <f>G353</f>
        <v>40</v>
      </c>
      <c r="H352" s="306"/>
      <c r="I352" s="252">
        <f>I353</f>
        <v>40</v>
      </c>
      <c r="J352" s="252">
        <f>J353</f>
        <v>40</v>
      </c>
      <c r="K352" s="252"/>
      <c r="L352" s="252">
        <f>L353</f>
        <v>40</v>
      </c>
    </row>
    <row r="353" spans="1:12" s="1" customFormat="1" ht="26.25" x14ac:dyDescent="0.25">
      <c r="A353" s="7"/>
      <c r="B353" s="7" t="s">
        <v>12</v>
      </c>
      <c r="C353" s="6" t="s">
        <v>11</v>
      </c>
      <c r="D353" s="252">
        <v>40</v>
      </c>
      <c r="E353" s="252"/>
      <c r="F353" s="252">
        <v>40</v>
      </c>
      <c r="G353" s="252">
        <v>40</v>
      </c>
      <c r="H353" s="306"/>
      <c r="I353" s="252">
        <v>40</v>
      </c>
      <c r="J353" s="252">
        <v>40</v>
      </c>
      <c r="K353" s="252"/>
      <c r="L353" s="252">
        <v>40</v>
      </c>
    </row>
    <row r="354" spans="1:12" s="1" customFormat="1" ht="26.25" x14ac:dyDescent="0.25">
      <c r="A354" s="7" t="s">
        <v>452</v>
      </c>
      <c r="B354" s="7"/>
      <c r="C354" s="95" t="s">
        <v>451</v>
      </c>
      <c r="D354" s="252">
        <f>D355</f>
        <v>26.6</v>
      </c>
      <c r="E354" s="252"/>
      <c r="F354" s="252">
        <f>F355</f>
        <v>26.6</v>
      </c>
      <c r="G354" s="252">
        <f>G355</f>
        <v>26.6</v>
      </c>
      <c r="H354" s="306"/>
      <c r="I354" s="252">
        <f>I355</f>
        <v>26.6</v>
      </c>
      <c r="J354" s="252">
        <f>J355</f>
        <v>26.6</v>
      </c>
      <c r="K354" s="252"/>
      <c r="L354" s="252">
        <f>L355</f>
        <v>26.6</v>
      </c>
    </row>
    <row r="355" spans="1:12" s="1" customFormat="1" ht="26.25" x14ac:dyDescent="0.25">
      <c r="A355" s="7"/>
      <c r="B355" s="7" t="s">
        <v>12</v>
      </c>
      <c r="C355" s="6" t="s">
        <v>11</v>
      </c>
      <c r="D355" s="252">
        <v>26.6</v>
      </c>
      <c r="E355" s="252"/>
      <c r="F355" s="252">
        <v>26.6</v>
      </c>
      <c r="G355" s="252">
        <v>26.6</v>
      </c>
      <c r="H355" s="306"/>
      <c r="I355" s="252">
        <v>26.6</v>
      </c>
      <c r="J355" s="252">
        <v>26.6</v>
      </c>
      <c r="K355" s="252"/>
      <c r="L355" s="252">
        <v>26.6</v>
      </c>
    </row>
    <row r="356" spans="1:12" s="1" customFormat="1" ht="15" x14ac:dyDescent="0.25">
      <c r="A356" s="7" t="s">
        <v>450</v>
      </c>
      <c r="B356" s="7"/>
      <c r="C356" s="95" t="s">
        <v>449</v>
      </c>
      <c r="D356" s="252">
        <f>D357</f>
        <v>28.8</v>
      </c>
      <c r="E356" s="252"/>
      <c r="F356" s="252">
        <f>F357</f>
        <v>28.8</v>
      </c>
      <c r="G356" s="252">
        <f>G357</f>
        <v>28.8</v>
      </c>
      <c r="H356" s="306"/>
      <c r="I356" s="252">
        <f>I357</f>
        <v>28.8</v>
      </c>
      <c r="J356" s="252">
        <f>J357</f>
        <v>28.8</v>
      </c>
      <c r="K356" s="252"/>
      <c r="L356" s="252">
        <f>L357</f>
        <v>28.8</v>
      </c>
    </row>
    <row r="357" spans="1:12" s="1" customFormat="1" ht="26.25" x14ac:dyDescent="0.25">
      <c r="A357" s="7"/>
      <c r="B357" s="7" t="s">
        <v>12</v>
      </c>
      <c r="C357" s="6" t="s">
        <v>11</v>
      </c>
      <c r="D357" s="252">
        <v>28.8</v>
      </c>
      <c r="E357" s="252"/>
      <c r="F357" s="252">
        <v>28.8</v>
      </c>
      <c r="G357" s="252">
        <v>28.8</v>
      </c>
      <c r="H357" s="306"/>
      <c r="I357" s="252">
        <v>28.8</v>
      </c>
      <c r="J357" s="252">
        <v>28.8</v>
      </c>
      <c r="K357" s="252"/>
      <c r="L357" s="252">
        <v>28.8</v>
      </c>
    </row>
    <row r="358" spans="1:12" s="1" customFormat="1" ht="39" x14ac:dyDescent="0.25">
      <c r="A358" s="225" t="s">
        <v>307</v>
      </c>
      <c r="B358" s="225"/>
      <c r="C358" s="228" t="s">
        <v>306</v>
      </c>
      <c r="D358" s="249">
        <f>D359+D366+D420</f>
        <v>61233.721799999999</v>
      </c>
      <c r="E358" s="249">
        <f>E359+E366+E420</f>
        <v>248.00000000000006</v>
      </c>
      <c r="F358" s="249">
        <f>F359+F366+F420</f>
        <v>61481.721800000007</v>
      </c>
      <c r="G358" s="249">
        <f>G359+G366+G420</f>
        <v>28729.278629999997</v>
      </c>
      <c r="H358" s="249"/>
      <c r="I358" s="249">
        <f>I359+I366+I420</f>
        <v>28729.278629999997</v>
      </c>
      <c r="J358" s="249">
        <f>J359+J366+J420</f>
        <v>27524.2</v>
      </c>
      <c r="K358" s="249"/>
      <c r="L358" s="249">
        <f>L359+L366+L420</f>
        <v>27524.2</v>
      </c>
    </row>
    <row r="359" spans="1:12" s="1" customFormat="1" ht="26.25" x14ac:dyDescent="0.25">
      <c r="A359" s="30" t="s">
        <v>343</v>
      </c>
      <c r="B359" s="30"/>
      <c r="C359" s="77" t="s">
        <v>342</v>
      </c>
      <c r="D359" s="250">
        <f t="shared" ref="D359:F361" si="42">D360</f>
        <v>4009.4000000000005</v>
      </c>
      <c r="E359" s="250">
        <f t="shared" si="42"/>
        <v>-98.69095999999999</v>
      </c>
      <c r="F359" s="250">
        <f t="shared" si="42"/>
        <v>3910.7090400000006</v>
      </c>
      <c r="G359" s="250">
        <f t="shared" ref="G359:L361" si="43">G360</f>
        <v>0</v>
      </c>
      <c r="H359" s="309"/>
      <c r="I359" s="250">
        <f t="shared" si="43"/>
        <v>0</v>
      </c>
      <c r="J359" s="250">
        <f t="shared" si="43"/>
        <v>0</v>
      </c>
      <c r="K359" s="250"/>
      <c r="L359" s="250">
        <f t="shared" si="43"/>
        <v>0</v>
      </c>
    </row>
    <row r="360" spans="1:12" s="1" customFormat="1" ht="64.5" x14ac:dyDescent="0.25">
      <c r="A360" s="208" t="s">
        <v>637</v>
      </c>
      <c r="B360" s="208"/>
      <c r="C360" s="220" t="s">
        <v>638</v>
      </c>
      <c r="D360" s="251">
        <f t="shared" si="42"/>
        <v>4009.4000000000005</v>
      </c>
      <c r="E360" s="251">
        <f t="shared" si="42"/>
        <v>-98.69095999999999</v>
      </c>
      <c r="F360" s="251">
        <f t="shared" si="42"/>
        <v>3910.7090400000006</v>
      </c>
      <c r="G360" s="251">
        <f t="shared" si="43"/>
        <v>0</v>
      </c>
      <c r="H360" s="310"/>
      <c r="I360" s="251">
        <f t="shared" si="43"/>
        <v>0</v>
      </c>
      <c r="J360" s="251">
        <f t="shared" si="43"/>
        <v>0</v>
      </c>
      <c r="K360" s="251"/>
      <c r="L360" s="251">
        <f t="shared" si="43"/>
        <v>0</v>
      </c>
    </row>
    <row r="361" spans="1:12" s="1" customFormat="1" ht="39" x14ac:dyDescent="0.25">
      <c r="A361" s="69" t="s">
        <v>341</v>
      </c>
      <c r="B361" s="7"/>
      <c r="C361" s="6" t="s">
        <v>340</v>
      </c>
      <c r="D361" s="252">
        <f t="shared" si="42"/>
        <v>4009.4000000000005</v>
      </c>
      <c r="E361" s="252">
        <f t="shared" si="42"/>
        <v>-98.69095999999999</v>
      </c>
      <c r="F361" s="252">
        <f t="shared" si="42"/>
        <v>3910.7090400000006</v>
      </c>
      <c r="G361" s="252">
        <f t="shared" si="43"/>
        <v>0</v>
      </c>
      <c r="H361" s="306"/>
      <c r="I361" s="252">
        <f t="shared" si="43"/>
        <v>0</v>
      </c>
      <c r="J361" s="252">
        <f t="shared" si="43"/>
        <v>0</v>
      </c>
      <c r="K361" s="252"/>
      <c r="L361" s="252">
        <f t="shared" si="43"/>
        <v>0</v>
      </c>
    </row>
    <row r="362" spans="1:12" s="1" customFormat="1" ht="26.25" x14ac:dyDescent="0.25">
      <c r="A362" s="69"/>
      <c r="B362" s="69" t="s">
        <v>12</v>
      </c>
      <c r="C362" s="12" t="s">
        <v>11</v>
      </c>
      <c r="D362" s="252">
        <f>D363+D364+D365</f>
        <v>4009.4000000000005</v>
      </c>
      <c r="E362" s="252">
        <f>E363+E364+E365</f>
        <v>-98.69095999999999</v>
      </c>
      <c r="F362" s="252">
        <f>F363+F364+F365</f>
        <v>3910.7090400000006</v>
      </c>
      <c r="G362" s="252">
        <f>G363+G364+G365</f>
        <v>0</v>
      </c>
      <c r="H362" s="306"/>
      <c r="I362" s="252">
        <f>I363+I364+I365</f>
        <v>0</v>
      </c>
      <c r="J362" s="252">
        <f>J363+J364+J365</f>
        <v>0</v>
      </c>
      <c r="K362" s="252"/>
      <c r="L362" s="252">
        <f>L363+L364+L365</f>
        <v>0</v>
      </c>
    </row>
    <row r="363" spans="1:12" s="1" customFormat="1" ht="15" x14ac:dyDescent="0.25">
      <c r="A363" s="69"/>
      <c r="B363" s="7"/>
      <c r="C363" s="94" t="s">
        <v>339</v>
      </c>
      <c r="D363" s="252">
        <v>2666.3</v>
      </c>
      <c r="E363" s="252"/>
      <c r="F363" s="252">
        <v>2666.3</v>
      </c>
      <c r="G363" s="252">
        <v>0</v>
      </c>
      <c r="H363" s="306"/>
      <c r="I363" s="252">
        <v>0</v>
      </c>
      <c r="J363" s="252">
        <v>0</v>
      </c>
      <c r="K363" s="252"/>
      <c r="L363" s="252">
        <v>0</v>
      </c>
    </row>
    <row r="364" spans="1:12" s="1" customFormat="1" ht="15" x14ac:dyDescent="0.25">
      <c r="A364" s="69"/>
      <c r="B364" s="7"/>
      <c r="C364" s="94" t="s">
        <v>333</v>
      </c>
      <c r="D364" s="252">
        <v>140.30000000000001</v>
      </c>
      <c r="E364" s="252"/>
      <c r="F364" s="252">
        <v>140.30000000000001</v>
      </c>
      <c r="G364" s="252">
        <v>0</v>
      </c>
      <c r="H364" s="306"/>
      <c r="I364" s="252">
        <v>0</v>
      </c>
      <c r="J364" s="252">
        <v>0</v>
      </c>
      <c r="K364" s="252"/>
      <c r="L364" s="252">
        <v>0</v>
      </c>
    </row>
    <row r="365" spans="1:12" s="1" customFormat="1" ht="15" x14ac:dyDescent="0.25">
      <c r="A365" s="69"/>
      <c r="B365" s="7"/>
      <c r="C365" s="94" t="s">
        <v>326</v>
      </c>
      <c r="D365" s="259">
        <v>1202.8</v>
      </c>
      <c r="E365" s="259">
        <f>-29.25925-69.43171</f>
        <v>-98.69095999999999</v>
      </c>
      <c r="F365" s="259">
        <f>SUM(D365:E365)</f>
        <v>1104.10904</v>
      </c>
      <c r="G365" s="252">
        <v>0</v>
      </c>
      <c r="H365" s="306"/>
      <c r="I365" s="252">
        <v>0</v>
      </c>
      <c r="J365" s="259">
        <v>0</v>
      </c>
      <c r="K365" s="259"/>
      <c r="L365" s="259">
        <v>0</v>
      </c>
    </row>
    <row r="366" spans="1:12" s="1" customFormat="1" ht="39" x14ac:dyDescent="0.25">
      <c r="A366" s="30" t="s">
        <v>305</v>
      </c>
      <c r="B366" s="30"/>
      <c r="C366" s="77" t="s">
        <v>304</v>
      </c>
      <c r="D366" s="250">
        <f t="shared" ref="D366:L366" si="44">D367+D389+D406+D409+D412</f>
        <v>34600.79249</v>
      </c>
      <c r="E366" s="250">
        <f t="shared" si="44"/>
        <v>369.69274000000001</v>
      </c>
      <c r="F366" s="250">
        <f t="shared" si="44"/>
        <v>34970.485230000006</v>
      </c>
      <c r="G366" s="250">
        <f t="shared" si="44"/>
        <v>26405.678629999999</v>
      </c>
      <c r="H366" s="250">
        <f t="shared" si="44"/>
        <v>0</v>
      </c>
      <c r="I366" s="250">
        <f t="shared" si="44"/>
        <v>26405.678629999999</v>
      </c>
      <c r="J366" s="250">
        <f t="shared" si="44"/>
        <v>23531.100000000002</v>
      </c>
      <c r="K366" s="250">
        <f t="shared" si="44"/>
        <v>0</v>
      </c>
      <c r="L366" s="250">
        <f t="shared" si="44"/>
        <v>23531.100000000002</v>
      </c>
    </row>
    <row r="367" spans="1:12" s="1" customFormat="1" ht="39" x14ac:dyDescent="0.25">
      <c r="A367" s="208" t="s">
        <v>338</v>
      </c>
      <c r="B367" s="208"/>
      <c r="C367" s="220" t="s">
        <v>337</v>
      </c>
      <c r="D367" s="251">
        <f>D372+D374+D376+D368+D385+D380+D383+D387</f>
        <v>7716.6013799999992</v>
      </c>
      <c r="E367" s="251">
        <f>E372+E374+E376+E368+E385+E380+E383+E387</f>
        <v>152.45940000000002</v>
      </c>
      <c r="F367" s="251">
        <f>F372+F374+F376+F368+F385+F380+F383+F387</f>
        <v>7869.0607799999998</v>
      </c>
      <c r="G367" s="251">
        <f>G372+G374+G376</f>
        <v>352.5</v>
      </c>
      <c r="H367" s="310"/>
      <c r="I367" s="251">
        <f>I372+I374+I376</f>
        <v>352.5</v>
      </c>
      <c r="J367" s="251">
        <f>J372+J374+J376</f>
        <v>558.4</v>
      </c>
      <c r="K367" s="251"/>
      <c r="L367" s="251">
        <f>L372+L374+L376</f>
        <v>558.4</v>
      </c>
    </row>
    <row r="368" spans="1:12" s="1" customFormat="1" ht="26.25" x14ac:dyDescent="0.25">
      <c r="A368" s="7" t="s">
        <v>336</v>
      </c>
      <c r="B368" s="7"/>
      <c r="C368" s="95" t="s">
        <v>335</v>
      </c>
      <c r="D368" s="252">
        <f>D369</f>
        <v>860.32722000000012</v>
      </c>
      <c r="E368" s="252"/>
      <c r="F368" s="252">
        <f>F369</f>
        <v>860.32722000000012</v>
      </c>
      <c r="G368" s="252">
        <v>0</v>
      </c>
      <c r="H368" s="306"/>
      <c r="I368" s="252">
        <v>0</v>
      </c>
      <c r="J368" s="252">
        <v>0</v>
      </c>
      <c r="K368" s="252"/>
      <c r="L368" s="252">
        <v>0</v>
      </c>
    </row>
    <row r="369" spans="1:12" s="1" customFormat="1" ht="26.25" x14ac:dyDescent="0.25">
      <c r="A369" s="7"/>
      <c r="B369" s="7" t="s">
        <v>12</v>
      </c>
      <c r="C369" s="6" t="s">
        <v>11</v>
      </c>
      <c r="D369" s="252">
        <f>D370+D371</f>
        <v>860.32722000000012</v>
      </c>
      <c r="E369" s="252"/>
      <c r="F369" s="252">
        <f>F370+F371</f>
        <v>860.32722000000012</v>
      </c>
      <c r="G369" s="252">
        <v>0</v>
      </c>
      <c r="H369" s="306"/>
      <c r="I369" s="252">
        <v>0</v>
      </c>
      <c r="J369" s="252">
        <v>0</v>
      </c>
      <c r="K369" s="252"/>
      <c r="L369" s="252">
        <v>0</v>
      </c>
    </row>
    <row r="370" spans="1:12" s="1" customFormat="1" ht="15" x14ac:dyDescent="0.25">
      <c r="A370" s="7"/>
      <c r="B370" s="7"/>
      <c r="C370" s="94" t="s">
        <v>326</v>
      </c>
      <c r="D370" s="252">
        <v>567.31086000000005</v>
      </c>
      <c r="E370" s="252"/>
      <c r="F370" s="252">
        <v>567.31086000000005</v>
      </c>
      <c r="G370" s="252">
        <v>0</v>
      </c>
      <c r="H370" s="306"/>
      <c r="I370" s="252">
        <v>0</v>
      </c>
      <c r="J370" s="252">
        <v>0</v>
      </c>
      <c r="K370" s="252"/>
      <c r="L370" s="252">
        <v>0</v>
      </c>
    </row>
    <row r="371" spans="1:12" s="1" customFormat="1" ht="15" x14ac:dyDescent="0.25">
      <c r="A371" s="7"/>
      <c r="B371" s="7"/>
      <c r="C371" s="94" t="s">
        <v>334</v>
      </c>
      <c r="D371" s="252">
        <v>293.01636000000002</v>
      </c>
      <c r="E371" s="252"/>
      <c r="F371" s="252">
        <v>293.01636000000002</v>
      </c>
      <c r="G371" s="252">
        <v>0</v>
      </c>
      <c r="H371" s="306"/>
      <c r="I371" s="252">
        <v>0</v>
      </c>
      <c r="J371" s="252">
        <v>0</v>
      </c>
      <c r="K371" s="252"/>
      <c r="L371" s="252">
        <v>0</v>
      </c>
    </row>
    <row r="372" spans="1:12" s="1" customFormat="1" ht="39" x14ac:dyDescent="0.25">
      <c r="A372" s="52" t="s">
        <v>332</v>
      </c>
      <c r="B372" s="52"/>
      <c r="C372" s="6" t="s">
        <v>331</v>
      </c>
      <c r="D372" s="252">
        <f>D373</f>
        <v>1552.03334</v>
      </c>
      <c r="E372" s="252">
        <f>E373</f>
        <v>-136.90890999999999</v>
      </c>
      <c r="F372" s="252">
        <f>F373</f>
        <v>1415.1244299999998</v>
      </c>
      <c r="G372" s="252">
        <f>G373</f>
        <v>0</v>
      </c>
      <c r="H372" s="306"/>
      <c r="I372" s="252">
        <f>I373</f>
        <v>0</v>
      </c>
      <c r="J372" s="252">
        <f>J373</f>
        <v>0</v>
      </c>
      <c r="K372" s="252"/>
      <c r="L372" s="252">
        <f>L373</f>
        <v>0</v>
      </c>
    </row>
    <row r="373" spans="1:12" s="1" customFormat="1" ht="26.25" x14ac:dyDescent="0.25">
      <c r="A373" s="52"/>
      <c r="B373" s="7" t="s">
        <v>12</v>
      </c>
      <c r="C373" s="6" t="s">
        <v>11</v>
      </c>
      <c r="D373" s="252">
        <v>1552.03334</v>
      </c>
      <c r="E373" s="252">
        <f>-133.17753-3.73138</f>
        <v>-136.90890999999999</v>
      </c>
      <c r="F373" s="252">
        <f>SUM(D373:E373)</f>
        <v>1415.1244299999998</v>
      </c>
      <c r="G373" s="252">
        <f>714.1-714.1</f>
        <v>0</v>
      </c>
      <c r="H373" s="306"/>
      <c r="I373" s="252">
        <f>714.1-714.1</f>
        <v>0</v>
      </c>
      <c r="J373" s="252">
        <f>734.2-734.2</f>
        <v>0</v>
      </c>
      <c r="K373" s="252"/>
      <c r="L373" s="252">
        <f>734.2-734.2</f>
        <v>0</v>
      </c>
    </row>
    <row r="374" spans="1:12" s="1" customFormat="1" ht="39" x14ac:dyDescent="0.25">
      <c r="A374" s="52" t="s">
        <v>330</v>
      </c>
      <c r="B374" s="52"/>
      <c r="C374" s="6" t="s">
        <v>329</v>
      </c>
      <c r="D374" s="252">
        <f>D375</f>
        <v>2598.9</v>
      </c>
      <c r="E374" s="252"/>
      <c r="F374" s="252">
        <f>F375</f>
        <v>2598.9</v>
      </c>
      <c r="G374" s="252">
        <f>G375</f>
        <v>0</v>
      </c>
      <c r="H374" s="306"/>
      <c r="I374" s="252">
        <f>I375</f>
        <v>0</v>
      </c>
      <c r="J374" s="252">
        <f>J375</f>
        <v>0</v>
      </c>
      <c r="K374" s="252"/>
      <c r="L374" s="252">
        <f>L375</f>
        <v>0</v>
      </c>
    </row>
    <row r="375" spans="1:12" s="1" customFormat="1" ht="26.25" x14ac:dyDescent="0.25">
      <c r="A375" s="52"/>
      <c r="B375" s="7" t="s">
        <v>12</v>
      </c>
      <c r="C375" s="6" t="s">
        <v>11</v>
      </c>
      <c r="D375" s="252">
        <v>2598.9</v>
      </c>
      <c r="E375" s="252"/>
      <c r="F375" s="252">
        <v>2598.9</v>
      </c>
      <c r="G375" s="252">
        <f>476.5-476.5</f>
        <v>0</v>
      </c>
      <c r="H375" s="306"/>
      <c r="I375" s="252">
        <f>476.5-476.5</f>
        <v>0</v>
      </c>
      <c r="J375" s="252">
        <f>495.4-495.4</f>
        <v>0</v>
      </c>
      <c r="K375" s="252"/>
      <c r="L375" s="252">
        <f>495.4-495.4</f>
        <v>0</v>
      </c>
    </row>
    <row r="376" spans="1:12" s="1" customFormat="1" ht="39" x14ac:dyDescent="0.25">
      <c r="A376" s="52" t="s">
        <v>598</v>
      </c>
      <c r="B376" s="7"/>
      <c r="C376" s="6" t="s">
        <v>599</v>
      </c>
      <c r="D376" s="252">
        <f>D377+D378+D379</f>
        <v>768.9</v>
      </c>
      <c r="E376" s="252">
        <f>E377+E378+E379</f>
        <v>220</v>
      </c>
      <c r="F376" s="252">
        <f>F377+F378+F379</f>
        <v>988.9</v>
      </c>
      <c r="G376" s="252">
        <f>G378</f>
        <v>352.5</v>
      </c>
      <c r="H376" s="306"/>
      <c r="I376" s="252">
        <f>I378</f>
        <v>352.5</v>
      </c>
      <c r="J376" s="252">
        <f>J378</f>
        <v>558.4</v>
      </c>
      <c r="K376" s="252"/>
      <c r="L376" s="252">
        <f>L378</f>
        <v>558.4</v>
      </c>
    </row>
    <row r="377" spans="1:12" s="1" customFormat="1" ht="26.25" x14ac:dyDescent="0.25">
      <c r="A377" s="52"/>
      <c r="B377" s="7" t="s">
        <v>12</v>
      </c>
      <c r="C377" s="6" t="s">
        <v>11</v>
      </c>
      <c r="D377" s="252">
        <v>504.9</v>
      </c>
      <c r="E377" s="252">
        <v>220</v>
      </c>
      <c r="F377" s="252">
        <v>724.9</v>
      </c>
      <c r="G377" s="252">
        <v>0</v>
      </c>
      <c r="H377" s="306"/>
      <c r="I377" s="252">
        <v>0</v>
      </c>
      <c r="J377" s="252">
        <v>0</v>
      </c>
      <c r="K377" s="252"/>
      <c r="L377" s="252">
        <v>0</v>
      </c>
    </row>
    <row r="378" spans="1:12" s="1" customFormat="1" ht="39" x14ac:dyDescent="0.25">
      <c r="A378" s="52"/>
      <c r="B378" s="7" t="s">
        <v>57</v>
      </c>
      <c r="C378" s="6" t="s">
        <v>56</v>
      </c>
      <c r="D378" s="252">
        <v>264</v>
      </c>
      <c r="E378" s="252"/>
      <c r="F378" s="252">
        <v>264</v>
      </c>
      <c r="G378" s="252">
        <v>352.5</v>
      </c>
      <c r="H378" s="306"/>
      <c r="I378" s="252">
        <v>352.5</v>
      </c>
      <c r="J378" s="252">
        <v>558.4</v>
      </c>
      <c r="K378" s="252"/>
      <c r="L378" s="252">
        <v>558.4</v>
      </c>
    </row>
    <row r="379" spans="1:12" s="1" customFormat="1" ht="15" x14ac:dyDescent="0.25">
      <c r="A379" s="52"/>
      <c r="B379" s="7" t="s">
        <v>22</v>
      </c>
      <c r="C379" s="6" t="s">
        <v>21</v>
      </c>
      <c r="D379" s="252">
        <v>0</v>
      </c>
      <c r="E379" s="252"/>
      <c r="F379" s="252">
        <f>163.1-163.1</f>
        <v>0</v>
      </c>
      <c r="G379" s="252">
        <v>0</v>
      </c>
      <c r="H379" s="306"/>
      <c r="I379" s="252">
        <v>0</v>
      </c>
      <c r="J379" s="252">
        <v>0</v>
      </c>
      <c r="K379" s="252"/>
      <c r="L379" s="252">
        <v>0</v>
      </c>
    </row>
    <row r="380" spans="1:12" s="1" customFormat="1" ht="26.25" x14ac:dyDescent="0.25">
      <c r="A380" s="7" t="s">
        <v>328</v>
      </c>
      <c r="B380" s="7"/>
      <c r="C380" s="6" t="s">
        <v>327</v>
      </c>
      <c r="D380" s="252">
        <f>D381</f>
        <v>627.34082000000001</v>
      </c>
      <c r="E380" s="252"/>
      <c r="F380" s="252">
        <f>F381</f>
        <v>627.34082000000001</v>
      </c>
      <c r="G380" s="252">
        <v>0</v>
      </c>
      <c r="H380" s="306"/>
      <c r="I380" s="252">
        <v>0</v>
      </c>
      <c r="J380" s="252">
        <v>0</v>
      </c>
      <c r="K380" s="252"/>
      <c r="L380" s="252">
        <v>0</v>
      </c>
    </row>
    <row r="381" spans="1:12" s="1" customFormat="1" ht="26.25" x14ac:dyDescent="0.25">
      <c r="A381" s="52"/>
      <c r="B381" s="7" t="s">
        <v>12</v>
      </c>
      <c r="C381" s="6" t="s">
        <v>11</v>
      </c>
      <c r="D381" s="252">
        <f>D382</f>
        <v>627.34082000000001</v>
      </c>
      <c r="E381" s="252"/>
      <c r="F381" s="252">
        <f>F382</f>
        <v>627.34082000000001</v>
      </c>
      <c r="G381" s="252">
        <v>0</v>
      </c>
      <c r="H381" s="306"/>
      <c r="I381" s="252">
        <v>0</v>
      </c>
      <c r="J381" s="252">
        <v>0</v>
      </c>
      <c r="K381" s="252"/>
      <c r="L381" s="252">
        <v>0</v>
      </c>
    </row>
    <row r="382" spans="1:12" s="1" customFormat="1" ht="15" x14ac:dyDescent="0.25">
      <c r="A382" s="52"/>
      <c r="B382" s="7"/>
      <c r="C382" s="94" t="s">
        <v>326</v>
      </c>
      <c r="D382" s="252">
        <v>627.34082000000001</v>
      </c>
      <c r="E382" s="252"/>
      <c r="F382" s="252">
        <v>627.34082000000001</v>
      </c>
      <c r="G382" s="252">
        <v>0</v>
      </c>
      <c r="H382" s="306"/>
      <c r="I382" s="252">
        <v>0</v>
      </c>
      <c r="J382" s="252">
        <v>0</v>
      </c>
      <c r="K382" s="252"/>
      <c r="L382" s="252">
        <v>0</v>
      </c>
    </row>
    <row r="383" spans="1:12" s="1" customFormat="1" ht="15" x14ac:dyDescent="0.25">
      <c r="A383" s="52" t="s">
        <v>843</v>
      </c>
      <c r="B383" s="318"/>
      <c r="C383" s="323" t="s">
        <v>842</v>
      </c>
      <c r="D383" s="320">
        <f>D384</f>
        <v>330.9</v>
      </c>
      <c r="E383" s="320"/>
      <c r="F383" s="320">
        <f>F384</f>
        <v>330.9</v>
      </c>
      <c r="G383" s="320">
        <f>G384</f>
        <v>0</v>
      </c>
      <c r="H383" s="320"/>
      <c r="I383" s="320">
        <f>I384</f>
        <v>0</v>
      </c>
      <c r="J383" s="320">
        <f>J384</f>
        <v>0</v>
      </c>
      <c r="K383" s="320"/>
      <c r="L383" s="320">
        <f>L384</f>
        <v>0</v>
      </c>
    </row>
    <row r="384" spans="1:12" s="1" customFormat="1" ht="39" x14ac:dyDescent="0.25">
      <c r="A384" s="52"/>
      <c r="B384" s="7" t="s">
        <v>57</v>
      </c>
      <c r="C384" s="6" t="s">
        <v>56</v>
      </c>
      <c r="D384" s="320">
        <v>330.9</v>
      </c>
      <c r="E384" s="320"/>
      <c r="F384" s="320">
        <v>330.9</v>
      </c>
      <c r="G384" s="320">
        <v>0</v>
      </c>
      <c r="H384" s="320"/>
      <c r="I384" s="320">
        <v>0</v>
      </c>
      <c r="J384" s="320">
        <v>0</v>
      </c>
      <c r="K384" s="320"/>
      <c r="L384" s="320">
        <v>0</v>
      </c>
    </row>
    <row r="385" spans="1:12" s="1" customFormat="1" ht="51.75" x14ac:dyDescent="0.25">
      <c r="A385" s="52" t="s">
        <v>728</v>
      </c>
      <c r="B385" s="7"/>
      <c r="C385" s="94" t="s">
        <v>597</v>
      </c>
      <c r="D385" s="252">
        <f>D386</f>
        <v>391.8</v>
      </c>
      <c r="E385" s="252">
        <f>SUM(E386)</f>
        <v>69.431709999999995</v>
      </c>
      <c r="F385" s="252">
        <f>F386</f>
        <v>461.23171000000002</v>
      </c>
      <c r="G385" s="252">
        <v>0</v>
      </c>
      <c r="H385" s="306"/>
      <c r="I385" s="252">
        <v>0</v>
      </c>
      <c r="J385" s="252">
        <v>0</v>
      </c>
      <c r="K385" s="252"/>
      <c r="L385" s="252">
        <v>0</v>
      </c>
    </row>
    <row r="386" spans="1:12" s="1" customFormat="1" ht="26.25" x14ac:dyDescent="0.25">
      <c r="A386" s="52"/>
      <c r="B386" s="7" t="s">
        <v>12</v>
      </c>
      <c r="C386" s="6" t="s">
        <v>11</v>
      </c>
      <c r="D386" s="252">
        <v>391.8</v>
      </c>
      <c r="E386" s="253">
        <v>69.431709999999995</v>
      </c>
      <c r="F386" s="252">
        <f>SUM(D386:E386)</f>
        <v>461.23171000000002</v>
      </c>
      <c r="G386" s="252">
        <v>0</v>
      </c>
      <c r="H386" s="306"/>
      <c r="I386" s="252">
        <v>0</v>
      </c>
      <c r="J386" s="252">
        <v>0</v>
      </c>
      <c r="K386" s="252"/>
      <c r="L386" s="252">
        <v>0</v>
      </c>
    </row>
    <row r="387" spans="1:12" s="1" customFormat="1" ht="26.25" x14ac:dyDescent="0.25">
      <c r="A387" s="52" t="s">
        <v>890</v>
      </c>
      <c r="B387" s="318"/>
      <c r="C387" s="323" t="s">
        <v>891</v>
      </c>
      <c r="D387" s="320">
        <f>D388</f>
        <v>586.4</v>
      </c>
      <c r="E387" s="320">
        <f>E388</f>
        <v>-6.3399999999999998E-2</v>
      </c>
      <c r="F387" s="320">
        <f>F388</f>
        <v>586.33659999999998</v>
      </c>
      <c r="G387" s="320">
        <f>G388</f>
        <v>0</v>
      </c>
      <c r="H387" s="320"/>
      <c r="I387" s="320">
        <f>I388</f>
        <v>0</v>
      </c>
      <c r="J387" s="320">
        <f>J388</f>
        <v>0</v>
      </c>
      <c r="K387" s="320"/>
      <c r="L387" s="320">
        <f>L388</f>
        <v>0</v>
      </c>
    </row>
    <row r="388" spans="1:12" s="1" customFormat="1" ht="26.25" x14ac:dyDescent="0.25">
      <c r="A388" s="52"/>
      <c r="B388" s="7" t="s">
        <v>12</v>
      </c>
      <c r="C388" s="6" t="s">
        <v>11</v>
      </c>
      <c r="D388" s="320">
        <v>586.4</v>
      </c>
      <c r="E388" s="445">
        <v>-6.3399999999999998E-2</v>
      </c>
      <c r="F388" s="320">
        <f>SUM(D388:E388)</f>
        <v>586.33659999999998</v>
      </c>
      <c r="G388" s="320">
        <v>0</v>
      </c>
      <c r="H388" s="320"/>
      <c r="I388" s="320">
        <v>0</v>
      </c>
      <c r="J388" s="320">
        <v>0</v>
      </c>
      <c r="K388" s="320"/>
      <c r="L388" s="320">
        <v>0</v>
      </c>
    </row>
    <row r="389" spans="1:12" s="1" customFormat="1" ht="26.25" x14ac:dyDescent="0.25">
      <c r="A389" s="208" t="s">
        <v>303</v>
      </c>
      <c r="B389" s="216"/>
      <c r="C389" s="220" t="s">
        <v>302</v>
      </c>
      <c r="D389" s="251">
        <f>D390+D392+D394+D396+D399+D401+D403</f>
        <v>2662.3074999999999</v>
      </c>
      <c r="E389" s="251">
        <f>E390+E392+E394+E396+E399+E401+E403</f>
        <v>0</v>
      </c>
      <c r="F389" s="251">
        <f t="shared" ref="F389:L389" si="45">F390+F392+F394+F396+F399+F401+F403</f>
        <v>2662.3074999999999</v>
      </c>
      <c r="G389" s="251">
        <f t="shared" si="45"/>
        <v>2955.6</v>
      </c>
      <c r="H389" s="251"/>
      <c r="I389" s="251">
        <f t="shared" si="45"/>
        <v>2955.6</v>
      </c>
      <c r="J389" s="251">
        <f t="shared" si="45"/>
        <v>590.29999999999995</v>
      </c>
      <c r="K389" s="251"/>
      <c r="L389" s="251">
        <f t="shared" si="45"/>
        <v>590.29999999999995</v>
      </c>
    </row>
    <row r="390" spans="1:12" s="1" customFormat="1" ht="15" x14ac:dyDescent="0.25">
      <c r="A390" s="7" t="s">
        <v>729</v>
      </c>
      <c r="B390" s="7"/>
      <c r="C390" s="6" t="s">
        <v>600</v>
      </c>
      <c r="D390" s="252">
        <f>D391</f>
        <v>394.4</v>
      </c>
      <c r="E390" s="252"/>
      <c r="F390" s="252">
        <f>F391</f>
        <v>394.4</v>
      </c>
      <c r="G390" s="252">
        <f>G391</f>
        <v>394.4</v>
      </c>
      <c r="H390" s="306"/>
      <c r="I390" s="252">
        <f>I391</f>
        <v>394.4</v>
      </c>
      <c r="J390" s="252">
        <f>J391</f>
        <v>394.4</v>
      </c>
      <c r="K390" s="252"/>
      <c r="L390" s="252">
        <f>L391</f>
        <v>394.4</v>
      </c>
    </row>
    <row r="391" spans="1:12" s="1" customFormat="1" ht="39" x14ac:dyDescent="0.25">
      <c r="A391" s="81"/>
      <c r="B391" s="7" t="s">
        <v>57</v>
      </c>
      <c r="C391" s="6" t="s">
        <v>56</v>
      </c>
      <c r="D391" s="252">
        <v>394.4</v>
      </c>
      <c r="E391" s="252"/>
      <c r="F391" s="252">
        <v>394.4</v>
      </c>
      <c r="G391" s="252">
        <v>394.4</v>
      </c>
      <c r="H391" s="306"/>
      <c r="I391" s="252">
        <v>394.4</v>
      </c>
      <c r="J391" s="252">
        <v>394.4</v>
      </c>
      <c r="K391" s="252"/>
      <c r="L391" s="252">
        <v>394.4</v>
      </c>
    </row>
    <row r="392" spans="1:12" s="1" customFormat="1" ht="39" x14ac:dyDescent="0.25">
      <c r="A392" s="7" t="s">
        <v>601</v>
      </c>
      <c r="B392" s="7"/>
      <c r="C392" s="6" t="s">
        <v>602</v>
      </c>
      <c r="D392" s="252">
        <f>D393</f>
        <v>580</v>
      </c>
      <c r="E392" s="252"/>
      <c r="F392" s="252">
        <f>F393</f>
        <v>580</v>
      </c>
      <c r="G392" s="252">
        <f>G393</f>
        <v>0</v>
      </c>
      <c r="H392" s="306"/>
      <c r="I392" s="252">
        <f>I393</f>
        <v>0</v>
      </c>
      <c r="J392" s="252">
        <f>J393</f>
        <v>0</v>
      </c>
      <c r="K392" s="252"/>
      <c r="L392" s="252">
        <f>L393</f>
        <v>0</v>
      </c>
    </row>
    <row r="393" spans="1:12" s="1" customFormat="1" ht="26.25" x14ac:dyDescent="0.25">
      <c r="A393" s="81"/>
      <c r="B393" s="7" t="s">
        <v>12</v>
      </c>
      <c r="C393" s="6" t="s">
        <v>11</v>
      </c>
      <c r="D393" s="252">
        <v>580</v>
      </c>
      <c r="E393" s="252"/>
      <c r="F393" s="252">
        <f>SUM(D393:E393)</f>
        <v>580</v>
      </c>
      <c r="G393" s="252"/>
      <c r="H393" s="306"/>
      <c r="I393" s="252"/>
      <c r="J393" s="252"/>
      <c r="K393" s="252"/>
      <c r="L393" s="252"/>
    </row>
    <row r="394" spans="1:12" s="1" customFormat="1" ht="15" x14ac:dyDescent="0.25">
      <c r="A394" s="7" t="s">
        <v>325</v>
      </c>
      <c r="B394" s="78"/>
      <c r="C394" s="6" t="s">
        <v>324</v>
      </c>
      <c r="D394" s="252">
        <f>D395</f>
        <v>0</v>
      </c>
      <c r="E394" s="252"/>
      <c r="F394" s="252">
        <f>F395</f>
        <v>0</v>
      </c>
      <c r="G394" s="252">
        <f>G395</f>
        <v>627.29999999999995</v>
      </c>
      <c r="H394" s="306"/>
      <c r="I394" s="252">
        <f>I395</f>
        <v>627.29999999999995</v>
      </c>
      <c r="J394" s="252">
        <f>J395</f>
        <v>195.9</v>
      </c>
      <c r="K394" s="252"/>
      <c r="L394" s="252">
        <f>L395</f>
        <v>195.9</v>
      </c>
    </row>
    <row r="395" spans="1:12" s="1" customFormat="1" ht="26.25" x14ac:dyDescent="0.25">
      <c r="A395" s="57"/>
      <c r="B395" s="7" t="s">
        <v>12</v>
      </c>
      <c r="C395" s="6" t="s">
        <v>11</v>
      </c>
      <c r="D395" s="252"/>
      <c r="E395" s="252"/>
      <c r="F395" s="252"/>
      <c r="G395" s="252">
        <v>627.29999999999995</v>
      </c>
      <c r="H395" s="306"/>
      <c r="I395" s="252">
        <v>627.29999999999995</v>
      </c>
      <c r="J395" s="252">
        <v>195.9</v>
      </c>
      <c r="K395" s="252"/>
      <c r="L395" s="252">
        <v>195.9</v>
      </c>
    </row>
    <row r="396" spans="1:12" s="1" customFormat="1" ht="26.25" x14ac:dyDescent="0.25">
      <c r="A396" s="7" t="s">
        <v>361</v>
      </c>
      <c r="B396" s="69"/>
      <c r="C396" s="12" t="s">
        <v>360</v>
      </c>
      <c r="D396" s="252">
        <f>D397</f>
        <v>648.5</v>
      </c>
      <c r="E396" s="252"/>
      <c r="F396" s="252">
        <f>F397</f>
        <v>648.5</v>
      </c>
      <c r="G396" s="252">
        <f>G397+G398</f>
        <v>1576.3</v>
      </c>
      <c r="H396" s="252"/>
      <c r="I396" s="252">
        <f>I397+I398</f>
        <v>1576.3</v>
      </c>
      <c r="J396" s="252">
        <f>J397</f>
        <v>0</v>
      </c>
      <c r="K396" s="252"/>
      <c r="L396" s="252">
        <f>L397</f>
        <v>0</v>
      </c>
    </row>
    <row r="397" spans="1:12" s="1" customFormat="1" ht="26.25" x14ac:dyDescent="0.25">
      <c r="A397" s="7"/>
      <c r="B397" s="7" t="s">
        <v>12</v>
      </c>
      <c r="C397" s="6" t="s">
        <v>11</v>
      </c>
      <c r="D397" s="252">
        <v>648.5</v>
      </c>
      <c r="E397" s="252"/>
      <c r="F397" s="252">
        <v>648.5</v>
      </c>
      <c r="G397" s="252">
        <v>154</v>
      </c>
      <c r="H397" s="306"/>
      <c r="I397" s="252">
        <v>154</v>
      </c>
      <c r="J397" s="252">
        <v>0</v>
      </c>
      <c r="K397" s="252"/>
      <c r="L397" s="252">
        <v>0</v>
      </c>
    </row>
    <row r="398" spans="1:12" s="1" customFormat="1" ht="39" x14ac:dyDescent="0.25">
      <c r="A398" s="390"/>
      <c r="B398" s="7" t="s">
        <v>57</v>
      </c>
      <c r="C398" s="6" t="s">
        <v>56</v>
      </c>
      <c r="D398" s="396">
        <v>0</v>
      </c>
      <c r="E398" s="396"/>
      <c r="F398" s="396">
        <v>0</v>
      </c>
      <c r="G398" s="396">
        <v>1422.3</v>
      </c>
      <c r="H398" s="396"/>
      <c r="I398" s="396">
        <f>0+1422.3</f>
        <v>1422.3</v>
      </c>
      <c r="J398" s="396"/>
      <c r="K398" s="396"/>
      <c r="L398" s="396"/>
    </row>
    <row r="399" spans="1:12" s="1" customFormat="1" ht="39" x14ac:dyDescent="0.25">
      <c r="A399" s="7" t="s">
        <v>301</v>
      </c>
      <c r="B399" s="7"/>
      <c r="C399" s="6" t="s">
        <v>300</v>
      </c>
      <c r="D399" s="252">
        <f>D400</f>
        <v>36.1</v>
      </c>
      <c r="E399" s="252"/>
      <c r="F399" s="252">
        <f>F400</f>
        <v>36.1</v>
      </c>
      <c r="G399" s="252">
        <f>G400</f>
        <v>0</v>
      </c>
      <c r="H399" s="306"/>
      <c r="I399" s="252">
        <f>I400</f>
        <v>0</v>
      </c>
      <c r="J399" s="252">
        <f>J400</f>
        <v>0</v>
      </c>
      <c r="K399" s="252"/>
      <c r="L399" s="252">
        <f>L400</f>
        <v>0</v>
      </c>
    </row>
    <row r="400" spans="1:12" s="1" customFormat="1" ht="26.25" x14ac:dyDescent="0.25">
      <c r="A400" s="7"/>
      <c r="B400" s="7" t="s">
        <v>12</v>
      </c>
      <c r="C400" s="6" t="s">
        <v>11</v>
      </c>
      <c r="D400" s="252">
        <v>36.1</v>
      </c>
      <c r="E400" s="252"/>
      <c r="F400" s="252">
        <v>36.1</v>
      </c>
      <c r="G400" s="252">
        <v>0</v>
      </c>
      <c r="H400" s="306"/>
      <c r="I400" s="252">
        <v>0</v>
      </c>
      <c r="J400" s="252">
        <v>0</v>
      </c>
      <c r="K400" s="252"/>
      <c r="L400" s="252">
        <v>0</v>
      </c>
    </row>
    <row r="401" spans="1:12" s="1" customFormat="1" ht="26.25" x14ac:dyDescent="0.25">
      <c r="A401" s="7" t="s">
        <v>323</v>
      </c>
      <c r="B401" s="69"/>
      <c r="C401" s="12" t="s">
        <v>322</v>
      </c>
      <c r="D401" s="252">
        <f>D402</f>
        <v>591.9</v>
      </c>
      <c r="E401" s="253"/>
      <c r="F401" s="252">
        <f>F402</f>
        <v>591.9</v>
      </c>
      <c r="G401" s="252">
        <f>G402</f>
        <v>357.6</v>
      </c>
      <c r="H401" s="306"/>
      <c r="I401" s="252">
        <f>I402</f>
        <v>357.6</v>
      </c>
      <c r="J401" s="252">
        <f>J402</f>
        <v>0</v>
      </c>
      <c r="K401" s="252"/>
      <c r="L401" s="252">
        <f>L402</f>
        <v>0</v>
      </c>
    </row>
    <row r="402" spans="1:12" s="1" customFormat="1" ht="26.25" x14ac:dyDescent="0.25">
      <c r="A402" s="81"/>
      <c r="B402" s="7" t="s">
        <v>12</v>
      </c>
      <c r="C402" s="6" t="s">
        <v>11</v>
      </c>
      <c r="D402" s="252">
        <v>591.9</v>
      </c>
      <c r="E402" s="252"/>
      <c r="F402" s="252">
        <f>SUM(D402:E402)</f>
        <v>591.9</v>
      </c>
      <c r="G402" s="252">
        <v>357.6</v>
      </c>
      <c r="H402" s="306"/>
      <c r="I402" s="252">
        <v>357.6</v>
      </c>
      <c r="J402" s="252">
        <v>0</v>
      </c>
      <c r="K402" s="252"/>
      <c r="L402" s="252">
        <v>0</v>
      </c>
    </row>
    <row r="403" spans="1:12" s="1" customFormat="1" ht="102.75" x14ac:dyDescent="0.25">
      <c r="A403" s="7" t="s">
        <v>611</v>
      </c>
      <c r="B403" s="7"/>
      <c r="C403" s="6" t="s">
        <v>730</v>
      </c>
      <c r="D403" s="252">
        <f>D404</f>
        <v>411.40750000000003</v>
      </c>
      <c r="E403" s="252"/>
      <c r="F403" s="252">
        <f>F404</f>
        <v>411.40750000000003</v>
      </c>
      <c r="G403" s="252">
        <v>0</v>
      </c>
      <c r="H403" s="306"/>
      <c r="I403" s="252">
        <v>0</v>
      </c>
      <c r="J403" s="252">
        <v>0</v>
      </c>
      <c r="K403" s="252"/>
      <c r="L403" s="252">
        <v>0</v>
      </c>
    </row>
    <row r="404" spans="1:12" s="1" customFormat="1" ht="26.25" x14ac:dyDescent="0.25">
      <c r="A404" s="81"/>
      <c r="B404" s="7" t="s">
        <v>12</v>
      </c>
      <c r="C404" s="6" t="s">
        <v>11</v>
      </c>
      <c r="D404" s="252">
        <f>D405</f>
        <v>411.40750000000003</v>
      </c>
      <c r="E404" s="252"/>
      <c r="F404" s="252">
        <f>F405</f>
        <v>411.40750000000003</v>
      </c>
      <c r="G404" s="252">
        <v>0</v>
      </c>
      <c r="H404" s="306"/>
      <c r="I404" s="252">
        <v>0</v>
      </c>
      <c r="J404" s="252">
        <v>0</v>
      </c>
      <c r="K404" s="252"/>
      <c r="L404" s="252">
        <v>0</v>
      </c>
    </row>
    <row r="405" spans="1:12" s="1" customFormat="1" ht="15" x14ac:dyDescent="0.25">
      <c r="A405" s="81"/>
      <c r="B405" s="7"/>
      <c r="C405" s="6" t="s">
        <v>77</v>
      </c>
      <c r="D405" s="252">
        <v>411.40750000000003</v>
      </c>
      <c r="E405" s="252"/>
      <c r="F405" s="252">
        <v>411.40750000000003</v>
      </c>
      <c r="G405" s="252">
        <v>0</v>
      </c>
      <c r="H405" s="306"/>
      <c r="I405" s="252">
        <v>0</v>
      </c>
      <c r="J405" s="252">
        <v>0</v>
      </c>
      <c r="K405" s="252"/>
      <c r="L405" s="252">
        <v>0</v>
      </c>
    </row>
    <row r="406" spans="1:12" s="1" customFormat="1" ht="51.75" x14ac:dyDescent="0.25">
      <c r="A406" s="208" t="s">
        <v>448</v>
      </c>
      <c r="B406" s="216"/>
      <c r="C406" s="220" t="s">
        <v>447</v>
      </c>
      <c r="D406" s="251">
        <f t="shared" ref="D406:L407" si="46">D407</f>
        <v>119</v>
      </c>
      <c r="E406" s="251"/>
      <c r="F406" s="251">
        <f t="shared" si="46"/>
        <v>119</v>
      </c>
      <c r="G406" s="251">
        <f t="shared" si="46"/>
        <v>119</v>
      </c>
      <c r="H406" s="310"/>
      <c r="I406" s="251">
        <f t="shared" si="46"/>
        <v>119</v>
      </c>
      <c r="J406" s="251">
        <f t="shared" si="46"/>
        <v>119</v>
      </c>
      <c r="K406" s="251"/>
      <c r="L406" s="251">
        <f t="shared" si="46"/>
        <v>119</v>
      </c>
    </row>
    <row r="407" spans="1:12" s="1" customFormat="1" ht="51.75" x14ac:dyDescent="0.25">
      <c r="A407" s="52" t="s">
        <v>446</v>
      </c>
      <c r="B407" s="52"/>
      <c r="C407" s="6" t="s">
        <v>445</v>
      </c>
      <c r="D407" s="252">
        <f t="shared" si="46"/>
        <v>119</v>
      </c>
      <c r="E407" s="252"/>
      <c r="F407" s="252">
        <f t="shared" si="46"/>
        <v>119</v>
      </c>
      <c r="G407" s="252">
        <f t="shared" si="46"/>
        <v>119</v>
      </c>
      <c r="H407" s="306"/>
      <c r="I407" s="252">
        <f t="shared" si="46"/>
        <v>119</v>
      </c>
      <c r="J407" s="252">
        <f t="shared" si="46"/>
        <v>119</v>
      </c>
      <c r="K407" s="252"/>
      <c r="L407" s="252">
        <f t="shared" si="46"/>
        <v>119</v>
      </c>
    </row>
    <row r="408" spans="1:12" s="1" customFormat="1" ht="26.25" x14ac:dyDescent="0.25">
      <c r="A408" s="52"/>
      <c r="B408" s="7" t="s">
        <v>12</v>
      </c>
      <c r="C408" s="6" t="s">
        <v>11</v>
      </c>
      <c r="D408" s="252">
        <f>892.1-773.1</f>
        <v>119</v>
      </c>
      <c r="E408" s="252"/>
      <c r="F408" s="252">
        <f>892.1-773.1</f>
        <v>119</v>
      </c>
      <c r="G408" s="252">
        <f>826.8-707.8</f>
        <v>119</v>
      </c>
      <c r="H408" s="306"/>
      <c r="I408" s="252">
        <f>826.8-707.8</f>
        <v>119</v>
      </c>
      <c r="J408" s="252">
        <f>689.7-570.7</f>
        <v>119</v>
      </c>
      <c r="K408" s="252"/>
      <c r="L408" s="252">
        <f>689.7-570.7</f>
        <v>119</v>
      </c>
    </row>
    <row r="409" spans="1:12" s="1" customFormat="1" ht="26.25" x14ac:dyDescent="0.25">
      <c r="A409" s="208" t="s">
        <v>321</v>
      </c>
      <c r="B409" s="208"/>
      <c r="C409" s="220" t="s">
        <v>320</v>
      </c>
      <c r="D409" s="251">
        <f t="shared" ref="D409:L410" si="47">D410</f>
        <v>22263.4</v>
      </c>
      <c r="E409" s="251">
        <f t="shared" si="47"/>
        <v>248</v>
      </c>
      <c r="F409" s="251">
        <f t="shared" si="47"/>
        <v>22511.4</v>
      </c>
      <c r="G409" s="251">
        <f t="shared" si="47"/>
        <v>22263.4</v>
      </c>
      <c r="H409" s="310"/>
      <c r="I409" s="251">
        <f t="shared" si="47"/>
        <v>22263.4</v>
      </c>
      <c r="J409" s="251">
        <f t="shared" si="47"/>
        <v>22263.4</v>
      </c>
      <c r="K409" s="251"/>
      <c r="L409" s="251">
        <f t="shared" si="47"/>
        <v>22263.4</v>
      </c>
    </row>
    <row r="410" spans="1:12" s="1" customFormat="1" ht="26.25" x14ac:dyDescent="0.25">
      <c r="A410" s="7" t="s">
        <v>319</v>
      </c>
      <c r="B410" s="7"/>
      <c r="C410" s="108" t="s">
        <v>318</v>
      </c>
      <c r="D410" s="252">
        <f t="shared" si="47"/>
        <v>22263.4</v>
      </c>
      <c r="E410" s="252">
        <f t="shared" si="47"/>
        <v>248</v>
      </c>
      <c r="F410" s="252">
        <f t="shared" si="47"/>
        <v>22511.4</v>
      </c>
      <c r="G410" s="252">
        <f t="shared" si="47"/>
        <v>22263.4</v>
      </c>
      <c r="H410" s="306"/>
      <c r="I410" s="252">
        <f t="shared" si="47"/>
        <v>22263.4</v>
      </c>
      <c r="J410" s="252">
        <f t="shared" si="47"/>
        <v>22263.4</v>
      </c>
      <c r="K410" s="252"/>
      <c r="L410" s="252">
        <f t="shared" si="47"/>
        <v>22263.4</v>
      </c>
    </row>
    <row r="411" spans="1:12" s="1" customFormat="1" ht="39" x14ac:dyDescent="0.25">
      <c r="A411" s="7"/>
      <c r="B411" s="7" t="s">
        <v>57</v>
      </c>
      <c r="C411" s="6" t="s">
        <v>56</v>
      </c>
      <c r="D411" s="252">
        <v>22263.4</v>
      </c>
      <c r="E411" s="252">
        <v>248</v>
      </c>
      <c r="F411" s="252">
        <f>SUM(D411:E411)</f>
        <v>22511.4</v>
      </c>
      <c r="G411" s="252">
        <v>22263.4</v>
      </c>
      <c r="H411" s="306"/>
      <c r="I411" s="252">
        <v>22263.4</v>
      </c>
      <c r="J411" s="252">
        <v>22263.4</v>
      </c>
      <c r="K411" s="252"/>
      <c r="L411" s="252">
        <v>22263.4</v>
      </c>
    </row>
    <row r="412" spans="1:12" s="1" customFormat="1" ht="26.25" x14ac:dyDescent="0.25">
      <c r="A412" s="208" t="s">
        <v>844</v>
      </c>
      <c r="B412" s="216"/>
      <c r="C412" s="220" t="s">
        <v>839</v>
      </c>
      <c r="D412" s="251">
        <f>D413+D417</f>
        <v>1839.48361</v>
      </c>
      <c r="E412" s="251">
        <f>E413+E417</f>
        <v>-30.766660000000002</v>
      </c>
      <c r="F412" s="251">
        <f t="shared" ref="F412:L412" si="48">F413+F417</f>
        <v>1808.71695</v>
      </c>
      <c r="G412" s="251">
        <f t="shared" si="48"/>
        <v>715.17863</v>
      </c>
      <c r="H412" s="251"/>
      <c r="I412" s="251">
        <f t="shared" si="48"/>
        <v>715.17863</v>
      </c>
      <c r="J412" s="251">
        <f t="shared" si="48"/>
        <v>0</v>
      </c>
      <c r="K412" s="251">
        <v>0</v>
      </c>
      <c r="L412" s="251">
        <f t="shared" si="48"/>
        <v>0</v>
      </c>
    </row>
    <row r="413" spans="1:12" s="1" customFormat="1" ht="51.75" x14ac:dyDescent="0.25">
      <c r="A413" s="7" t="s">
        <v>845</v>
      </c>
      <c r="B413" s="7"/>
      <c r="C413" s="12" t="s">
        <v>610</v>
      </c>
      <c r="D413" s="252">
        <f t="shared" ref="D413:J413" si="49">D414</f>
        <v>1198.71695</v>
      </c>
      <c r="E413" s="252"/>
      <c r="F413" s="252">
        <f t="shared" si="49"/>
        <v>1198.71695</v>
      </c>
      <c r="G413" s="252">
        <f t="shared" si="49"/>
        <v>715.17863</v>
      </c>
      <c r="H413" s="252"/>
      <c r="I413" s="252">
        <f t="shared" si="49"/>
        <v>715.17863</v>
      </c>
      <c r="J413" s="252">
        <f t="shared" si="49"/>
        <v>0</v>
      </c>
      <c r="K413" s="252"/>
      <c r="L413" s="252">
        <f>L414</f>
        <v>0</v>
      </c>
    </row>
    <row r="414" spans="1:12" s="1" customFormat="1" ht="26.25" x14ac:dyDescent="0.25">
      <c r="A414" s="7"/>
      <c r="B414" s="7" t="s">
        <v>12</v>
      </c>
      <c r="C414" s="6" t="s">
        <v>11</v>
      </c>
      <c r="D414" s="252">
        <f>D416+D415</f>
        <v>1198.71695</v>
      </c>
      <c r="E414" s="252"/>
      <c r="F414" s="252">
        <f>F416+F415</f>
        <v>1198.71695</v>
      </c>
      <c r="G414" s="252">
        <f>G415+G416</f>
        <v>715.17863</v>
      </c>
      <c r="H414" s="252"/>
      <c r="I414" s="252">
        <f>I416+I415</f>
        <v>715.17863</v>
      </c>
      <c r="J414" s="252">
        <f>J416</f>
        <v>0</v>
      </c>
      <c r="K414" s="252"/>
      <c r="L414" s="252">
        <f>L416</f>
        <v>0</v>
      </c>
    </row>
    <row r="415" spans="1:12" s="1" customFormat="1" ht="15" x14ac:dyDescent="0.25">
      <c r="A415" s="7"/>
      <c r="B415" s="7"/>
      <c r="C415" s="6" t="s">
        <v>718</v>
      </c>
      <c r="D415" s="252">
        <v>840.91519000000005</v>
      </c>
      <c r="E415" s="252"/>
      <c r="F415" s="252">
        <v>840.91519000000005</v>
      </c>
      <c r="G415" s="252">
        <v>643.66075999999998</v>
      </c>
      <c r="H415" s="252"/>
      <c r="I415" s="252">
        <v>643.66075999999998</v>
      </c>
      <c r="J415" s="252">
        <v>0</v>
      </c>
      <c r="K415" s="252"/>
      <c r="L415" s="252">
        <v>0</v>
      </c>
    </row>
    <row r="416" spans="1:12" s="1" customFormat="1" ht="15" x14ac:dyDescent="0.25">
      <c r="A416" s="81"/>
      <c r="B416" s="7"/>
      <c r="C416" s="6" t="s">
        <v>77</v>
      </c>
      <c r="D416" s="252">
        <v>357.80176</v>
      </c>
      <c r="E416" s="252"/>
      <c r="F416" s="252">
        <v>357.80176</v>
      </c>
      <c r="G416" s="252">
        <v>71.517870000000002</v>
      </c>
      <c r="H416" s="252"/>
      <c r="I416" s="252">
        <v>71.517870000000002</v>
      </c>
      <c r="J416" s="252">
        <v>0</v>
      </c>
      <c r="K416" s="252"/>
      <c r="L416" s="252">
        <v>0</v>
      </c>
    </row>
    <row r="417" spans="1:12" s="1" customFormat="1" ht="26.25" x14ac:dyDescent="0.25">
      <c r="A417" s="7" t="s">
        <v>846</v>
      </c>
      <c r="B417" s="318"/>
      <c r="C417" s="321" t="s">
        <v>847</v>
      </c>
      <c r="D417" s="320">
        <f>D418</f>
        <v>640.76666</v>
      </c>
      <c r="E417" s="320">
        <f>E418</f>
        <v>-30.766660000000002</v>
      </c>
      <c r="F417" s="320">
        <f t="shared" ref="F417:L417" si="50">F418</f>
        <v>610</v>
      </c>
      <c r="G417" s="320">
        <f t="shared" si="50"/>
        <v>0</v>
      </c>
      <c r="H417" s="320"/>
      <c r="I417" s="320">
        <f t="shared" si="50"/>
        <v>0</v>
      </c>
      <c r="J417" s="320">
        <f t="shared" si="50"/>
        <v>0</v>
      </c>
      <c r="K417" s="320"/>
      <c r="L417" s="320">
        <f t="shared" si="50"/>
        <v>0</v>
      </c>
    </row>
    <row r="418" spans="1:12" s="1" customFormat="1" ht="26.25" x14ac:dyDescent="0.25">
      <c r="A418" s="324"/>
      <c r="B418" s="7" t="s">
        <v>12</v>
      </c>
      <c r="C418" s="6" t="s">
        <v>11</v>
      </c>
      <c r="D418" s="320">
        <f>D419</f>
        <v>640.76666</v>
      </c>
      <c r="E418" s="320">
        <f>E419</f>
        <v>-30.766660000000002</v>
      </c>
      <c r="F418" s="320">
        <f>F419</f>
        <v>610</v>
      </c>
      <c r="G418" s="320">
        <v>0</v>
      </c>
      <c r="H418" s="320"/>
      <c r="I418" s="320">
        <v>0</v>
      </c>
      <c r="J418" s="320">
        <v>0</v>
      </c>
      <c r="K418" s="320"/>
      <c r="L418" s="320">
        <v>0</v>
      </c>
    </row>
    <row r="419" spans="1:12" s="1" customFormat="1" ht="15" x14ac:dyDescent="0.25">
      <c r="A419" s="324"/>
      <c r="B419" s="318"/>
      <c r="C419" s="6" t="s">
        <v>77</v>
      </c>
      <c r="D419" s="320">
        <v>640.76666</v>
      </c>
      <c r="E419" s="320">
        <v>-30.766660000000002</v>
      </c>
      <c r="F419" s="320">
        <f>SUM(D419:E419)</f>
        <v>610</v>
      </c>
      <c r="G419" s="320">
        <v>0</v>
      </c>
      <c r="H419" s="320"/>
      <c r="I419" s="320">
        <v>0</v>
      </c>
      <c r="J419" s="320">
        <v>0</v>
      </c>
      <c r="K419" s="320"/>
      <c r="L419" s="320">
        <v>0</v>
      </c>
    </row>
    <row r="420" spans="1:12" s="1" customFormat="1" ht="39" x14ac:dyDescent="0.25">
      <c r="A420" s="30" t="s">
        <v>359</v>
      </c>
      <c r="B420" s="30"/>
      <c r="C420" s="77" t="s">
        <v>358</v>
      </c>
      <c r="D420" s="250">
        <f>D421+D437</f>
        <v>22623.529309999998</v>
      </c>
      <c r="E420" s="250">
        <f>E421+E437</f>
        <v>-23.001779999999989</v>
      </c>
      <c r="F420" s="250">
        <f>F421+F437</f>
        <v>22600.527529999999</v>
      </c>
      <c r="G420" s="250">
        <f>G421</f>
        <v>2323.6</v>
      </c>
      <c r="H420" s="309"/>
      <c r="I420" s="250">
        <f>I421</f>
        <v>2323.6</v>
      </c>
      <c r="J420" s="250">
        <f>J421</f>
        <v>3993.1</v>
      </c>
      <c r="K420" s="250"/>
      <c r="L420" s="250">
        <f>L421</f>
        <v>3993.1</v>
      </c>
    </row>
    <row r="421" spans="1:12" s="1" customFormat="1" ht="51.75" x14ac:dyDescent="0.25">
      <c r="A421" s="208" t="s">
        <v>357</v>
      </c>
      <c r="B421" s="208"/>
      <c r="C421" s="220" t="s">
        <v>356</v>
      </c>
      <c r="D421" s="251">
        <f>D422++D425++D427+D429+D431+D433+D435</f>
        <v>14101.8</v>
      </c>
      <c r="E421" s="251">
        <f>E422++E425++E427+E429+E431+E433+E435</f>
        <v>-23.001779999999989</v>
      </c>
      <c r="F421" s="251">
        <f t="shared" ref="F421:L421" si="51">F422++F425++F427+F429+F431+F433+F435</f>
        <v>14078.798220000001</v>
      </c>
      <c r="G421" s="251">
        <f t="shared" si="51"/>
        <v>2323.6</v>
      </c>
      <c r="H421" s="251"/>
      <c r="I421" s="251">
        <f t="shared" si="51"/>
        <v>2323.6</v>
      </c>
      <c r="J421" s="251">
        <f t="shared" si="51"/>
        <v>3993.1</v>
      </c>
      <c r="K421" s="251"/>
      <c r="L421" s="251">
        <f t="shared" si="51"/>
        <v>3993.1</v>
      </c>
    </row>
    <row r="422" spans="1:12" s="1" customFormat="1" ht="26.25" x14ac:dyDescent="0.25">
      <c r="A422" s="7" t="s">
        <v>353</v>
      </c>
      <c r="B422" s="7"/>
      <c r="C422" s="12" t="s">
        <v>352</v>
      </c>
      <c r="D422" s="252">
        <f>D423</f>
        <v>2304.9</v>
      </c>
      <c r="E422" s="252">
        <f>E423</f>
        <v>381.62563</v>
      </c>
      <c r="F422" s="252">
        <f>F423</f>
        <v>2686.5256300000001</v>
      </c>
      <c r="G422" s="252">
        <f>G423</f>
        <v>2323.6</v>
      </c>
      <c r="H422" s="306"/>
      <c r="I422" s="252">
        <f>I423</f>
        <v>2323.6</v>
      </c>
      <c r="J422" s="252">
        <f>J423</f>
        <v>3993.1</v>
      </c>
      <c r="K422" s="252"/>
      <c r="L422" s="252">
        <f>L423</f>
        <v>3993.1</v>
      </c>
    </row>
    <row r="423" spans="1:12" s="1" customFormat="1" ht="26.25" x14ac:dyDescent="0.25">
      <c r="A423" s="57"/>
      <c r="B423" s="7" t="s">
        <v>12</v>
      </c>
      <c r="C423" s="6" t="s">
        <v>11</v>
      </c>
      <c r="D423" s="252">
        <v>2304.9</v>
      </c>
      <c r="E423" s="252">
        <v>381.62563</v>
      </c>
      <c r="F423" s="252">
        <f>SUM(D423:E423)</f>
        <v>2686.5256300000001</v>
      </c>
      <c r="G423" s="252">
        <v>2323.6</v>
      </c>
      <c r="H423" s="306"/>
      <c r="I423" s="252">
        <v>2323.6</v>
      </c>
      <c r="J423" s="252">
        <v>3993.1</v>
      </c>
      <c r="K423" s="252"/>
      <c r="L423" s="252">
        <v>3993.1</v>
      </c>
    </row>
    <row r="424" spans="1:12" s="1" customFormat="1" ht="39" x14ac:dyDescent="0.25">
      <c r="A424" s="57"/>
      <c r="B424" s="7" t="s">
        <v>57</v>
      </c>
      <c r="C424" s="6" t="s">
        <v>56</v>
      </c>
      <c r="D424" s="252">
        <v>0</v>
      </c>
      <c r="E424" s="252"/>
      <c r="F424" s="252">
        <v>0</v>
      </c>
      <c r="G424" s="252">
        <v>0</v>
      </c>
      <c r="H424" s="306"/>
      <c r="I424" s="252">
        <v>0</v>
      </c>
      <c r="J424" s="252">
        <v>0</v>
      </c>
      <c r="K424" s="252"/>
      <c r="L424" s="252">
        <v>0</v>
      </c>
    </row>
    <row r="425" spans="1:12" s="1" customFormat="1" ht="64.5" x14ac:dyDescent="0.25">
      <c r="A425" s="7" t="s">
        <v>351</v>
      </c>
      <c r="B425" s="7"/>
      <c r="C425" s="6" t="s">
        <v>639</v>
      </c>
      <c r="D425" s="252">
        <f>D426</f>
        <v>507.3</v>
      </c>
      <c r="E425" s="252">
        <f>E426</f>
        <v>-228.63499999999999</v>
      </c>
      <c r="F425" s="252">
        <f>F426</f>
        <v>278.66500000000002</v>
      </c>
      <c r="G425" s="252">
        <f>G426</f>
        <v>0</v>
      </c>
      <c r="H425" s="306"/>
      <c r="I425" s="252">
        <f>I426</f>
        <v>0</v>
      </c>
      <c r="J425" s="252">
        <f>J426</f>
        <v>0</v>
      </c>
      <c r="K425" s="252"/>
      <c r="L425" s="252">
        <f>L426</f>
        <v>0</v>
      </c>
    </row>
    <row r="426" spans="1:12" s="1" customFormat="1" ht="26.25" x14ac:dyDescent="0.25">
      <c r="A426" s="7"/>
      <c r="B426" s="7" t="s">
        <v>12</v>
      </c>
      <c r="C426" s="6" t="s">
        <v>11</v>
      </c>
      <c r="D426" s="252">
        <v>507.3</v>
      </c>
      <c r="E426" s="252">
        <v>-228.63499999999999</v>
      </c>
      <c r="F426" s="252">
        <f>SUM(D426:E426)</f>
        <v>278.66500000000002</v>
      </c>
      <c r="G426" s="252">
        <v>0</v>
      </c>
      <c r="H426" s="306"/>
      <c r="I426" s="252">
        <v>0</v>
      </c>
      <c r="J426" s="252">
        <v>0</v>
      </c>
      <c r="K426" s="252"/>
      <c r="L426" s="252">
        <v>0</v>
      </c>
    </row>
    <row r="427" spans="1:12" s="1" customFormat="1" ht="26.25" x14ac:dyDescent="0.25">
      <c r="A427" s="52" t="s">
        <v>355</v>
      </c>
      <c r="B427" s="81"/>
      <c r="C427" s="6" t="s">
        <v>354</v>
      </c>
      <c r="D427" s="252">
        <f>D428</f>
        <v>120</v>
      </c>
      <c r="E427" s="252">
        <f>E428</f>
        <v>-120</v>
      </c>
      <c r="F427" s="252">
        <f>F428</f>
        <v>0</v>
      </c>
      <c r="G427" s="252">
        <f>G428</f>
        <v>0</v>
      </c>
      <c r="H427" s="306"/>
      <c r="I427" s="252">
        <f>I428</f>
        <v>0</v>
      </c>
      <c r="J427" s="252">
        <f>J428</f>
        <v>0</v>
      </c>
      <c r="K427" s="252"/>
      <c r="L427" s="252">
        <f>L428</f>
        <v>0</v>
      </c>
    </row>
    <row r="428" spans="1:12" s="1" customFormat="1" ht="26.25" x14ac:dyDescent="0.25">
      <c r="A428" s="52"/>
      <c r="B428" s="7" t="s">
        <v>12</v>
      </c>
      <c r="C428" s="6" t="s">
        <v>11</v>
      </c>
      <c r="D428" s="252">
        <v>120</v>
      </c>
      <c r="E428" s="252">
        <v>-120</v>
      </c>
      <c r="F428" s="252">
        <v>0</v>
      </c>
      <c r="G428" s="252">
        <v>0</v>
      </c>
      <c r="H428" s="306"/>
      <c r="I428" s="252">
        <v>0</v>
      </c>
      <c r="J428" s="252">
        <v>0</v>
      </c>
      <c r="K428" s="252"/>
      <c r="L428" s="252">
        <v>0</v>
      </c>
    </row>
    <row r="429" spans="1:12" s="1" customFormat="1" ht="64.5" x14ac:dyDescent="0.25">
      <c r="A429" s="69" t="s">
        <v>348</v>
      </c>
      <c r="B429" s="69"/>
      <c r="C429" s="6" t="s">
        <v>833</v>
      </c>
      <c r="D429" s="252">
        <f>D430</f>
        <v>160.5</v>
      </c>
      <c r="E429" s="252">
        <f>E430</f>
        <v>-55.99241</v>
      </c>
      <c r="F429" s="252">
        <f>F430</f>
        <v>104.50758999999999</v>
      </c>
      <c r="G429" s="252">
        <v>0</v>
      </c>
      <c r="H429" s="306"/>
      <c r="I429" s="252">
        <v>0</v>
      </c>
      <c r="J429" s="252">
        <v>0</v>
      </c>
      <c r="K429" s="252"/>
      <c r="L429" s="252">
        <v>0</v>
      </c>
    </row>
    <row r="430" spans="1:12" s="1" customFormat="1" ht="26.25" x14ac:dyDescent="0.25">
      <c r="A430" s="69"/>
      <c r="B430" s="69" t="s">
        <v>12</v>
      </c>
      <c r="C430" s="12" t="s">
        <v>11</v>
      </c>
      <c r="D430" s="252">
        <v>160.5</v>
      </c>
      <c r="E430" s="252">
        <v>-55.99241</v>
      </c>
      <c r="F430" s="252">
        <f>SUM(D430:E430)</f>
        <v>104.50758999999999</v>
      </c>
      <c r="G430" s="252">
        <v>0</v>
      </c>
      <c r="H430" s="306"/>
      <c r="I430" s="252">
        <v>0</v>
      </c>
      <c r="J430" s="252">
        <v>0</v>
      </c>
      <c r="K430" s="252"/>
      <c r="L430" s="252">
        <v>0</v>
      </c>
    </row>
    <row r="431" spans="1:12" s="1" customFormat="1" ht="26.25" x14ac:dyDescent="0.25">
      <c r="A431" s="7" t="s">
        <v>731</v>
      </c>
      <c r="B431" s="52"/>
      <c r="C431" s="6" t="s">
        <v>347</v>
      </c>
      <c r="D431" s="252">
        <f>D432</f>
        <v>685.6</v>
      </c>
      <c r="E431" s="252"/>
      <c r="F431" s="252">
        <f>F432</f>
        <v>685.6</v>
      </c>
      <c r="G431" s="252">
        <f>G432</f>
        <v>0</v>
      </c>
      <c r="H431" s="306"/>
      <c r="I431" s="252">
        <f>I432</f>
        <v>0</v>
      </c>
      <c r="J431" s="252">
        <f>J432</f>
        <v>0</v>
      </c>
      <c r="K431" s="252"/>
      <c r="L431" s="252">
        <f>L432</f>
        <v>0</v>
      </c>
    </row>
    <row r="432" spans="1:12" s="1" customFormat="1" ht="26.25" x14ac:dyDescent="0.25">
      <c r="A432" s="7"/>
      <c r="B432" s="7" t="s">
        <v>12</v>
      </c>
      <c r="C432" s="6" t="s">
        <v>11</v>
      </c>
      <c r="D432" s="252">
        <v>685.6</v>
      </c>
      <c r="E432" s="252"/>
      <c r="F432" s="252">
        <v>685.6</v>
      </c>
      <c r="G432" s="252">
        <v>0</v>
      </c>
      <c r="H432" s="306"/>
      <c r="I432" s="252">
        <v>0</v>
      </c>
      <c r="J432" s="252">
        <v>0</v>
      </c>
      <c r="K432" s="252"/>
      <c r="L432" s="252">
        <v>0</v>
      </c>
    </row>
    <row r="433" spans="1:13" s="1" customFormat="1" ht="26.25" x14ac:dyDescent="0.25">
      <c r="A433" s="7" t="s">
        <v>732</v>
      </c>
      <c r="B433" s="91"/>
      <c r="C433" s="95" t="s">
        <v>346</v>
      </c>
      <c r="D433" s="252">
        <f>D434</f>
        <v>9723.5</v>
      </c>
      <c r="E433" s="252"/>
      <c r="F433" s="252">
        <f>F434</f>
        <v>9723.5</v>
      </c>
      <c r="G433" s="252">
        <f>G434</f>
        <v>0</v>
      </c>
      <c r="H433" s="306"/>
      <c r="I433" s="252">
        <f>I434</f>
        <v>0</v>
      </c>
      <c r="J433" s="252">
        <f>J434</f>
        <v>0</v>
      </c>
      <c r="K433" s="252"/>
      <c r="L433" s="252">
        <f>L434</f>
        <v>0</v>
      </c>
    </row>
    <row r="434" spans="1:13" s="1" customFormat="1" ht="26.25" x14ac:dyDescent="0.25">
      <c r="A434" s="7"/>
      <c r="B434" s="7" t="s">
        <v>12</v>
      </c>
      <c r="C434" s="6" t="s">
        <v>11</v>
      </c>
      <c r="D434" s="252">
        <f>8219+1504.5</f>
        <v>9723.5</v>
      </c>
      <c r="E434" s="252"/>
      <c r="F434" s="252">
        <f>8219+1504.5</f>
        <v>9723.5</v>
      </c>
      <c r="G434" s="252">
        <v>0</v>
      </c>
      <c r="H434" s="306"/>
      <c r="I434" s="252">
        <v>0</v>
      </c>
      <c r="J434" s="252">
        <v>0</v>
      </c>
      <c r="K434" s="252"/>
      <c r="L434" s="252">
        <v>0</v>
      </c>
    </row>
    <row r="435" spans="1:13" s="1" customFormat="1" ht="26.25" x14ac:dyDescent="0.25">
      <c r="A435" s="7" t="s">
        <v>733</v>
      </c>
      <c r="B435" s="7"/>
      <c r="C435" s="6" t="s">
        <v>737</v>
      </c>
      <c r="D435" s="252">
        <f>D436</f>
        <v>600</v>
      </c>
      <c r="E435" s="252"/>
      <c r="F435" s="252">
        <f>F436</f>
        <v>599.99999999999977</v>
      </c>
      <c r="G435" s="252">
        <v>0</v>
      </c>
      <c r="H435" s="306"/>
      <c r="I435" s="252">
        <v>0</v>
      </c>
      <c r="J435" s="252">
        <v>0</v>
      </c>
      <c r="K435" s="252"/>
      <c r="L435" s="252">
        <v>0</v>
      </c>
    </row>
    <row r="436" spans="1:13" s="1" customFormat="1" ht="26.25" x14ac:dyDescent="0.25">
      <c r="A436" s="7"/>
      <c r="B436" s="7" t="s">
        <v>12</v>
      </c>
      <c r="C436" s="6" t="s">
        <v>11</v>
      </c>
      <c r="D436" s="252">
        <v>600</v>
      </c>
      <c r="E436" s="252"/>
      <c r="F436" s="252">
        <f>2099.2-1499.2</f>
        <v>599.99999999999977</v>
      </c>
      <c r="G436" s="252">
        <v>0</v>
      </c>
      <c r="H436" s="306"/>
      <c r="I436" s="252">
        <v>0</v>
      </c>
      <c r="J436" s="252">
        <v>0</v>
      </c>
      <c r="K436" s="252"/>
      <c r="L436" s="252">
        <v>0</v>
      </c>
    </row>
    <row r="437" spans="1:13" s="1" customFormat="1" ht="26.25" x14ac:dyDescent="0.25">
      <c r="A437" s="325" t="s">
        <v>869</v>
      </c>
      <c r="B437" s="325"/>
      <c r="C437" s="362" t="s">
        <v>839</v>
      </c>
      <c r="D437" s="251">
        <f>D438</f>
        <v>8521.7293100000006</v>
      </c>
      <c r="E437" s="251"/>
      <c r="F437" s="251">
        <f t="shared" ref="F437:L437" si="52">F438</f>
        <v>8521.7293100000006</v>
      </c>
      <c r="G437" s="251">
        <f t="shared" si="52"/>
        <v>0</v>
      </c>
      <c r="H437" s="251">
        <f t="shared" si="52"/>
        <v>0</v>
      </c>
      <c r="I437" s="251">
        <f t="shared" si="52"/>
        <v>0</v>
      </c>
      <c r="J437" s="251">
        <f t="shared" si="52"/>
        <v>0</v>
      </c>
      <c r="K437" s="251">
        <f t="shared" si="52"/>
        <v>0</v>
      </c>
      <c r="L437" s="251">
        <f t="shared" si="52"/>
        <v>0</v>
      </c>
    </row>
    <row r="438" spans="1:13" s="1" customFormat="1" ht="76.5" x14ac:dyDescent="0.25">
      <c r="A438" s="318" t="s">
        <v>870</v>
      </c>
      <c r="B438" s="318"/>
      <c r="C438" s="400" t="s">
        <v>349</v>
      </c>
      <c r="D438" s="252">
        <f>D439</f>
        <v>8521.7293100000006</v>
      </c>
      <c r="E438" s="252"/>
      <c r="F438" s="252">
        <f t="shared" ref="F438:L438" si="53">F439</f>
        <v>8521.7293100000006</v>
      </c>
      <c r="G438" s="252">
        <f t="shared" si="53"/>
        <v>0</v>
      </c>
      <c r="H438" s="252"/>
      <c r="I438" s="252">
        <f t="shared" si="53"/>
        <v>0</v>
      </c>
      <c r="J438" s="252">
        <f t="shared" si="53"/>
        <v>0</v>
      </c>
      <c r="K438" s="252"/>
      <c r="L438" s="252">
        <f t="shared" si="53"/>
        <v>0</v>
      </c>
    </row>
    <row r="439" spans="1:13" s="1" customFormat="1" ht="26.25" x14ac:dyDescent="0.25">
      <c r="A439" s="322"/>
      <c r="B439" s="318" t="s">
        <v>12</v>
      </c>
      <c r="C439" s="321" t="s">
        <v>11</v>
      </c>
      <c r="D439" s="320">
        <f>D440+D441</f>
        <v>8521.7293100000006</v>
      </c>
      <c r="E439" s="252"/>
      <c r="F439" s="252">
        <f>F440+F441</f>
        <v>8521.7293100000006</v>
      </c>
      <c r="G439" s="320">
        <v>0</v>
      </c>
      <c r="H439" s="320"/>
      <c r="I439" s="320">
        <v>0</v>
      </c>
      <c r="J439" s="320">
        <v>0</v>
      </c>
      <c r="K439" s="320"/>
      <c r="L439" s="320">
        <v>0</v>
      </c>
    </row>
    <row r="440" spans="1:13" s="1" customFormat="1" ht="15" x14ac:dyDescent="0.25">
      <c r="A440" s="322"/>
      <c r="B440" s="318"/>
      <c r="C440" s="321" t="s">
        <v>165</v>
      </c>
      <c r="D440" s="252">
        <v>6391.2969800000001</v>
      </c>
      <c r="E440" s="252"/>
      <c r="F440" s="252">
        <v>6391.2969800000001</v>
      </c>
      <c r="G440" s="320">
        <v>0</v>
      </c>
      <c r="H440" s="320"/>
      <c r="I440" s="320">
        <v>0</v>
      </c>
      <c r="J440" s="320">
        <v>0</v>
      </c>
      <c r="K440" s="320"/>
      <c r="L440" s="320">
        <v>0</v>
      </c>
    </row>
    <row r="441" spans="1:13" s="1" customFormat="1" ht="15" x14ac:dyDescent="0.25">
      <c r="A441" s="322"/>
      <c r="B441" s="318"/>
      <c r="C441" s="370" t="s">
        <v>164</v>
      </c>
      <c r="D441" s="252">
        <v>2130.4323300000001</v>
      </c>
      <c r="E441" s="252"/>
      <c r="F441" s="252">
        <v>2130.4323300000001</v>
      </c>
      <c r="G441" s="320">
        <v>0</v>
      </c>
      <c r="H441" s="320"/>
      <c r="I441" s="320">
        <v>0</v>
      </c>
      <c r="J441" s="320">
        <v>0</v>
      </c>
      <c r="K441" s="320"/>
      <c r="L441" s="320">
        <v>0</v>
      </c>
    </row>
    <row r="442" spans="1:13" s="1" customFormat="1" ht="39" x14ac:dyDescent="0.25">
      <c r="A442" s="225" t="s">
        <v>435</v>
      </c>
      <c r="B442" s="225"/>
      <c r="C442" s="228" t="s">
        <v>434</v>
      </c>
      <c r="D442" s="249">
        <f t="shared" ref="D442:I442" si="54">D443+D472+D476</f>
        <v>132742.06888000001</v>
      </c>
      <c r="E442" s="249">
        <f t="shared" si="54"/>
        <v>143.62243000000001</v>
      </c>
      <c r="F442" s="249">
        <f t="shared" si="54"/>
        <v>132885.69130999999</v>
      </c>
      <c r="G442" s="249">
        <f t="shared" si="54"/>
        <v>74930.112070000003</v>
      </c>
      <c r="H442" s="249">
        <f t="shared" si="54"/>
        <v>-143.62244000000001</v>
      </c>
      <c r="I442" s="249">
        <f t="shared" si="54"/>
        <v>74786.489630000011</v>
      </c>
      <c r="J442" s="249">
        <f>J443+J472</f>
        <v>64960.5</v>
      </c>
      <c r="K442" s="249">
        <f>K443+K472</f>
        <v>0</v>
      </c>
      <c r="L442" s="249">
        <f>L443+L472</f>
        <v>64960.5</v>
      </c>
      <c r="M442" s="404"/>
    </row>
    <row r="443" spans="1:13" s="1" customFormat="1" ht="39" x14ac:dyDescent="0.25">
      <c r="A443" s="30" t="s">
        <v>433</v>
      </c>
      <c r="B443" s="30"/>
      <c r="C443" s="50" t="s">
        <v>432</v>
      </c>
      <c r="D443" s="250">
        <f>D444+D449+D454+D463+D466</f>
        <v>126469.56888000001</v>
      </c>
      <c r="E443" s="250">
        <f>E444+E449+E454+E463+E466</f>
        <v>176.68718000000001</v>
      </c>
      <c r="F443" s="250">
        <f t="shared" ref="F443:L443" si="55">F444+F449+F454+F463+F466</f>
        <v>126646.25606000001</v>
      </c>
      <c r="G443" s="250">
        <f t="shared" si="55"/>
        <v>69288.112070000003</v>
      </c>
      <c r="H443" s="250">
        <f t="shared" si="55"/>
        <v>-143.62244000000001</v>
      </c>
      <c r="I443" s="250">
        <f t="shared" si="55"/>
        <v>69144.489630000011</v>
      </c>
      <c r="J443" s="250">
        <f t="shared" si="55"/>
        <v>59618.9</v>
      </c>
      <c r="K443" s="250">
        <f t="shared" si="55"/>
        <v>0</v>
      </c>
      <c r="L443" s="250">
        <f t="shared" si="55"/>
        <v>59618.9</v>
      </c>
    </row>
    <row r="444" spans="1:13" s="1" customFormat="1" ht="39" x14ac:dyDescent="0.25">
      <c r="A444" s="208" t="s">
        <v>431</v>
      </c>
      <c r="B444" s="208"/>
      <c r="C444" s="209" t="s">
        <v>885</v>
      </c>
      <c r="D444" s="251">
        <f>D445+D447</f>
        <v>542.79999999999995</v>
      </c>
      <c r="E444" s="251">
        <f>E445+E447</f>
        <v>-3.3</v>
      </c>
      <c r="F444" s="251">
        <f t="shared" ref="F444:L444" si="56">F445+F447</f>
        <v>539.5</v>
      </c>
      <c r="G444" s="251">
        <f t="shared" si="56"/>
        <v>542.79999999999995</v>
      </c>
      <c r="H444" s="251"/>
      <c r="I444" s="251">
        <f t="shared" si="56"/>
        <v>542.79999999999995</v>
      </c>
      <c r="J444" s="251">
        <f t="shared" si="56"/>
        <v>542.79999999999995</v>
      </c>
      <c r="K444" s="251"/>
      <c r="L444" s="251">
        <f t="shared" si="56"/>
        <v>542.79999999999995</v>
      </c>
    </row>
    <row r="445" spans="1:13" s="1" customFormat="1" ht="39" x14ac:dyDescent="0.25">
      <c r="A445" s="7" t="s">
        <v>819</v>
      </c>
      <c r="B445" s="57"/>
      <c r="C445" s="6" t="s">
        <v>430</v>
      </c>
      <c r="D445" s="252">
        <f>D446</f>
        <v>3.3</v>
      </c>
      <c r="E445" s="252">
        <f>E446</f>
        <v>-3.3</v>
      </c>
      <c r="F445" s="252">
        <f>F446</f>
        <v>0</v>
      </c>
      <c r="G445" s="252">
        <f>G446</f>
        <v>542.79999999999995</v>
      </c>
      <c r="H445" s="306"/>
      <c r="I445" s="252">
        <f>I446</f>
        <v>542.79999999999995</v>
      </c>
      <c r="J445" s="252">
        <f>J446</f>
        <v>542.79999999999995</v>
      </c>
      <c r="K445" s="252"/>
      <c r="L445" s="252">
        <f>L446</f>
        <v>542.79999999999995</v>
      </c>
    </row>
    <row r="446" spans="1:13" s="1" customFormat="1" ht="26.25" x14ac:dyDescent="0.25">
      <c r="A446" s="7"/>
      <c r="B446" s="7" t="s">
        <v>12</v>
      </c>
      <c r="C446" s="6" t="s">
        <v>11</v>
      </c>
      <c r="D446" s="252">
        <v>3.3</v>
      </c>
      <c r="E446" s="252">
        <v>-3.3</v>
      </c>
      <c r="F446" s="252">
        <v>0</v>
      </c>
      <c r="G446" s="252">
        <v>542.79999999999995</v>
      </c>
      <c r="H446" s="306"/>
      <c r="I446" s="252">
        <v>542.79999999999995</v>
      </c>
      <c r="J446" s="252">
        <v>542.79999999999995</v>
      </c>
      <c r="K446" s="252"/>
      <c r="L446" s="252">
        <v>542.79999999999995</v>
      </c>
    </row>
    <row r="447" spans="1:13" s="1" customFormat="1" ht="26.25" x14ac:dyDescent="0.25">
      <c r="A447" s="7" t="s">
        <v>884</v>
      </c>
      <c r="B447" s="57"/>
      <c r="C447" s="6" t="s">
        <v>883</v>
      </c>
      <c r="D447" s="252">
        <f>D448</f>
        <v>539.5</v>
      </c>
      <c r="E447" s="252"/>
      <c r="F447" s="252">
        <f>F448</f>
        <v>539.5</v>
      </c>
      <c r="G447" s="252">
        <f>G448</f>
        <v>0</v>
      </c>
      <c r="H447" s="306"/>
      <c r="I447" s="252">
        <f>I448</f>
        <v>0</v>
      </c>
      <c r="J447" s="252">
        <f>J448</f>
        <v>0</v>
      </c>
      <c r="K447" s="252"/>
      <c r="L447" s="252">
        <f>L448</f>
        <v>0</v>
      </c>
    </row>
    <row r="448" spans="1:13" s="1" customFormat="1" ht="26.25" x14ac:dyDescent="0.25">
      <c r="A448" s="7"/>
      <c r="B448" s="7" t="s">
        <v>12</v>
      </c>
      <c r="C448" s="6" t="s">
        <v>11</v>
      </c>
      <c r="D448" s="252">
        <v>539.5</v>
      </c>
      <c r="E448" s="252"/>
      <c r="F448" s="252">
        <v>539.5</v>
      </c>
      <c r="G448" s="252">
        <v>0</v>
      </c>
      <c r="H448" s="306"/>
      <c r="I448" s="252">
        <v>0</v>
      </c>
      <c r="J448" s="252">
        <v>0</v>
      </c>
      <c r="K448" s="252"/>
      <c r="L448" s="252">
        <v>0</v>
      </c>
    </row>
    <row r="449" spans="1:12" s="1" customFormat="1" ht="26.25" x14ac:dyDescent="0.25">
      <c r="A449" s="208" t="s">
        <v>429</v>
      </c>
      <c r="B449" s="208"/>
      <c r="C449" s="209" t="s">
        <v>428</v>
      </c>
      <c r="D449" s="251">
        <f>D450+D452</f>
        <v>285</v>
      </c>
      <c r="E449" s="251">
        <f>E450+E452</f>
        <v>-85</v>
      </c>
      <c r="F449" s="251">
        <f>F450+F452</f>
        <v>200</v>
      </c>
      <c r="G449" s="251">
        <f>G450+G452</f>
        <v>4800</v>
      </c>
      <c r="H449" s="251"/>
      <c r="I449" s="251">
        <f>I450+I452</f>
        <v>4800</v>
      </c>
      <c r="J449" s="251">
        <v>0</v>
      </c>
      <c r="K449" s="251"/>
      <c r="L449" s="251">
        <v>0</v>
      </c>
    </row>
    <row r="450" spans="1:12" s="1" customFormat="1" ht="39" x14ac:dyDescent="0.25">
      <c r="A450" s="7" t="s">
        <v>818</v>
      </c>
      <c r="B450" s="57"/>
      <c r="C450" s="6" t="s">
        <v>609</v>
      </c>
      <c r="D450" s="252">
        <f>D451</f>
        <v>285</v>
      </c>
      <c r="E450" s="252">
        <f>E451</f>
        <v>-85</v>
      </c>
      <c r="F450" s="252">
        <f>F451</f>
        <v>200</v>
      </c>
      <c r="G450" s="252">
        <v>0</v>
      </c>
      <c r="H450" s="306"/>
      <c r="I450" s="252">
        <v>0</v>
      </c>
      <c r="J450" s="252">
        <v>0</v>
      </c>
      <c r="K450" s="252"/>
      <c r="L450" s="252">
        <v>0</v>
      </c>
    </row>
    <row r="451" spans="1:12" s="1" customFormat="1" ht="26.25" x14ac:dyDescent="0.25">
      <c r="A451" s="7"/>
      <c r="B451" s="7" t="s">
        <v>12</v>
      </c>
      <c r="C451" s="6" t="s">
        <v>11</v>
      </c>
      <c r="D451" s="252">
        <v>285</v>
      </c>
      <c r="E451" s="252">
        <v>-85</v>
      </c>
      <c r="F451" s="252">
        <v>200</v>
      </c>
      <c r="G451" s="252">
        <v>0</v>
      </c>
      <c r="H451" s="306"/>
      <c r="I451" s="252">
        <v>0</v>
      </c>
      <c r="J451" s="252">
        <v>0</v>
      </c>
      <c r="K451" s="252"/>
      <c r="L451" s="252">
        <v>0</v>
      </c>
    </row>
    <row r="452" spans="1:12" s="1" customFormat="1" ht="39" x14ac:dyDescent="0.25">
      <c r="A452" s="7" t="s">
        <v>888</v>
      </c>
      <c r="B452" s="57"/>
      <c r="C452" s="6" t="s">
        <v>889</v>
      </c>
      <c r="D452" s="252">
        <f>D453</f>
        <v>0</v>
      </c>
      <c r="E452" s="252"/>
      <c r="F452" s="252">
        <f>F453</f>
        <v>0</v>
      </c>
      <c r="G452" s="252">
        <f>G453</f>
        <v>4800</v>
      </c>
      <c r="H452" s="252"/>
      <c r="I452" s="252">
        <f>I453</f>
        <v>4800</v>
      </c>
      <c r="J452" s="252">
        <v>0</v>
      </c>
      <c r="K452" s="252"/>
      <c r="L452" s="252">
        <v>0</v>
      </c>
    </row>
    <row r="453" spans="1:12" s="1" customFormat="1" ht="26.25" x14ac:dyDescent="0.25">
      <c r="A453" s="7"/>
      <c r="B453" s="7" t="s">
        <v>12</v>
      </c>
      <c r="C453" s="6" t="s">
        <v>11</v>
      </c>
      <c r="D453" s="252">
        <v>0</v>
      </c>
      <c r="E453" s="252"/>
      <c r="F453" s="252">
        <v>0</v>
      </c>
      <c r="G453" s="252">
        <v>4800</v>
      </c>
      <c r="H453" s="306"/>
      <c r="I453" s="252">
        <v>4800</v>
      </c>
      <c r="J453" s="252">
        <v>0</v>
      </c>
      <c r="K453" s="252"/>
      <c r="L453" s="252">
        <v>0</v>
      </c>
    </row>
    <row r="454" spans="1:12" s="1" customFormat="1" ht="26.25" x14ac:dyDescent="0.25">
      <c r="A454" s="208" t="s">
        <v>427</v>
      </c>
      <c r="B454" s="208"/>
      <c r="C454" s="209" t="s">
        <v>426</v>
      </c>
      <c r="D454" s="251">
        <f t="shared" ref="D454:I454" si="57">D455+D459+D461</f>
        <v>43526.311170000001</v>
      </c>
      <c r="E454" s="251">
        <f t="shared" si="57"/>
        <v>121.36475</v>
      </c>
      <c r="F454" s="251">
        <f t="shared" si="57"/>
        <v>43647.675919999994</v>
      </c>
      <c r="G454" s="251">
        <f t="shared" si="57"/>
        <v>30506.400000000001</v>
      </c>
      <c r="H454" s="251">
        <f t="shared" si="57"/>
        <v>0</v>
      </c>
      <c r="I454" s="251">
        <f t="shared" si="57"/>
        <v>30506.400000000001</v>
      </c>
      <c r="J454" s="251">
        <f>J455</f>
        <v>27092.2</v>
      </c>
      <c r="K454" s="251"/>
      <c r="L454" s="251">
        <f>L455</f>
        <v>27092.2</v>
      </c>
    </row>
    <row r="455" spans="1:12" s="1" customFormat="1" ht="26.25" x14ac:dyDescent="0.25">
      <c r="A455" s="7" t="s">
        <v>813</v>
      </c>
      <c r="B455" s="57"/>
      <c r="C455" s="6" t="s">
        <v>425</v>
      </c>
      <c r="D455" s="252">
        <f>D456</f>
        <v>29030.11117</v>
      </c>
      <c r="E455" s="252">
        <f>E456</f>
        <v>-7.4671799999999999</v>
      </c>
      <c r="F455" s="252">
        <f>F456</f>
        <v>29022.643989999997</v>
      </c>
      <c r="G455" s="252">
        <f>G456</f>
        <v>27092.2</v>
      </c>
      <c r="H455" s="306"/>
      <c r="I455" s="252">
        <f>I456</f>
        <v>27092.2</v>
      </c>
      <c r="J455" s="252">
        <f>J456</f>
        <v>27092.2</v>
      </c>
      <c r="K455" s="252"/>
      <c r="L455" s="252">
        <f>L456</f>
        <v>27092.2</v>
      </c>
    </row>
    <row r="456" spans="1:12" s="1" customFormat="1" ht="26.25" x14ac:dyDescent="0.25">
      <c r="A456" s="7"/>
      <c r="B456" s="7" t="s">
        <v>12</v>
      </c>
      <c r="C456" s="6" t="s">
        <v>11</v>
      </c>
      <c r="D456" s="252">
        <f>D457+D458</f>
        <v>29030.11117</v>
      </c>
      <c r="E456" s="252">
        <f>E457+E458</f>
        <v>-7.4671799999999999</v>
      </c>
      <c r="F456" s="252">
        <f>F457+F458</f>
        <v>29022.643989999997</v>
      </c>
      <c r="G456" s="252">
        <f>G457+G458</f>
        <v>27092.2</v>
      </c>
      <c r="H456" s="306"/>
      <c r="I456" s="252">
        <f>I457+I458</f>
        <v>27092.2</v>
      </c>
      <c r="J456" s="252">
        <f>J457+J458</f>
        <v>27092.2</v>
      </c>
      <c r="K456" s="252"/>
      <c r="L456" s="252">
        <f>L457+L458</f>
        <v>27092.2</v>
      </c>
    </row>
    <row r="457" spans="1:12" s="1" customFormat="1" ht="15" x14ac:dyDescent="0.25">
      <c r="A457" s="7"/>
      <c r="B457" s="7"/>
      <c r="C457" s="6" t="s">
        <v>234</v>
      </c>
      <c r="D457" s="252">
        <v>26127.1</v>
      </c>
      <c r="E457" s="252"/>
      <c r="F457" s="252">
        <v>26127.1</v>
      </c>
      <c r="G457" s="252">
        <v>24383</v>
      </c>
      <c r="H457" s="306"/>
      <c r="I457" s="252">
        <v>24383</v>
      </c>
      <c r="J457" s="252">
        <v>24383</v>
      </c>
      <c r="K457" s="252"/>
      <c r="L457" s="252">
        <v>24383</v>
      </c>
    </row>
    <row r="458" spans="1:12" s="1" customFormat="1" ht="15" x14ac:dyDescent="0.25">
      <c r="A458" s="7"/>
      <c r="B458" s="7"/>
      <c r="C458" s="6" t="s">
        <v>106</v>
      </c>
      <c r="D458" s="252">
        <v>2903.0111700000002</v>
      </c>
      <c r="E458" s="252">
        <v>-7.4671799999999999</v>
      </c>
      <c r="F458" s="252">
        <f>SUM(D458:E458)</f>
        <v>2895.5439900000001</v>
      </c>
      <c r="G458" s="252">
        <v>2709.2</v>
      </c>
      <c r="H458" s="306"/>
      <c r="I458" s="252">
        <v>2709.2</v>
      </c>
      <c r="J458" s="252">
        <v>2709.2</v>
      </c>
      <c r="K458" s="252"/>
      <c r="L458" s="252">
        <v>2709.2</v>
      </c>
    </row>
    <row r="459" spans="1:12" s="1" customFormat="1" ht="26.25" x14ac:dyDescent="0.25">
      <c r="A459" s="7" t="s">
        <v>817</v>
      </c>
      <c r="B459" s="57"/>
      <c r="C459" s="6" t="s">
        <v>424</v>
      </c>
      <c r="D459" s="252">
        <f>D460</f>
        <v>4858.5</v>
      </c>
      <c r="E459" s="252"/>
      <c r="F459" s="252">
        <f>F460</f>
        <v>4858.5</v>
      </c>
      <c r="G459" s="252">
        <f>G460</f>
        <v>2214.1999999999998</v>
      </c>
      <c r="H459" s="252">
        <f>H460</f>
        <v>0</v>
      </c>
      <c r="I459" s="252">
        <f>I460</f>
        <v>2214.1999999999998</v>
      </c>
      <c r="J459" s="252">
        <f>J460</f>
        <v>0</v>
      </c>
      <c r="K459" s="252"/>
      <c r="L459" s="252">
        <f>L460</f>
        <v>0</v>
      </c>
    </row>
    <row r="460" spans="1:12" s="1" customFormat="1" ht="26.25" x14ac:dyDescent="0.25">
      <c r="A460" s="7"/>
      <c r="B460" s="7" t="s">
        <v>12</v>
      </c>
      <c r="C460" s="6" t="s">
        <v>11</v>
      </c>
      <c r="D460" s="252">
        <f>4060.9+797.6</f>
        <v>4858.5</v>
      </c>
      <c r="E460" s="252"/>
      <c r="F460" s="252">
        <f>4060.9+797.6</f>
        <v>4858.5</v>
      </c>
      <c r="G460" s="252">
        <v>2214.1999999999998</v>
      </c>
      <c r="H460" s="306"/>
      <c r="I460" s="252">
        <f>488.3+1200+525.9</f>
        <v>2214.1999999999998</v>
      </c>
      <c r="J460" s="252">
        <v>0</v>
      </c>
      <c r="K460" s="252"/>
      <c r="L460" s="252">
        <v>0</v>
      </c>
    </row>
    <row r="461" spans="1:12" s="1" customFormat="1" ht="26.25" x14ac:dyDescent="0.25">
      <c r="A461" s="7" t="s">
        <v>816</v>
      </c>
      <c r="B461" s="57"/>
      <c r="C461" s="6" t="s">
        <v>423</v>
      </c>
      <c r="D461" s="252">
        <f t="shared" ref="D461:J461" si="58">D462</f>
        <v>9637.6999999999989</v>
      </c>
      <c r="E461" s="252">
        <f t="shared" si="58"/>
        <v>128.83193</v>
      </c>
      <c r="F461" s="252">
        <f t="shared" si="58"/>
        <v>9766.5319299999992</v>
      </c>
      <c r="G461" s="252">
        <f t="shared" si="58"/>
        <v>1200</v>
      </c>
      <c r="H461" s="252">
        <f t="shared" si="58"/>
        <v>0</v>
      </c>
      <c r="I461" s="252">
        <f t="shared" si="58"/>
        <v>1200</v>
      </c>
      <c r="J461" s="252">
        <f t="shared" si="58"/>
        <v>0</v>
      </c>
      <c r="K461" s="252"/>
      <c r="L461" s="252">
        <f>L462</f>
        <v>0</v>
      </c>
    </row>
    <row r="462" spans="1:12" s="1" customFormat="1" ht="26.25" x14ac:dyDescent="0.25">
      <c r="A462" s="91"/>
      <c r="B462" s="7" t="s">
        <v>12</v>
      </c>
      <c r="C462" s="6" t="s">
        <v>11</v>
      </c>
      <c r="D462" s="252">
        <f>8354.4+1283.3</f>
        <v>9637.6999999999989</v>
      </c>
      <c r="E462" s="253">
        <f>102.037+85-58.20507</f>
        <v>128.83193</v>
      </c>
      <c r="F462" s="252">
        <f>SUM(D462:E462)</f>
        <v>9766.5319299999992</v>
      </c>
      <c r="G462" s="306">
        <v>1200</v>
      </c>
      <c r="H462" s="306"/>
      <c r="I462" s="252">
        <v>1200</v>
      </c>
      <c r="J462" s="252">
        <v>0</v>
      </c>
      <c r="K462" s="252"/>
      <c r="L462" s="252">
        <v>0</v>
      </c>
    </row>
    <row r="463" spans="1:12" s="1" customFormat="1" ht="26.25" x14ac:dyDescent="0.25">
      <c r="A463" s="208" t="s">
        <v>422</v>
      </c>
      <c r="B463" s="208"/>
      <c r="C463" s="209" t="s">
        <v>421</v>
      </c>
      <c r="D463" s="251">
        <f t="shared" ref="D463:L464" si="59">D464</f>
        <v>31983.9</v>
      </c>
      <c r="E463" s="251"/>
      <c r="F463" s="251">
        <f t="shared" si="59"/>
        <v>31983.9</v>
      </c>
      <c r="G463" s="251">
        <f t="shared" si="59"/>
        <v>31983.9</v>
      </c>
      <c r="H463" s="310"/>
      <c r="I463" s="251">
        <f t="shared" si="59"/>
        <v>31983.9</v>
      </c>
      <c r="J463" s="251">
        <f t="shared" si="59"/>
        <v>31983.9</v>
      </c>
      <c r="K463" s="251"/>
      <c r="L463" s="251">
        <f t="shared" si="59"/>
        <v>31983.9</v>
      </c>
    </row>
    <row r="464" spans="1:12" s="1" customFormat="1" ht="51.75" x14ac:dyDescent="0.25">
      <c r="A464" s="7" t="s">
        <v>815</v>
      </c>
      <c r="B464" s="57"/>
      <c r="C464" s="6" t="s">
        <v>420</v>
      </c>
      <c r="D464" s="252">
        <f t="shared" si="59"/>
        <v>31983.9</v>
      </c>
      <c r="E464" s="252"/>
      <c r="F464" s="252">
        <f t="shared" si="59"/>
        <v>31983.9</v>
      </c>
      <c r="G464" s="252">
        <f t="shared" si="59"/>
        <v>31983.9</v>
      </c>
      <c r="H464" s="306"/>
      <c r="I464" s="252">
        <f t="shared" si="59"/>
        <v>31983.9</v>
      </c>
      <c r="J464" s="252">
        <f t="shared" si="59"/>
        <v>31983.9</v>
      </c>
      <c r="K464" s="252"/>
      <c r="L464" s="252">
        <f t="shared" si="59"/>
        <v>31983.9</v>
      </c>
    </row>
    <row r="465" spans="1:12" s="1" customFormat="1" ht="26.25" x14ac:dyDescent="0.25">
      <c r="A465" s="7"/>
      <c r="B465" s="7" t="s">
        <v>12</v>
      </c>
      <c r="C465" s="6" t="s">
        <v>11</v>
      </c>
      <c r="D465" s="252">
        <v>31983.9</v>
      </c>
      <c r="E465" s="252"/>
      <c r="F465" s="252">
        <v>31983.9</v>
      </c>
      <c r="G465" s="252">
        <v>31983.9</v>
      </c>
      <c r="H465" s="306"/>
      <c r="I465" s="252">
        <v>31983.9</v>
      </c>
      <c r="J465" s="252">
        <v>31983.9</v>
      </c>
      <c r="K465" s="252"/>
      <c r="L465" s="252">
        <v>31983.9</v>
      </c>
    </row>
    <row r="466" spans="1:12" s="1" customFormat="1" ht="41.25" customHeight="1" x14ac:dyDescent="0.25">
      <c r="A466" s="208" t="s">
        <v>851</v>
      </c>
      <c r="B466" s="208"/>
      <c r="C466" s="211" t="s">
        <v>419</v>
      </c>
      <c r="D466" s="251">
        <f t="shared" ref="D466:L467" si="60">D467</f>
        <v>50131.557710000001</v>
      </c>
      <c r="E466" s="251">
        <f t="shared" si="60"/>
        <v>143.62243000000001</v>
      </c>
      <c r="F466" s="251">
        <f t="shared" si="60"/>
        <v>50275.180140000004</v>
      </c>
      <c r="G466" s="251">
        <f t="shared" si="60"/>
        <v>1455.01207</v>
      </c>
      <c r="H466" s="251">
        <f t="shared" si="60"/>
        <v>-143.62244000000001</v>
      </c>
      <c r="I466" s="251">
        <f t="shared" si="60"/>
        <v>1311.3896299999999</v>
      </c>
      <c r="J466" s="251">
        <f t="shared" si="60"/>
        <v>0</v>
      </c>
      <c r="K466" s="251"/>
      <c r="L466" s="251">
        <f t="shared" si="60"/>
        <v>0</v>
      </c>
    </row>
    <row r="467" spans="1:12" s="1" customFormat="1" ht="26.25" x14ac:dyDescent="0.25">
      <c r="A467" s="7" t="s">
        <v>852</v>
      </c>
      <c r="B467" s="7"/>
      <c r="C467" s="12" t="s">
        <v>418</v>
      </c>
      <c r="D467" s="252">
        <f t="shared" si="60"/>
        <v>50131.557710000001</v>
      </c>
      <c r="E467" s="252">
        <f t="shared" si="60"/>
        <v>143.62243000000001</v>
      </c>
      <c r="F467" s="252">
        <f t="shared" si="60"/>
        <v>50275.180140000004</v>
      </c>
      <c r="G467" s="252">
        <f t="shared" si="60"/>
        <v>1455.01207</v>
      </c>
      <c r="H467" s="252">
        <f t="shared" si="60"/>
        <v>-143.62244000000001</v>
      </c>
      <c r="I467" s="252">
        <f t="shared" si="60"/>
        <v>1311.3896299999999</v>
      </c>
      <c r="J467" s="252">
        <f t="shared" si="60"/>
        <v>0</v>
      </c>
      <c r="K467" s="252"/>
      <c r="L467" s="252">
        <f t="shared" si="60"/>
        <v>0</v>
      </c>
    </row>
    <row r="468" spans="1:12" s="1" customFormat="1" ht="26.25" x14ac:dyDescent="0.25">
      <c r="A468" s="7"/>
      <c r="B468" s="7" t="s">
        <v>12</v>
      </c>
      <c r="C468" s="6" t="s">
        <v>11</v>
      </c>
      <c r="D468" s="252">
        <f>D469+D470+D471</f>
        <v>50131.557710000001</v>
      </c>
      <c r="E468" s="252">
        <f>E469+E470+E471</f>
        <v>143.62243000000001</v>
      </c>
      <c r="F468" s="252">
        <f t="shared" ref="F468:L468" si="61">F469+F470+F471</f>
        <v>50275.180140000004</v>
      </c>
      <c r="G468" s="252">
        <f t="shared" si="61"/>
        <v>1455.01207</v>
      </c>
      <c r="H468" s="252">
        <f>H469+H470+H471</f>
        <v>-143.62244000000001</v>
      </c>
      <c r="I468" s="252">
        <f t="shared" si="61"/>
        <v>1311.3896299999999</v>
      </c>
      <c r="J468" s="252">
        <f t="shared" si="61"/>
        <v>0</v>
      </c>
      <c r="K468" s="252"/>
      <c r="L468" s="252">
        <f t="shared" si="61"/>
        <v>0</v>
      </c>
    </row>
    <row r="469" spans="1:12" s="1" customFormat="1" ht="15" x14ac:dyDescent="0.25">
      <c r="A469" s="7"/>
      <c r="B469" s="7"/>
      <c r="C469" s="6" t="s">
        <v>115</v>
      </c>
      <c r="D469" s="252">
        <v>47403.956680000003</v>
      </c>
      <c r="E469" s="252"/>
      <c r="F469" s="252">
        <v>47403.956680000003</v>
      </c>
      <c r="G469" s="252">
        <v>0</v>
      </c>
      <c r="H469" s="252"/>
      <c r="I469" s="252">
        <v>0</v>
      </c>
      <c r="J469" s="252">
        <v>0</v>
      </c>
      <c r="K469" s="252"/>
      <c r="L469" s="252">
        <v>0</v>
      </c>
    </row>
    <row r="470" spans="1:12" s="1" customFormat="1" ht="15" x14ac:dyDescent="0.25">
      <c r="A470" s="7"/>
      <c r="B470" s="7"/>
      <c r="C470" s="6" t="s">
        <v>114</v>
      </c>
      <c r="D470" s="252">
        <v>2494.9450700000002</v>
      </c>
      <c r="E470" s="252"/>
      <c r="F470" s="252">
        <v>2494.9450700000002</v>
      </c>
      <c r="G470" s="252">
        <v>0</v>
      </c>
      <c r="H470" s="252"/>
      <c r="I470" s="252">
        <v>0</v>
      </c>
      <c r="J470" s="252">
        <v>0</v>
      </c>
      <c r="K470" s="252"/>
      <c r="L470" s="252">
        <v>0</v>
      </c>
    </row>
    <row r="471" spans="1:12" s="1" customFormat="1" ht="15" x14ac:dyDescent="0.25">
      <c r="A471" s="7"/>
      <c r="B471" s="7"/>
      <c r="C471" s="6" t="s">
        <v>106</v>
      </c>
      <c r="D471" s="252">
        <f>250.74825-18.09229</f>
        <v>232.65596000000002</v>
      </c>
      <c r="E471" s="252">
        <v>143.62243000000001</v>
      </c>
      <c r="F471" s="252">
        <f>SUM(D471:E471)</f>
        <v>376.27839000000006</v>
      </c>
      <c r="G471" s="252">
        <v>1455.01207</v>
      </c>
      <c r="H471" s="252">
        <v>-143.62244000000001</v>
      </c>
      <c r="I471" s="252">
        <f>G471+H471</f>
        <v>1311.3896299999999</v>
      </c>
      <c r="J471" s="252">
        <v>0</v>
      </c>
      <c r="K471" s="252"/>
      <c r="L471" s="252">
        <v>0</v>
      </c>
    </row>
    <row r="472" spans="1:12" s="1" customFormat="1" ht="39" x14ac:dyDescent="0.25">
      <c r="A472" s="30" t="s">
        <v>442</v>
      </c>
      <c r="B472" s="30"/>
      <c r="C472" s="50" t="s">
        <v>441</v>
      </c>
      <c r="D472" s="250">
        <f t="shared" ref="D472:F474" si="62">D473</f>
        <v>5341.6</v>
      </c>
      <c r="E472" s="250">
        <f t="shared" si="62"/>
        <v>-102.03700000000001</v>
      </c>
      <c r="F472" s="250">
        <f t="shared" si="62"/>
        <v>5239.5630000000001</v>
      </c>
      <c r="G472" s="250">
        <f t="shared" ref="G472:L474" si="63">G473</f>
        <v>5341.6</v>
      </c>
      <c r="H472" s="309"/>
      <c r="I472" s="250">
        <f t="shared" si="63"/>
        <v>5341.6</v>
      </c>
      <c r="J472" s="250">
        <f t="shared" si="63"/>
        <v>5341.6</v>
      </c>
      <c r="K472" s="250"/>
      <c r="L472" s="250">
        <f t="shared" si="63"/>
        <v>5341.6</v>
      </c>
    </row>
    <row r="473" spans="1:12" s="1" customFormat="1" ht="51.75" x14ac:dyDescent="0.25">
      <c r="A473" s="208" t="s">
        <v>440</v>
      </c>
      <c r="B473" s="208"/>
      <c r="C473" s="209" t="s">
        <v>439</v>
      </c>
      <c r="D473" s="251">
        <f t="shared" si="62"/>
        <v>5341.6</v>
      </c>
      <c r="E473" s="251">
        <f t="shared" si="62"/>
        <v>-102.03700000000001</v>
      </c>
      <c r="F473" s="251">
        <f t="shared" si="62"/>
        <v>5239.5630000000001</v>
      </c>
      <c r="G473" s="251">
        <f t="shared" si="63"/>
        <v>5341.6</v>
      </c>
      <c r="H473" s="310"/>
      <c r="I473" s="251">
        <f t="shared" si="63"/>
        <v>5341.6</v>
      </c>
      <c r="J473" s="251">
        <f t="shared" si="63"/>
        <v>5341.6</v>
      </c>
      <c r="K473" s="251"/>
      <c r="L473" s="251">
        <f t="shared" si="63"/>
        <v>5341.6</v>
      </c>
    </row>
    <row r="474" spans="1:12" s="1" customFormat="1" ht="51.75" x14ac:dyDescent="0.25">
      <c r="A474" s="7" t="s">
        <v>438</v>
      </c>
      <c r="B474" s="57"/>
      <c r="C474" s="6" t="s">
        <v>640</v>
      </c>
      <c r="D474" s="252">
        <f t="shared" si="62"/>
        <v>5341.6</v>
      </c>
      <c r="E474" s="252">
        <f t="shared" si="62"/>
        <v>-102.03700000000001</v>
      </c>
      <c r="F474" s="252">
        <f t="shared" si="62"/>
        <v>5239.5630000000001</v>
      </c>
      <c r="G474" s="252">
        <f t="shared" si="63"/>
        <v>5341.6</v>
      </c>
      <c r="H474" s="306"/>
      <c r="I474" s="252">
        <f t="shared" si="63"/>
        <v>5341.6</v>
      </c>
      <c r="J474" s="252">
        <f t="shared" si="63"/>
        <v>5341.6</v>
      </c>
      <c r="K474" s="252"/>
      <c r="L474" s="252">
        <f t="shared" si="63"/>
        <v>5341.6</v>
      </c>
    </row>
    <row r="475" spans="1:12" s="1" customFormat="1" ht="26.25" x14ac:dyDescent="0.25">
      <c r="A475" s="7"/>
      <c r="B475" s="7" t="s">
        <v>12</v>
      </c>
      <c r="C475" s="6" t="s">
        <v>11</v>
      </c>
      <c r="D475" s="252">
        <v>5341.6</v>
      </c>
      <c r="E475" s="253">
        <v>-102.03700000000001</v>
      </c>
      <c r="F475" s="252">
        <f>5341.6-102.037</f>
        <v>5239.5630000000001</v>
      </c>
      <c r="G475" s="252">
        <v>5341.6</v>
      </c>
      <c r="H475" s="306"/>
      <c r="I475" s="252">
        <v>5341.6</v>
      </c>
      <c r="J475" s="252">
        <v>5341.6</v>
      </c>
      <c r="K475" s="252"/>
      <c r="L475" s="252">
        <v>5341.6</v>
      </c>
    </row>
    <row r="476" spans="1:12" s="1" customFormat="1" ht="51.75" x14ac:dyDescent="0.25">
      <c r="A476" s="30" t="s">
        <v>417</v>
      </c>
      <c r="B476" s="30"/>
      <c r="C476" s="50" t="s">
        <v>416</v>
      </c>
      <c r="D476" s="250">
        <f>D477+D480</f>
        <v>930.90000000000009</v>
      </c>
      <c r="E476" s="250">
        <f>E477+E480</f>
        <v>68.972250000000003</v>
      </c>
      <c r="F476" s="250">
        <f t="shared" ref="F476:L476" si="64">F477+F480</f>
        <v>999.87225000000012</v>
      </c>
      <c r="G476" s="250">
        <f t="shared" si="64"/>
        <v>300.39999999999998</v>
      </c>
      <c r="H476" s="250"/>
      <c r="I476" s="250">
        <f t="shared" si="64"/>
        <v>300.39999999999998</v>
      </c>
      <c r="J476" s="250">
        <f t="shared" si="64"/>
        <v>0</v>
      </c>
      <c r="K476" s="250"/>
      <c r="L476" s="250">
        <f t="shared" si="64"/>
        <v>0</v>
      </c>
    </row>
    <row r="477" spans="1:12" s="1" customFormat="1" ht="42" customHeight="1" x14ac:dyDescent="0.25">
      <c r="A477" s="208" t="s">
        <v>415</v>
      </c>
      <c r="B477" s="208"/>
      <c r="C477" s="222" t="s">
        <v>414</v>
      </c>
      <c r="D477" s="251">
        <f t="shared" ref="D477:F478" si="65">D478</f>
        <v>898.2</v>
      </c>
      <c r="E477" s="251">
        <f t="shared" si="65"/>
        <v>68.972250000000003</v>
      </c>
      <c r="F477" s="251">
        <f t="shared" si="65"/>
        <v>967.17225000000008</v>
      </c>
      <c r="G477" s="251">
        <v>0</v>
      </c>
      <c r="H477" s="310"/>
      <c r="I477" s="251">
        <v>0</v>
      </c>
      <c r="J477" s="251">
        <v>0</v>
      </c>
      <c r="K477" s="251"/>
      <c r="L477" s="251">
        <v>0</v>
      </c>
    </row>
    <row r="478" spans="1:12" s="1" customFormat="1" ht="39" x14ac:dyDescent="0.25">
      <c r="A478" s="7" t="s">
        <v>814</v>
      </c>
      <c r="B478" s="7"/>
      <c r="C478" s="94" t="s">
        <v>413</v>
      </c>
      <c r="D478" s="252">
        <f t="shared" si="65"/>
        <v>898.2</v>
      </c>
      <c r="E478" s="252">
        <f t="shared" si="65"/>
        <v>68.972250000000003</v>
      </c>
      <c r="F478" s="252">
        <f t="shared" si="65"/>
        <v>967.17225000000008</v>
      </c>
      <c r="G478" s="252">
        <v>0</v>
      </c>
      <c r="H478" s="306"/>
      <c r="I478" s="252">
        <v>0</v>
      </c>
      <c r="J478" s="252">
        <v>0</v>
      </c>
      <c r="K478" s="252"/>
      <c r="L478" s="252">
        <v>0</v>
      </c>
    </row>
    <row r="479" spans="1:12" s="1" customFormat="1" ht="26.25" x14ac:dyDescent="0.25">
      <c r="A479" s="7"/>
      <c r="B479" s="7" t="s">
        <v>12</v>
      </c>
      <c r="C479" s="6" t="s">
        <v>11</v>
      </c>
      <c r="D479" s="252">
        <v>898.2</v>
      </c>
      <c r="E479" s="253">
        <v>68.972250000000003</v>
      </c>
      <c r="F479" s="252">
        <f>SUM(D479:E479)</f>
        <v>967.17225000000008</v>
      </c>
      <c r="G479" s="252">
        <v>0</v>
      </c>
      <c r="H479" s="306"/>
      <c r="I479" s="252">
        <v>0</v>
      </c>
      <c r="J479" s="252">
        <v>0</v>
      </c>
      <c r="K479" s="252"/>
      <c r="L479" s="252">
        <v>0</v>
      </c>
    </row>
    <row r="480" spans="1:12" s="1" customFormat="1" ht="39" x14ac:dyDescent="0.25">
      <c r="A480" s="208" t="s">
        <v>848</v>
      </c>
      <c r="B480" s="208"/>
      <c r="C480" s="222" t="s">
        <v>849</v>
      </c>
      <c r="D480" s="251">
        <f t="shared" ref="D480:G481" si="66">D481</f>
        <v>32.700000000000003</v>
      </c>
      <c r="E480" s="251"/>
      <c r="F480" s="251">
        <f t="shared" si="66"/>
        <v>32.700000000000003</v>
      </c>
      <c r="G480" s="310">
        <f t="shared" si="66"/>
        <v>300.39999999999998</v>
      </c>
      <c r="H480" s="310"/>
      <c r="I480" s="310">
        <f>I481</f>
        <v>300.39999999999998</v>
      </c>
      <c r="J480" s="251">
        <v>0</v>
      </c>
      <c r="K480" s="251"/>
      <c r="L480" s="251">
        <v>0</v>
      </c>
    </row>
    <row r="481" spans="1:12" s="1" customFormat="1" ht="39" x14ac:dyDescent="0.25">
      <c r="A481" s="318" t="s">
        <v>931</v>
      </c>
      <c r="B481" s="318"/>
      <c r="C481" s="323" t="s">
        <v>850</v>
      </c>
      <c r="D481" s="320">
        <f t="shared" si="66"/>
        <v>32.700000000000003</v>
      </c>
      <c r="E481" s="320"/>
      <c r="F481" s="320">
        <f t="shared" si="66"/>
        <v>32.700000000000003</v>
      </c>
      <c r="G481" s="320">
        <f>G482</f>
        <v>300.39999999999998</v>
      </c>
      <c r="H481" s="320"/>
      <c r="I481" s="320">
        <f>I482</f>
        <v>300.39999999999998</v>
      </c>
      <c r="J481" s="320">
        <f>J482</f>
        <v>0</v>
      </c>
      <c r="K481" s="320"/>
      <c r="L481" s="320">
        <f>L482</f>
        <v>0</v>
      </c>
    </row>
    <row r="482" spans="1:12" s="1" customFormat="1" ht="26.25" x14ac:dyDescent="0.25">
      <c r="A482" s="318"/>
      <c r="B482" s="7" t="s">
        <v>12</v>
      </c>
      <c r="C482" s="6" t="s">
        <v>11</v>
      </c>
      <c r="D482" s="320">
        <v>32.700000000000003</v>
      </c>
      <c r="E482" s="320"/>
      <c r="F482" s="320">
        <v>32.700000000000003</v>
      </c>
      <c r="G482" s="320">
        <v>300.39999999999998</v>
      </c>
      <c r="H482" s="320"/>
      <c r="I482" s="320">
        <v>300.39999999999998</v>
      </c>
      <c r="J482" s="320">
        <v>0</v>
      </c>
      <c r="K482" s="320"/>
      <c r="L482" s="320">
        <v>0</v>
      </c>
    </row>
    <row r="483" spans="1:12" s="1" customFormat="1" ht="51.75" x14ac:dyDescent="0.25">
      <c r="A483" s="225" t="s">
        <v>317</v>
      </c>
      <c r="B483" s="225"/>
      <c r="C483" s="228" t="s">
        <v>316</v>
      </c>
      <c r="D483" s="249">
        <f>D484+D490</f>
        <v>8730.6788299999989</v>
      </c>
      <c r="E483" s="249"/>
      <c r="F483" s="249">
        <f t="shared" ref="F483:L483" si="67">F484+F490</f>
        <v>8730.6788299999989</v>
      </c>
      <c r="G483" s="249">
        <f t="shared" si="67"/>
        <v>8479.7084899999991</v>
      </c>
      <c r="H483" s="249"/>
      <c r="I483" s="249">
        <f t="shared" si="67"/>
        <v>8479.7084899999991</v>
      </c>
      <c r="J483" s="249">
        <f t="shared" si="67"/>
        <v>8233.9601700000003</v>
      </c>
      <c r="K483" s="249"/>
      <c r="L483" s="249">
        <f t="shared" si="67"/>
        <v>8233.9601700000003</v>
      </c>
    </row>
    <row r="484" spans="1:12" s="1" customFormat="1" ht="39" x14ac:dyDescent="0.25">
      <c r="A484" s="325" t="s">
        <v>853</v>
      </c>
      <c r="B484" s="216"/>
      <c r="C484" s="328" t="s">
        <v>855</v>
      </c>
      <c r="D484" s="251">
        <f>D485</f>
        <v>6415.7461299999995</v>
      </c>
      <c r="E484" s="251"/>
      <c r="F484" s="251">
        <f t="shared" ref="F484:L485" si="68">F485</f>
        <v>6415.7461299999995</v>
      </c>
      <c r="G484" s="251">
        <f t="shared" si="68"/>
        <v>6164.7757899999997</v>
      </c>
      <c r="H484" s="251"/>
      <c r="I484" s="251">
        <f t="shared" si="68"/>
        <v>6164.7757899999997</v>
      </c>
      <c r="J484" s="251">
        <f t="shared" si="68"/>
        <v>5919.0274700000009</v>
      </c>
      <c r="K484" s="251"/>
      <c r="L484" s="251">
        <f t="shared" si="68"/>
        <v>5919.0274700000009</v>
      </c>
    </row>
    <row r="485" spans="1:12" s="1" customFormat="1" ht="39" x14ac:dyDescent="0.25">
      <c r="A485" s="327" t="s">
        <v>854</v>
      </c>
      <c r="B485" s="52"/>
      <c r="C485" s="12" t="s">
        <v>795</v>
      </c>
      <c r="D485" s="252">
        <f>D486</f>
        <v>6415.7461299999995</v>
      </c>
      <c r="E485" s="252"/>
      <c r="F485" s="252">
        <f t="shared" si="68"/>
        <v>6415.7461299999995</v>
      </c>
      <c r="G485" s="252">
        <f t="shared" si="68"/>
        <v>6164.7757899999997</v>
      </c>
      <c r="H485" s="252"/>
      <c r="I485" s="252">
        <f t="shared" si="68"/>
        <v>6164.7757899999997</v>
      </c>
      <c r="J485" s="252">
        <f t="shared" si="68"/>
        <v>5919.0274700000009</v>
      </c>
      <c r="K485" s="252"/>
      <c r="L485" s="252">
        <f t="shared" si="68"/>
        <v>5919.0274700000009</v>
      </c>
    </row>
    <row r="486" spans="1:12" s="1" customFormat="1" ht="26.25" x14ac:dyDescent="0.25">
      <c r="A486" s="91"/>
      <c r="B486" s="7" t="s">
        <v>12</v>
      </c>
      <c r="C486" s="6" t="s">
        <v>11</v>
      </c>
      <c r="D486" s="252">
        <f>D487+D488+D489</f>
        <v>6415.7461299999995</v>
      </c>
      <c r="E486" s="252"/>
      <c r="F486" s="252">
        <f>F487+F488+F489</f>
        <v>6415.7461299999995</v>
      </c>
      <c r="G486" s="252">
        <f>G487+G488+G489</f>
        <v>6164.7757899999997</v>
      </c>
      <c r="H486" s="252"/>
      <c r="I486" s="252">
        <f>I487+I488+I489</f>
        <v>6164.7757899999997</v>
      </c>
      <c r="J486" s="252">
        <f>J487+J488+J489</f>
        <v>5919.0274700000009</v>
      </c>
      <c r="K486" s="252"/>
      <c r="L486" s="252">
        <f>L487+L488+L489</f>
        <v>5919.0274700000009</v>
      </c>
    </row>
    <row r="487" spans="1:12" s="1" customFormat="1" ht="15" x14ac:dyDescent="0.25">
      <c r="A487" s="91"/>
      <c r="B487" s="7"/>
      <c r="C487" s="6" t="s">
        <v>115</v>
      </c>
      <c r="D487" s="252">
        <v>5543.2046600000003</v>
      </c>
      <c r="E487" s="252"/>
      <c r="F487" s="252">
        <v>5543.2046600000003</v>
      </c>
      <c r="G487" s="252">
        <v>5326.3662800000002</v>
      </c>
      <c r="H487" s="252"/>
      <c r="I487" s="252">
        <v>5326.3662800000002</v>
      </c>
      <c r="J487" s="252">
        <v>5114.0397300000004</v>
      </c>
      <c r="K487" s="252"/>
      <c r="L487" s="252">
        <v>5114.0397300000004</v>
      </c>
    </row>
    <row r="488" spans="1:12" s="1" customFormat="1" ht="15" x14ac:dyDescent="0.25">
      <c r="A488" s="91"/>
      <c r="B488" s="7"/>
      <c r="C488" s="6" t="s">
        <v>114</v>
      </c>
      <c r="D488" s="252">
        <v>230.96686</v>
      </c>
      <c r="E488" s="252"/>
      <c r="F488" s="252">
        <v>230.96686</v>
      </c>
      <c r="G488" s="252">
        <v>221.93192999999999</v>
      </c>
      <c r="H488" s="252"/>
      <c r="I488" s="252">
        <v>221.93192999999999</v>
      </c>
      <c r="J488" s="252">
        <v>213.08499</v>
      </c>
      <c r="K488" s="252"/>
      <c r="L488" s="252">
        <v>213.08499</v>
      </c>
    </row>
    <row r="489" spans="1:12" s="1" customFormat="1" ht="15" x14ac:dyDescent="0.25">
      <c r="A489" s="91"/>
      <c r="B489" s="7"/>
      <c r="C489" s="6" t="s">
        <v>106</v>
      </c>
      <c r="D489" s="252">
        <v>641.57461000000001</v>
      </c>
      <c r="E489" s="252"/>
      <c r="F489" s="252">
        <v>641.57461000000001</v>
      </c>
      <c r="G489" s="252">
        <v>616.47757999999999</v>
      </c>
      <c r="H489" s="252"/>
      <c r="I489" s="252">
        <v>616.47757999999999</v>
      </c>
      <c r="J489" s="252">
        <v>591.90274999999997</v>
      </c>
      <c r="K489" s="252"/>
      <c r="L489" s="252">
        <v>591.90274999999997</v>
      </c>
    </row>
    <row r="490" spans="1:12" s="1" customFormat="1" ht="39" x14ac:dyDescent="0.25">
      <c r="A490" s="208" t="s">
        <v>315</v>
      </c>
      <c r="B490" s="216"/>
      <c r="C490" s="209" t="s">
        <v>314</v>
      </c>
      <c r="D490" s="251">
        <f t="shared" ref="D490:L491" si="69">D491</f>
        <v>2314.9326999999998</v>
      </c>
      <c r="E490" s="251"/>
      <c r="F490" s="251">
        <f t="shared" si="69"/>
        <v>2314.9326999999998</v>
      </c>
      <c r="G490" s="251">
        <f t="shared" si="69"/>
        <v>2314.9326999999998</v>
      </c>
      <c r="H490" s="310"/>
      <c r="I490" s="251">
        <f t="shared" si="69"/>
        <v>2314.9326999999998</v>
      </c>
      <c r="J490" s="251">
        <f t="shared" si="69"/>
        <v>2314.9326999999998</v>
      </c>
      <c r="K490" s="251"/>
      <c r="L490" s="251">
        <f t="shared" si="69"/>
        <v>2314.9326999999998</v>
      </c>
    </row>
    <row r="491" spans="1:12" s="1" customFormat="1" ht="51.75" x14ac:dyDescent="0.25">
      <c r="A491" s="91" t="s">
        <v>313</v>
      </c>
      <c r="B491" s="52"/>
      <c r="C491" s="6" t="s">
        <v>734</v>
      </c>
      <c r="D491" s="252">
        <f t="shared" si="69"/>
        <v>2314.9326999999998</v>
      </c>
      <c r="E491" s="252"/>
      <c r="F491" s="252">
        <f t="shared" si="69"/>
        <v>2314.9326999999998</v>
      </c>
      <c r="G491" s="252">
        <f t="shared" si="69"/>
        <v>2314.9326999999998</v>
      </c>
      <c r="H491" s="306"/>
      <c r="I491" s="252">
        <f t="shared" si="69"/>
        <v>2314.9326999999998</v>
      </c>
      <c r="J491" s="252">
        <f t="shared" si="69"/>
        <v>2314.9326999999998</v>
      </c>
      <c r="K491" s="252"/>
      <c r="L491" s="252">
        <f t="shared" si="69"/>
        <v>2314.9326999999998</v>
      </c>
    </row>
    <row r="492" spans="1:12" s="1" customFormat="1" ht="26.25" x14ac:dyDescent="0.25">
      <c r="A492" s="91"/>
      <c r="B492" s="7" t="s">
        <v>12</v>
      </c>
      <c r="C492" s="6" t="s">
        <v>11</v>
      </c>
      <c r="D492" s="252">
        <f>D493+D494</f>
        <v>2314.9326999999998</v>
      </c>
      <c r="E492" s="252"/>
      <c r="F492" s="252">
        <f>F493+F494</f>
        <v>2314.9326999999998</v>
      </c>
      <c r="G492" s="252">
        <f>G493+G494</f>
        <v>2314.9326999999998</v>
      </c>
      <c r="H492" s="306"/>
      <c r="I492" s="252">
        <f>I493+I494</f>
        <v>2314.9326999999998</v>
      </c>
      <c r="J492" s="252">
        <f>J493+J494</f>
        <v>2314.9326999999998</v>
      </c>
      <c r="K492" s="252"/>
      <c r="L492" s="252">
        <f>L493+L494</f>
        <v>2314.9326999999998</v>
      </c>
    </row>
    <row r="493" spans="1:12" s="1" customFormat="1" ht="15" x14ac:dyDescent="0.25">
      <c r="A493" s="91"/>
      <c r="B493" s="7"/>
      <c r="C493" s="6" t="s">
        <v>114</v>
      </c>
      <c r="D493" s="252">
        <v>2083.4394299999999</v>
      </c>
      <c r="E493" s="252"/>
      <c r="F493" s="252">
        <v>2083.4394299999999</v>
      </c>
      <c r="G493" s="252">
        <v>2083.4394299999999</v>
      </c>
      <c r="H493" s="306"/>
      <c r="I493" s="252">
        <v>2083.4394299999999</v>
      </c>
      <c r="J493" s="252">
        <v>2083.4394299999999</v>
      </c>
      <c r="K493" s="252"/>
      <c r="L493" s="252">
        <v>2083.4394299999999</v>
      </c>
    </row>
    <row r="494" spans="1:12" s="1" customFormat="1" ht="15" x14ac:dyDescent="0.25">
      <c r="A494" s="91"/>
      <c r="B494" s="7"/>
      <c r="C494" s="6" t="s">
        <v>106</v>
      </c>
      <c r="D494" s="252">
        <v>231.49327</v>
      </c>
      <c r="E494" s="252"/>
      <c r="F494" s="252">
        <v>231.49327</v>
      </c>
      <c r="G494" s="252">
        <v>231.49327</v>
      </c>
      <c r="H494" s="306"/>
      <c r="I494" s="252">
        <v>231.49327</v>
      </c>
      <c r="J494" s="252">
        <v>231.49327</v>
      </c>
      <c r="K494" s="252"/>
      <c r="L494" s="252">
        <v>231.49327</v>
      </c>
    </row>
    <row r="495" spans="1:12" s="1" customFormat="1" ht="64.5" x14ac:dyDescent="0.25">
      <c r="A495" s="225" t="s">
        <v>473</v>
      </c>
      <c r="B495" s="225"/>
      <c r="C495" s="228" t="s">
        <v>472</v>
      </c>
      <c r="D495" s="249">
        <f t="shared" ref="D495:L495" si="70">D496+D506+D514</f>
        <v>26357.7</v>
      </c>
      <c r="E495" s="249">
        <f>E496+E506+E514</f>
        <v>891.3</v>
      </c>
      <c r="F495" s="249">
        <f t="shared" si="70"/>
        <v>27249</v>
      </c>
      <c r="G495" s="249">
        <f t="shared" si="70"/>
        <v>26794.7</v>
      </c>
      <c r="H495" s="249"/>
      <c r="I495" s="249">
        <f t="shared" si="70"/>
        <v>26794.700000000004</v>
      </c>
      <c r="J495" s="249">
        <f t="shared" si="70"/>
        <v>34520.200000000004</v>
      </c>
      <c r="K495" s="249"/>
      <c r="L495" s="249">
        <f t="shared" si="70"/>
        <v>34520.200000000004</v>
      </c>
    </row>
    <row r="496" spans="1:12" s="1" customFormat="1" ht="51.75" x14ac:dyDescent="0.25">
      <c r="A496" s="208" t="s">
        <v>508</v>
      </c>
      <c r="B496" s="208"/>
      <c r="C496" s="220" t="s">
        <v>507</v>
      </c>
      <c r="D496" s="251">
        <f t="shared" ref="D496:L496" si="71">D497+D499+D501+D503</f>
        <v>21524.3</v>
      </c>
      <c r="E496" s="251">
        <f>E497+E499+E501+E503</f>
        <v>1473.0922</v>
      </c>
      <c r="F496" s="251">
        <f t="shared" si="71"/>
        <v>22997.392199999998</v>
      </c>
      <c r="G496" s="251">
        <f t="shared" si="71"/>
        <v>22791.8</v>
      </c>
      <c r="H496" s="251"/>
      <c r="I496" s="251">
        <f t="shared" si="71"/>
        <v>22791.800000000003</v>
      </c>
      <c r="J496" s="251">
        <f t="shared" si="71"/>
        <v>22791.8</v>
      </c>
      <c r="K496" s="251"/>
      <c r="L496" s="251">
        <f t="shared" si="71"/>
        <v>22791.800000000003</v>
      </c>
    </row>
    <row r="497" spans="1:12" s="1" customFormat="1" ht="15" x14ac:dyDescent="0.25">
      <c r="A497" s="7" t="s">
        <v>506</v>
      </c>
      <c r="B497" s="7"/>
      <c r="C497" s="6" t="s">
        <v>505</v>
      </c>
      <c r="D497" s="252">
        <f>D498</f>
        <v>36.799999999999997</v>
      </c>
      <c r="E497" s="252"/>
      <c r="F497" s="252">
        <f>F498</f>
        <v>36.799999999999997</v>
      </c>
      <c r="G497" s="252">
        <f>G498</f>
        <v>36.799999999999997</v>
      </c>
      <c r="H497" s="306"/>
      <c r="I497" s="252">
        <f>I498</f>
        <v>36.799999999999997</v>
      </c>
      <c r="J497" s="252">
        <f>J498</f>
        <v>36.799999999999997</v>
      </c>
      <c r="K497" s="252"/>
      <c r="L497" s="252">
        <f>L498</f>
        <v>36.799999999999997</v>
      </c>
    </row>
    <row r="498" spans="1:12" s="1" customFormat="1" ht="26.25" x14ac:dyDescent="0.25">
      <c r="A498" s="7"/>
      <c r="B498" s="7" t="s">
        <v>12</v>
      </c>
      <c r="C498" s="6" t="s">
        <v>11</v>
      </c>
      <c r="D498" s="252">
        <v>36.799999999999997</v>
      </c>
      <c r="E498" s="252"/>
      <c r="F498" s="252">
        <v>36.799999999999997</v>
      </c>
      <c r="G498" s="252">
        <v>36.799999999999997</v>
      </c>
      <c r="H498" s="306"/>
      <c r="I498" s="252">
        <v>36.799999999999997</v>
      </c>
      <c r="J498" s="252">
        <v>36.799999999999997</v>
      </c>
      <c r="K498" s="252"/>
      <c r="L498" s="252">
        <v>36.799999999999997</v>
      </c>
    </row>
    <row r="499" spans="1:12" s="1" customFormat="1" ht="64.5" x14ac:dyDescent="0.25">
      <c r="A499" s="7" t="s">
        <v>504</v>
      </c>
      <c r="B499" s="7"/>
      <c r="C499" s="6" t="s">
        <v>591</v>
      </c>
      <c r="D499" s="252">
        <f>D500</f>
        <v>154.30000000000007</v>
      </c>
      <c r="E499" s="252">
        <f>E500</f>
        <v>-6.2077999999999998</v>
      </c>
      <c r="F499" s="252">
        <f>F500</f>
        <v>148.09220000000008</v>
      </c>
      <c r="G499" s="252">
        <f>G500</f>
        <v>115.5</v>
      </c>
      <c r="H499" s="306"/>
      <c r="I499" s="252">
        <f>I500</f>
        <v>115.5</v>
      </c>
      <c r="J499" s="252">
        <f>J500</f>
        <v>115.5</v>
      </c>
      <c r="K499" s="252"/>
      <c r="L499" s="252">
        <f>L500</f>
        <v>115.5</v>
      </c>
    </row>
    <row r="500" spans="1:12" s="1" customFormat="1" ht="26.25" x14ac:dyDescent="0.25">
      <c r="A500" s="7"/>
      <c r="B500" s="7" t="s">
        <v>12</v>
      </c>
      <c r="C500" s="6" t="s">
        <v>11</v>
      </c>
      <c r="D500" s="252">
        <f>833.1-678.8</f>
        <v>154.30000000000007</v>
      </c>
      <c r="E500" s="252">
        <v>-6.2077999999999998</v>
      </c>
      <c r="F500" s="252">
        <v>148.09220000000008</v>
      </c>
      <c r="G500" s="252">
        <v>115.5</v>
      </c>
      <c r="H500" s="306"/>
      <c r="I500" s="252">
        <v>115.5</v>
      </c>
      <c r="J500" s="252">
        <v>115.5</v>
      </c>
      <c r="K500" s="252"/>
      <c r="L500" s="252">
        <v>115.5</v>
      </c>
    </row>
    <row r="501" spans="1:12" s="1" customFormat="1" ht="51.75" x14ac:dyDescent="0.25">
      <c r="A501" s="7" t="s">
        <v>592</v>
      </c>
      <c r="B501" s="7"/>
      <c r="C501" s="6" t="s">
        <v>593</v>
      </c>
      <c r="D501" s="252">
        <f>D502</f>
        <v>618.9</v>
      </c>
      <c r="E501" s="252">
        <f>E502</f>
        <v>0</v>
      </c>
      <c r="F501" s="252">
        <f>F502</f>
        <v>618.9</v>
      </c>
      <c r="G501" s="252">
        <f>G502</f>
        <v>618.9</v>
      </c>
      <c r="H501" s="306"/>
      <c r="I501" s="252">
        <f>I502</f>
        <v>618.9</v>
      </c>
      <c r="J501" s="252">
        <f>J502</f>
        <v>618.9</v>
      </c>
      <c r="K501" s="252"/>
      <c r="L501" s="252">
        <f>L502</f>
        <v>618.9</v>
      </c>
    </row>
    <row r="502" spans="1:12" ht="25.5" x14ac:dyDescent="0.2">
      <c r="A502" s="7"/>
      <c r="B502" s="7" t="s">
        <v>12</v>
      </c>
      <c r="C502" s="6" t="s">
        <v>11</v>
      </c>
      <c r="D502" s="252">
        <v>618.9</v>
      </c>
      <c r="E502" s="252"/>
      <c r="F502" s="252">
        <v>618.9</v>
      </c>
      <c r="G502" s="252">
        <v>618.9</v>
      </c>
      <c r="H502" s="306"/>
      <c r="I502" s="252">
        <v>618.9</v>
      </c>
      <c r="J502" s="252">
        <v>618.9</v>
      </c>
      <c r="K502" s="252"/>
      <c r="L502" s="252">
        <v>618.9</v>
      </c>
    </row>
    <row r="503" spans="1:12" ht="25.5" x14ac:dyDescent="0.2">
      <c r="A503" s="7" t="s">
        <v>503</v>
      </c>
      <c r="B503" s="7"/>
      <c r="C503" s="106" t="s">
        <v>502</v>
      </c>
      <c r="D503" s="252">
        <f t="shared" ref="D503:L503" si="72">D504+D505</f>
        <v>20714.3</v>
      </c>
      <c r="E503" s="252">
        <f t="shared" si="72"/>
        <v>1479.3</v>
      </c>
      <c r="F503" s="252">
        <f t="shared" si="72"/>
        <v>22193.599999999999</v>
      </c>
      <c r="G503" s="252">
        <f t="shared" si="72"/>
        <v>22020.6</v>
      </c>
      <c r="H503" s="252"/>
      <c r="I503" s="252">
        <f t="shared" si="72"/>
        <v>22020.600000000002</v>
      </c>
      <c r="J503" s="252">
        <f t="shared" si="72"/>
        <v>22020.6</v>
      </c>
      <c r="K503" s="252"/>
      <c r="L503" s="252">
        <f t="shared" si="72"/>
        <v>22020.600000000002</v>
      </c>
    </row>
    <row r="504" spans="1:12" ht="63.75" x14ac:dyDescent="0.2">
      <c r="A504" s="7"/>
      <c r="B504" s="7" t="s">
        <v>2</v>
      </c>
      <c r="C504" s="6" t="s">
        <v>1</v>
      </c>
      <c r="D504" s="252">
        <v>19112.3</v>
      </c>
      <c r="E504" s="252">
        <v>891.3</v>
      </c>
      <c r="F504" s="252">
        <f>SUM(D504:E504)</f>
        <v>20003.599999999999</v>
      </c>
      <c r="G504" s="252">
        <v>20418.599999999999</v>
      </c>
      <c r="H504" s="306"/>
      <c r="I504" s="252">
        <f>18776.3+263.9+1378.4</f>
        <v>20418.600000000002</v>
      </c>
      <c r="J504" s="252">
        <v>20418.599999999999</v>
      </c>
      <c r="K504" s="252"/>
      <c r="L504" s="252">
        <f>18776.3+263.9+1378.4</f>
        <v>20418.600000000002</v>
      </c>
    </row>
    <row r="505" spans="1:12" ht="25.5" x14ac:dyDescent="0.2">
      <c r="A505" s="7"/>
      <c r="B505" s="7" t="s">
        <v>12</v>
      </c>
      <c r="C505" s="6" t="s">
        <v>11</v>
      </c>
      <c r="D505" s="252">
        <v>1602</v>
      </c>
      <c r="E505" s="252">
        <v>588</v>
      </c>
      <c r="F505" s="252">
        <v>2190</v>
      </c>
      <c r="G505" s="252">
        <v>1602</v>
      </c>
      <c r="H505" s="306"/>
      <c r="I505" s="252">
        <v>1602</v>
      </c>
      <c r="J505" s="252">
        <v>1602</v>
      </c>
      <c r="K505" s="252"/>
      <c r="L505" s="252">
        <v>1602</v>
      </c>
    </row>
    <row r="506" spans="1:12" ht="38.25" x14ac:dyDescent="0.2">
      <c r="A506" s="208" t="s">
        <v>499</v>
      </c>
      <c r="B506" s="208"/>
      <c r="C506" s="220" t="s">
        <v>498</v>
      </c>
      <c r="D506" s="251">
        <f>D507+D509+D512</f>
        <v>4616.2</v>
      </c>
      <c r="E506" s="251">
        <f>E507+E509+E512</f>
        <v>-574.34220000000005</v>
      </c>
      <c r="F506" s="251">
        <f>F507+F509+F512</f>
        <v>4041.8577999999998</v>
      </c>
      <c r="G506" s="251">
        <f>G507+G509+G512</f>
        <v>3997</v>
      </c>
      <c r="H506" s="310"/>
      <c r="I506" s="251">
        <f>I507+I509+I512</f>
        <v>3997</v>
      </c>
      <c r="J506" s="251">
        <f>J507+J509+J512</f>
        <v>11722.5</v>
      </c>
      <c r="K506" s="251"/>
      <c r="L506" s="251">
        <f>L507+L509+L512</f>
        <v>11722.5</v>
      </c>
    </row>
    <row r="507" spans="1:12" ht="25.5" x14ac:dyDescent="0.2">
      <c r="A507" s="7" t="s">
        <v>497</v>
      </c>
      <c r="B507" s="7"/>
      <c r="C507" s="94" t="s">
        <v>496</v>
      </c>
      <c r="D507" s="252">
        <f>D508</f>
        <v>115.90000000000009</v>
      </c>
      <c r="E507" s="252">
        <f>E508</f>
        <v>-0.65627999999999997</v>
      </c>
      <c r="F507" s="252">
        <f>F508</f>
        <v>115.2437200000001</v>
      </c>
      <c r="G507" s="252">
        <f>G508</f>
        <v>115.90000000000009</v>
      </c>
      <c r="H507" s="306"/>
      <c r="I507" s="252">
        <f>I508</f>
        <v>115.90000000000009</v>
      </c>
      <c r="J507" s="252">
        <f>J508</f>
        <v>9053.2999999999993</v>
      </c>
      <c r="K507" s="252"/>
      <c r="L507" s="252">
        <f>L508</f>
        <v>9053.2999999999993</v>
      </c>
    </row>
    <row r="508" spans="1:12" ht="25.5" x14ac:dyDescent="0.2">
      <c r="A508" s="7"/>
      <c r="B508" s="7" t="s">
        <v>12</v>
      </c>
      <c r="C508" s="6" t="s">
        <v>11</v>
      </c>
      <c r="D508" s="252">
        <f>4065.8-3949.9</f>
        <v>115.90000000000009</v>
      </c>
      <c r="E508" s="252">
        <v>-0.65627999999999997</v>
      </c>
      <c r="F508" s="252">
        <v>115.2437200000001</v>
      </c>
      <c r="G508" s="252">
        <f>2608.3-2492.4</f>
        <v>115.90000000000009</v>
      </c>
      <c r="H508" s="306"/>
      <c r="I508" s="252">
        <f>2608.3-2492.4</f>
        <v>115.90000000000009</v>
      </c>
      <c r="J508" s="252">
        <f>2611+3949.9+2492.4</f>
        <v>9053.2999999999993</v>
      </c>
      <c r="K508" s="252"/>
      <c r="L508" s="252">
        <f>2611+3949.9+2492.4</f>
        <v>9053.2999999999993</v>
      </c>
    </row>
    <row r="509" spans="1:12" ht="25.5" x14ac:dyDescent="0.2">
      <c r="A509" s="7" t="s">
        <v>495</v>
      </c>
      <c r="B509" s="7"/>
      <c r="C509" s="12" t="s">
        <v>494</v>
      </c>
      <c r="D509" s="252">
        <f>D510+D511</f>
        <v>4001.6</v>
      </c>
      <c r="E509" s="252">
        <f>E510+E511</f>
        <v>-573.68592000000001</v>
      </c>
      <c r="F509" s="252">
        <f>F510+F511</f>
        <v>3427.91408</v>
      </c>
      <c r="G509" s="252">
        <f>G510+G511</f>
        <v>3395.6</v>
      </c>
      <c r="H509" s="306"/>
      <c r="I509" s="252">
        <f>I510+I511</f>
        <v>3395.6</v>
      </c>
      <c r="J509" s="252">
        <f>J510+J511</f>
        <v>2183.6999999999998</v>
      </c>
      <c r="K509" s="252"/>
      <c r="L509" s="252">
        <f>L510+L511</f>
        <v>2183.6999999999998</v>
      </c>
    </row>
    <row r="510" spans="1:12" ht="25.5" x14ac:dyDescent="0.2">
      <c r="A510" s="7"/>
      <c r="B510" s="7" t="s">
        <v>12</v>
      </c>
      <c r="C510" s="6" t="s">
        <v>11</v>
      </c>
      <c r="D510" s="259">
        <f>3894-24.3</f>
        <v>3869.7</v>
      </c>
      <c r="E510" s="259">
        <f>-23.68592-550</f>
        <v>-573.68592000000001</v>
      </c>
      <c r="F510" s="259">
        <f>SUM(D510:E510)</f>
        <v>3296.0140799999999</v>
      </c>
      <c r="G510" s="259">
        <f>3288-24.3</f>
        <v>3263.7</v>
      </c>
      <c r="H510" s="316"/>
      <c r="I510" s="259">
        <f>3288-24.3</f>
        <v>3263.7</v>
      </c>
      <c r="J510" s="259">
        <f>2076.1-24.3</f>
        <v>2051.7999999999997</v>
      </c>
      <c r="K510" s="259"/>
      <c r="L510" s="259">
        <f>2076.1-24.3</f>
        <v>2051.7999999999997</v>
      </c>
    </row>
    <row r="511" spans="1:12" ht="38.25" x14ac:dyDescent="0.2">
      <c r="A511" s="7"/>
      <c r="B511" s="7" t="s">
        <v>57</v>
      </c>
      <c r="C511" s="6" t="s">
        <v>56</v>
      </c>
      <c r="D511" s="259">
        <f>107.6+24.3</f>
        <v>131.9</v>
      </c>
      <c r="E511" s="259"/>
      <c r="F511" s="259">
        <f>107.6+24.3</f>
        <v>131.9</v>
      </c>
      <c r="G511" s="259">
        <f>107.6+24.3</f>
        <v>131.9</v>
      </c>
      <c r="H511" s="316"/>
      <c r="I511" s="259">
        <f>107.6+24.3</f>
        <v>131.9</v>
      </c>
      <c r="J511" s="259">
        <f>107.6+24.3</f>
        <v>131.9</v>
      </c>
      <c r="K511" s="259"/>
      <c r="L511" s="259">
        <f>107.6+24.3</f>
        <v>131.9</v>
      </c>
    </row>
    <row r="512" spans="1:12" ht="38.25" x14ac:dyDescent="0.2">
      <c r="A512" s="7" t="s">
        <v>493</v>
      </c>
      <c r="B512" s="7"/>
      <c r="C512" s="108" t="s">
        <v>641</v>
      </c>
      <c r="D512" s="252">
        <f>D513</f>
        <v>498.7</v>
      </c>
      <c r="E512" s="252"/>
      <c r="F512" s="252">
        <f>F513</f>
        <v>498.7</v>
      </c>
      <c r="G512" s="252">
        <f>G513</f>
        <v>485.5</v>
      </c>
      <c r="H512" s="306"/>
      <c r="I512" s="252">
        <f>I513</f>
        <v>485.5</v>
      </c>
      <c r="J512" s="252">
        <f>J513</f>
        <v>485.5</v>
      </c>
      <c r="K512" s="252"/>
      <c r="L512" s="252">
        <f>L513</f>
        <v>485.5</v>
      </c>
    </row>
    <row r="513" spans="1:12" ht="25.5" x14ac:dyDescent="0.2">
      <c r="A513" s="7"/>
      <c r="B513" s="7" t="s">
        <v>2</v>
      </c>
      <c r="C513" s="6" t="s">
        <v>11</v>
      </c>
      <c r="D513" s="252">
        <v>498.7</v>
      </c>
      <c r="E513" s="252"/>
      <c r="F513" s="252">
        <v>498.7</v>
      </c>
      <c r="G513" s="252">
        <v>485.5</v>
      </c>
      <c r="H513" s="306"/>
      <c r="I513" s="252">
        <v>485.5</v>
      </c>
      <c r="J513" s="252">
        <v>485.5</v>
      </c>
      <c r="K513" s="252"/>
      <c r="L513" s="252">
        <v>485.5</v>
      </c>
    </row>
    <row r="514" spans="1:12" ht="25.5" x14ac:dyDescent="0.2">
      <c r="A514" s="208" t="s">
        <v>471</v>
      </c>
      <c r="B514" s="208"/>
      <c r="C514" s="220" t="s">
        <v>642</v>
      </c>
      <c r="D514" s="251">
        <f t="shared" ref="D514:L515" si="73">D515</f>
        <v>217.2</v>
      </c>
      <c r="E514" s="251">
        <f t="shared" si="73"/>
        <v>-7.45</v>
      </c>
      <c r="F514" s="251">
        <f t="shared" si="73"/>
        <v>209.75</v>
      </c>
      <c r="G514" s="251">
        <f t="shared" si="73"/>
        <v>5.9</v>
      </c>
      <c r="H514" s="310"/>
      <c r="I514" s="251">
        <f t="shared" si="73"/>
        <v>5.9</v>
      </c>
      <c r="J514" s="251">
        <f t="shared" si="73"/>
        <v>5.9</v>
      </c>
      <c r="K514" s="251"/>
      <c r="L514" s="251">
        <f t="shared" si="73"/>
        <v>5.9</v>
      </c>
    </row>
    <row r="515" spans="1:12" x14ac:dyDescent="0.2">
      <c r="A515" s="131" t="s">
        <v>469</v>
      </c>
      <c r="B515" s="133"/>
      <c r="C515" s="6" t="s">
        <v>788</v>
      </c>
      <c r="D515" s="252">
        <f t="shared" si="73"/>
        <v>217.2</v>
      </c>
      <c r="E515" s="252">
        <f t="shared" si="73"/>
        <v>-7.45</v>
      </c>
      <c r="F515" s="252">
        <f t="shared" si="73"/>
        <v>209.75</v>
      </c>
      <c r="G515" s="252">
        <f t="shared" si="73"/>
        <v>5.9</v>
      </c>
      <c r="H515" s="306"/>
      <c r="I515" s="252">
        <f t="shared" si="73"/>
        <v>5.9</v>
      </c>
      <c r="J515" s="252">
        <f t="shared" si="73"/>
        <v>5.9</v>
      </c>
      <c r="K515" s="252"/>
      <c r="L515" s="252">
        <f t="shared" si="73"/>
        <v>5.9</v>
      </c>
    </row>
    <row r="516" spans="1:12" ht="25.5" x14ac:dyDescent="0.2">
      <c r="A516" s="133"/>
      <c r="B516" s="7" t="s">
        <v>12</v>
      </c>
      <c r="C516" s="6" t="s">
        <v>11</v>
      </c>
      <c r="D516" s="252">
        <v>217.2</v>
      </c>
      <c r="E516" s="252">
        <v>-7.45</v>
      </c>
      <c r="F516" s="252">
        <f>SUM(D516:E516)</f>
        <v>209.75</v>
      </c>
      <c r="G516" s="252">
        <v>5.9</v>
      </c>
      <c r="H516" s="306"/>
      <c r="I516" s="252">
        <v>5.9</v>
      </c>
      <c r="J516" s="252">
        <v>5.9</v>
      </c>
      <c r="K516" s="252"/>
      <c r="L516" s="252">
        <v>5.9</v>
      </c>
    </row>
    <row r="517" spans="1:12" ht="51" x14ac:dyDescent="0.2">
      <c r="A517" s="225" t="s">
        <v>369</v>
      </c>
      <c r="B517" s="229"/>
      <c r="C517" s="228" t="s">
        <v>644</v>
      </c>
      <c r="D517" s="249">
        <f>D519</f>
        <v>609.95561999999995</v>
      </c>
      <c r="E517" s="249">
        <f>E519</f>
        <v>21.248519999999999</v>
      </c>
      <c r="F517" s="249">
        <f>F519</f>
        <v>631.20413999999994</v>
      </c>
      <c r="G517" s="249">
        <f t="shared" ref="G517:L517" si="74">G519</f>
        <v>2004.1185099999998</v>
      </c>
      <c r="H517" s="249">
        <f t="shared" si="74"/>
        <v>-21.248519999999999</v>
      </c>
      <c r="I517" s="249">
        <f t="shared" si="74"/>
        <v>1982.8699899999997</v>
      </c>
      <c r="J517" s="249">
        <f t="shared" si="74"/>
        <v>2809.6476299999999</v>
      </c>
      <c r="K517" s="249">
        <f t="shared" si="74"/>
        <v>0</v>
      </c>
      <c r="L517" s="249">
        <f t="shared" si="74"/>
        <v>2809.6476299999999</v>
      </c>
    </row>
    <row r="518" spans="1:12" ht="63.75" x14ac:dyDescent="0.2">
      <c r="A518" s="208" t="s">
        <v>789</v>
      </c>
      <c r="B518" s="216"/>
      <c r="C518" s="209" t="s">
        <v>364</v>
      </c>
      <c r="D518" s="251">
        <f t="shared" ref="D518:L518" si="75">D519</f>
        <v>609.95561999999995</v>
      </c>
      <c r="E518" s="251">
        <f t="shared" si="75"/>
        <v>21.248519999999999</v>
      </c>
      <c r="F518" s="251">
        <f t="shared" si="75"/>
        <v>631.20413999999994</v>
      </c>
      <c r="G518" s="251">
        <f t="shared" si="75"/>
        <v>2004.1185099999998</v>
      </c>
      <c r="H518" s="251">
        <f t="shared" si="75"/>
        <v>-21.248519999999999</v>
      </c>
      <c r="I518" s="251">
        <f t="shared" si="75"/>
        <v>1982.8699899999997</v>
      </c>
      <c r="J518" s="251">
        <f t="shared" si="75"/>
        <v>2809.6476299999999</v>
      </c>
      <c r="K518" s="251">
        <f t="shared" si="75"/>
        <v>0</v>
      </c>
      <c r="L518" s="251">
        <f t="shared" si="75"/>
        <v>2809.6476299999999</v>
      </c>
    </row>
    <row r="519" spans="1:12" ht="51" x14ac:dyDescent="0.2">
      <c r="A519" s="194" t="s">
        <v>608</v>
      </c>
      <c r="B519" s="194"/>
      <c r="C519" s="195" t="s">
        <v>790</v>
      </c>
      <c r="D519" s="252">
        <f>D520</f>
        <v>609.95561999999995</v>
      </c>
      <c r="E519" s="252">
        <f>E520+E524</f>
        <v>21.248519999999999</v>
      </c>
      <c r="F519" s="252">
        <f>F520+F524</f>
        <v>631.20413999999994</v>
      </c>
      <c r="G519" s="252">
        <f t="shared" ref="G519:L519" si="76">G520+G524</f>
        <v>2004.1185099999998</v>
      </c>
      <c r="H519" s="252">
        <f t="shared" si="76"/>
        <v>-21.248519999999999</v>
      </c>
      <c r="I519" s="252">
        <f t="shared" si="76"/>
        <v>1982.8699899999997</v>
      </c>
      <c r="J519" s="252">
        <f t="shared" si="76"/>
        <v>2809.6476299999999</v>
      </c>
      <c r="K519" s="252">
        <f t="shared" si="76"/>
        <v>0</v>
      </c>
      <c r="L519" s="252">
        <f t="shared" si="76"/>
        <v>2809.6476299999999</v>
      </c>
    </row>
    <row r="520" spans="1:12" ht="25.5" x14ac:dyDescent="0.2">
      <c r="A520" s="194"/>
      <c r="B520" s="194">
        <v>300</v>
      </c>
      <c r="C520" s="6" t="s">
        <v>78</v>
      </c>
      <c r="D520" s="252">
        <f>D523</f>
        <v>609.95561999999995</v>
      </c>
      <c r="E520" s="252">
        <f>E523</f>
        <v>21.248519999999999</v>
      </c>
      <c r="F520" s="252">
        <f>F523</f>
        <v>631.20413999999994</v>
      </c>
      <c r="G520" s="252">
        <f>G521+G522+G523</f>
        <v>1768.0656799999999</v>
      </c>
      <c r="H520" s="306">
        <f>H523</f>
        <v>-21.248519999999999</v>
      </c>
      <c r="I520" s="252">
        <f>I521+I522+I523</f>
        <v>1746.8171599999998</v>
      </c>
      <c r="J520" s="252">
        <f>J521+J522+J523</f>
        <v>1541.13816</v>
      </c>
      <c r="K520" s="252">
        <f>K523</f>
        <v>0</v>
      </c>
      <c r="L520" s="252">
        <f>L521+L522+L523</f>
        <v>1541.13816</v>
      </c>
    </row>
    <row r="521" spans="1:12" x14ac:dyDescent="0.2">
      <c r="A521" s="196"/>
      <c r="B521" s="196"/>
      <c r="C521" s="196" t="s">
        <v>645</v>
      </c>
      <c r="D521" s="252">
        <v>0</v>
      </c>
      <c r="E521" s="252"/>
      <c r="F521" s="252">
        <v>0</v>
      </c>
      <c r="G521" s="252">
        <v>0</v>
      </c>
      <c r="H521" s="306"/>
      <c r="I521" s="252">
        <v>0</v>
      </c>
      <c r="J521" s="252">
        <v>0</v>
      </c>
      <c r="K521" s="252"/>
      <c r="L521" s="252">
        <v>0</v>
      </c>
    </row>
    <row r="522" spans="1:12" x14ac:dyDescent="0.2">
      <c r="A522" s="196"/>
      <c r="B522" s="196"/>
      <c r="C522" s="196" t="s">
        <v>646</v>
      </c>
      <c r="D522" s="252">
        <v>0</v>
      </c>
      <c r="E522" s="252"/>
      <c r="F522" s="252">
        <v>0</v>
      </c>
      <c r="G522" s="252">
        <v>0</v>
      </c>
      <c r="H522" s="306"/>
      <c r="I522" s="252">
        <v>0</v>
      </c>
      <c r="J522" s="252">
        <v>0</v>
      </c>
      <c r="K522" s="252"/>
      <c r="L522" s="252">
        <v>0</v>
      </c>
    </row>
    <row r="523" spans="1:12" x14ac:dyDescent="0.2">
      <c r="A523" s="196"/>
      <c r="B523" s="196"/>
      <c r="C523" s="195" t="s">
        <v>647</v>
      </c>
      <c r="D523" s="252">
        <v>609.95561999999995</v>
      </c>
      <c r="E523" s="252">
        <v>21.248519999999999</v>
      </c>
      <c r="F523" s="252">
        <f>SUM(D523:E523)</f>
        <v>631.20413999999994</v>
      </c>
      <c r="G523" s="252">
        <v>1768.0656799999999</v>
      </c>
      <c r="H523" s="306">
        <v>-21.248519999999999</v>
      </c>
      <c r="I523" s="252">
        <f>SUM(G523:H523)</f>
        <v>1746.8171599999998</v>
      </c>
      <c r="J523" s="252">
        <v>1541.13816</v>
      </c>
      <c r="K523" s="252"/>
      <c r="L523" s="252">
        <f>2518.72556-977.5874</f>
        <v>1541.13816</v>
      </c>
    </row>
    <row r="524" spans="1:12" ht="38.25" x14ac:dyDescent="0.2">
      <c r="A524" s="194"/>
      <c r="B524" s="194">
        <v>400</v>
      </c>
      <c r="C524" s="6" t="s">
        <v>271</v>
      </c>
      <c r="D524" s="252">
        <v>0</v>
      </c>
      <c r="E524" s="252"/>
      <c r="F524" s="252">
        <v>0</v>
      </c>
      <c r="G524" s="252">
        <f>G525+G526+G527</f>
        <v>236.05282999999997</v>
      </c>
      <c r="H524" s="306">
        <f>H527</f>
        <v>0</v>
      </c>
      <c r="I524" s="252">
        <f>I525+I526+I527</f>
        <v>236.05282999999997</v>
      </c>
      <c r="J524" s="252">
        <f>J525+J526+J527</f>
        <v>1268.50947</v>
      </c>
      <c r="K524" s="252">
        <f>K527</f>
        <v>0</v>
      </c>
      <c r="L524" s="252">
        <f>L525+L526+L527</f>
        <v>1268.50947</v>
      </c>
    </row>
    <row r="525" spans="1:12" x14ac:dyDescent="0.2">
      <c r="A525" s="196"/>
      <c r="B525" s="196"/>
      <c r="C525" s="196" t="s">
        <v>645</v>
      </c>
      <c r="D525" s="252">
        <v>0</v>
      </c>
      <c r="E525" s="252"/>
      <c r="F525" s="252">
        <v>0</v>
      </c>
      <c r="G525" s="252">
        <v>0</v>
      </c>
      <c r="H525" s="306"/>
      <c r="I525" s="252">
        <v>0</v>
      </c>
      <c r="J525" s="252">
        <v>0</v>
      </c>
      <c r="K525" s="252"/>
      <c r="L525" s="252">
        <v>0</v>
      </c>
    </row>
    <row r="526" spans="1:12" x14ac:dyDescent="0.2">
      <c r="A526" s="196"/>
      <c r="B526" s="196"/>
      <c r="C526" s="196" t="s">
        <v>646</v>
      </c>
      <c r="D526" s="252">
        <v>0</v>
      </c>
      <c r="E526" s="252"/>
      <c r="F526" s="252">
        <v>0</v>
      </c>
      <c r="G526" s="252">
        <v>0</v>
      </c>
      <c r="H526" s="306"/>
      <c r="I526" s="252">
        <v>0</v>
      </c>
      <c r="J526" s="252">
        <v>0</v>
      </c>
      <c r="K526" s="252"/>
      <c r="L526" s="252">
        <v>0</v>
      </c>
    </row>
    <row r="527" spans="1:12" x14ac:dyDescent="0.2">
      <c r="A527" s="196"/>
      <c r="B527" s="196"/>
      <c r="C527" s="195" t="s">
        <v>647</v>
      </c>
      <c r="D527" s="252">
        <v>0</v>
      </c>
      <c r="E527" s="252"/>
      <c r="F527" s="252">
        <v>0</v>
      </c>
      <c r="G527" s="252">
        <v>236.05282999999997</v>
      </c>
      <c r="H527" s="306"/>
      <c r="I527" s="252">
        <f>194.59908+41.45375</f>
        <v>236.05282999999997</v>
      </c>
      <c r="J527" s="252">
        <v>1268.50947</v>
      </c>
      <c r="K527" s="252"/>
      <c r="L527" s="252">
        <f>993.109+275.40047</f>
        <v>1268.50947</v>
      </c>
    </row>
    <row r="528" spans="1:12" ht="38.25" x14ac:dyDescent="0.2">
      <c r="A528" s="225" t="s">
        <v>395</v>
      </c>
      <c r="B528" s="229"/>
      <c r="C528" s="228" t="s">
        <v>648</v>
      </c>
      <c r="D528" s="249">
        <f>D529+D536</f>
        <v>8542.4439999999995</v>
      </c>
      <c r="E528" s="249"/>
      <c r="F528" s="249">
        <f>F529+F536</f>
        <v>8542.4439999999995</v>
      </c>
      <c r="G528" s="249">
        <f>G529+G536</f>
        <v>1040</v>
      </c>
      <c r="H528" s="308"/>
      <c r="I528" s="249">
        <f>I529+I536</f>
        <v>1040</v>
      </c>
      <c r="J528" s="249">
        <f>J529+J536</f>
        <v>638</v>
      </c>
      <c r="K528" s="249"/>
      <c r="L528" s="249">
        <f>L529+L536</f>
        <v>638</v>
      </c>
    </row>
    <row r="529" spans="1:12" ht="25.5" x14ac:dyDescent="0.2">
      <c r="A529" s="208" t="s">
        <v>393</v>
      </c>
      <c r="B529" s="216"/>
      <c r="C529" s="209" t="s">
        <v>392</v>
      </c>
      <c r="D529" s="251">
        <f>D530+D532</f>
        <v>7959.1440000000002</v>
      </c>
      <c r="E529" s="251"/>
      <c r="F529" s="251">
        <f>F530+F532</f>
        <v>7959.1440000000002</v>
      </c>
      <c r="G529" s="251">
        <f>G530+G532</f>
        <v>1040</v>
      </c>
      <c r="H529" s="310"/>
      <c r="I529" s="251">
        <f>I530+I532</f>
        <v>1040</v>
      </c>
      <c r="J529" s="251">
        <f>J530+J532</f>
        <v>638</v>
      </c>
      <c r="K529" s="251"/>
      <c r="L529" s="251">
        <f>L530+L532</f>
        <v>638</v>
      </c>
    </row>
    <row r="530" spans="1:12" x14ac:dyDescent="0.2">
      <c r="A530" s="7" t="s">
        <v>391</v>
      </c>
      <c r="B530" s="7"/>
      <c r="C530" s="6" t="s">
        <v>390</v>
      </c>
      <c r="D530" s="252">
        <f>D531</f>
        <v>315.60000000000002</v>
      </c>
      <c r="E530" s="252"/>
      <c r="F530" s="252">
        <f>F531</f>
        <v>315.60000000000002</v>
      </c>
      <c r="G530" s="252">
        <f>G531</f>
        <v>154</v>
      </c>
      <c r="H530" s="306"/>
      <c r="I530" s="252">
        <f>I531</f>
        <v>154</v>
      </c>
      <c r="J530" s="252">
        <f>J531</f>
        <v>231</v>
      </c>
      <c r="K530" s="252"/>
      <c r="L530" s="252">
        <f>L531</f>
        <v>231</v>
      </c>
    </row>
    <row r="531" spans="1:12" ht="25.5" x14ac:dyDescent="0.2">
      <c r="A531" s="7"/>
      <c r="B531" s="7" t="s">
        <v>12</v>
      </c>
      <c r="C531" s="6" t="s">
        <v>11</v>
      </c>
      <c r="D531" s="252">
        <v>315.60000000000002</v>
      </c>
      <c r="E531" s="252"/>
      <c r="F531" s="252">
        <v>315.60000000000002</v>
      </c>
      <c r="G531" s="252">
        <v>154</v>
      </c>
      <c r="H531" s="306"/>
      <c r="I531" s="252">
        <v>154</v>
      </c>
      <c r="J531" s="252">
        <v>231</v>
      </c>
      <c r="K531" s="252"/>
      <c r="L531" s="252">
        <v>231</v>
      </c>
    </row>
    <row r="532" spans="1:12" ht="25.5" x14ac:dyDescent="0.2">
      <c r="A532" s="7" t="s">
        <v>389</v>
      </c>
      <c r="B532" s="7"/>
      <c r="C532" s="6" t="s">
        <v>388</v>
      </c>
      <c r="D532" s="252">
        <f>D533</f>
        <v>7643.5439999999999</v>
      </c>
      <c r="E532" s="252"/>
      <c r="F532" s="252">
        <f>F533</f>
        <v>7643.5439999999999</v>
      </c>
      <c r="G532" s="252">
        <f>G533</f>
        <v>886</v>
      </c>
      <c r="H532" s="306"/>
      <c r="I532" s="252">
        <f>I533</f>
        <v>886</v>
      </c>
      <c r="J532" s="252">
        <f>J533</f>
        <v>407</v>
      </c>
      <c r="K532" s="252"/>
      <c r="L532" s="252">
        <f>L533</f>
        <v>407</v>
      </c>
    </row>
    <row r="533" spans="1:12" ht="25.5" x14ac:dyDescent="0.2">
      <c r="A533" s="7"/>
      <c r="B533" s="7" t="s">
        <v>12</v>
      </c>
      <c r="C533" s="6" t="s">
        <v>11</v>
      </c>
      <c r="D533" s="252">
        <f>D534+D535</f>
        <v>7643.5439999999999</v>
      </c>
      <c r="E533" s="252"/>
      <c r="F533" s="252">
        <f>F534+F535</f>
        <v>7643.5439999999999</v>
      </c>
      <c r="G533" s="252">
        <f>G534+G535</f>
        <v>886</v>
      </c>
      <c r="H533" s="306"/>
      <c r="I533" s="252">
        <f>I534+I535</f>
        <v>886</v>
      </c>
      <c r="J533" s="252">
        <f>J534+J535</f>
        <v>407</v>
      </c>
      <c r="K533" s="252"/>
      <c r="L533" s="252">
        <f>L534+L535</f>
        <v>407</v>
      </c>
    </row>
    <row r="534" spans="1:12" x14ac:dyDescent="0.2">
      <c r="A534" s="7"/>
      <c r="B534" s="7"/>
      <c r="C534" s="94" t="s">
        <v>333</v>
      </c>
      <c r="D534" s="252">
        <v>6267.7060799999999</v>
      </c>
      <c r="E534" s="252"/>
      <c r="F534" s="252">
        <v>6267.7060799999999</v>
      </c>
      <c r="G534" s="252">
        <v>0</v>
      </c>
      <c r="H534" s="306"/>
      <c r="I534" s="252">
        <v>0</v>
      </c>
      <c r="J534" s="252">
        <v>0</v>
      </c>
      <c r="K534" s="252"/>
      <c r="L534" s="252">
        <v>0</v>
      </c>
    </row>
    <row r="535" spans="1:12" x14ac:dyDescent="0.2">
      <c r="A535" s="7"/>
      <c r="B535" s="7"/>
      <c r="C535" s="6" t="s">
        <v>370</v>
      </c>
      <c r="D535" s="252">
        <v>1375.8379199999999</v>
      </c>
      <c r="E535" s="252"/>
      <c r="F535" s="252">
        <v>1375.8379199999999</v>
      </c>
      <c r="G535" s="252">
        <v>886</v>
      </c>
      <c r="H535" s="306"/>
      <c r="I535" s="252">
        <v>886</v>
      </c>
      <c r="J535" s="252">
        <v>407</v>
      </c>
      <c r="K535" s="252"/>
      <c r="L535" s="252">
        <v>407</v>
      </c>
    </row>
    <row r="536" spans="1:12" ht="63.75" x14ac:dyDescent="0.2">
      <c r="A536" s="208" t="s">
        <v>387</v>
      </c>
      <c r="B536" s="216"/>
      <c r="C536" s="209" t="s">
        <v>386</v>
      </c>
      <c r="D536" s="251">
        <f t="shared" ref="D536:L537" si="77">D537</f>
        <v>583.29999999999995</v>
      </c>
      <c r="E536" s="251"/>
      <c r="F536" s="251">
        <f t="shared" si="77"/>
        <v>583.29999999999995</v>
      </c>
      <c r="G536" s="251">
        <f t="shared" si="77"/>
        <v>0</v>
      </c>
      <c r="H536" s="310"/>
      <c r="I536" s="251">
        <f t="shared" si="77"/>
        <v>0</v>
      </c>
      <c r="J536" s="251">
        <f t="shared" si="77"/>
        <v>0</v>
      </c>
      <c r="K536" s="251"/>
      <c r="L536" s="251">
        <f t="shared" si="77"/>
        <v>0</v>
      </c>
    </row>
    <row r="537" spans="1:12" ht="51" x14ac:dyDescent="0.2">
      <c r="A537" s="7" t="s">
        <v>385</v>
      </c>
      <c r="B537" s="7"/>
      <c r="C537" s="6" t="s">
        <v>384</v>
      </c>
      <c r="D537" s="252">
        <f t="shared" si="77"/>
        <v>583.29999999999995</v>
      </c>
      <c r="E537" s="252"/>
      <c r="F537" s="252">
        <f t="shared" si="77"/>
        <v>583.29999999999995</v>
      </c>
      <c r="G537" s="252">
        <f t="shared" si="77"/>
        <v>0</v>
      </c>
      <c r="H537" s="306"/>
      <c r="I537" s="252">
        <f t="shared" si="77"/>
        <v>0</v>
      </c>
      <c r="J537" s="252">
        <f t="shared" si="77"/>
        <v>0</v>
      </c>
      <c r="K537" s="252"/>
      <c r="L537" s="252">
        <f t="shared" si="77"/>
        <v>0</v>
      </c>
    </row>
    <row r="538" spans="1:12" ht="25.5" x14ac:dyDescent="0.2">
      <c r="A538" s="7"/>
      <c r="B538" s="7" t="s">
        <v>12</v>
      </c>
      <c r="C538" s="6" t="s">
        <v>11</v>
      </c>
      <c r="D538" s="252">
        <v>583.29999999999995</v>
      </c>
      <c r="E538" s="252"/>
      <c r="F538" s="252">
        <v>583.29999999999995</v>
      </c>
      <c r="G538" s="252">
        <v>0</v>
      </c>
      <c r="H538" s="306"/>
      <c r="I538" s="252">
        <v>0</v>
      </c>
      <c r="J538" s="252">
        <v>0</v>
      </c>
      <c r="K538" s="252"/>
      <c r="L538" s="252">
        <v>0</v>
      </c>
    </row>
    <row r="539" spans="1:12" s="1" customFormat="1" ht="15" x14ac:dyDescent="0.25">
      <c r="A539" s="225" t="s">
        <v>18</v>
      </c>
      <c r="B539" s="225"/>
      <c r="C539" s="228" t="s">
        <v>17</v>
      </c>
      <c r="D539" s="249">
        <f t="shared" ref="D539:L539" si="78">D540+D548</f>
        <v>87336.084200000012</v>
      </c>
      <c r="E539" s="249">
        <f t="shared" si="78"/>
        <v>2623.1</v>
      </c>
      <c r="F539" s="249">
        <f t="shared" si="78"/>
        <v>89959.184199999989</v>
      </c>
      <c r="G539" s="249">
        <f t="shared" si="78"/>
        <v>72597.463699999993</v>
      </c>
      <c r="H539" s="249"/>
      <c r="I539" s="249">
        <f t="shared" si="78"/>
        <v>72597.463699999993</v>
      </c>
      <c r="J539" s="249">
        <f t="shared" si="78"/>
        <v>71967.735600000015</v>
      </c>
      <c r="K539" s="249"/>
      <c r="L539" s="249">
        <f t="shared" si="78"/>
        <v>71967.735600000015</v>
      </c>
    </row>
    <row r="540" spans="1:12" s="1" customFormat="1" ht="39" x14ac:dyDescent="0.25">
      <c r="A540" s="15" t="s">
        <v>50</v>
      </c>
      <c r="B540" s="44"/>
      <c r="C540" s="14" t="s">
        <v>49</v>
      </c>
      <c r="D540" s="260">
        <f>D541+D543+D546</f>
        <v>3343.2000000000003</v>
      </c>
      <c r="E540" s="260">
        <f>E541+E543+E546</f>
        <v>0</v>
      </c>
      <c r="F540" s="260">
        <f>F541+F543+F546</f>
        <v>3343.2000000000003</v>
      </c>
      <c r="G540" s="260">
        <f>G541+G543</f>
        <v>3279.9</v>
      </c>
      <c r="H540" s="260"/>
      <c r="I540" s="260">
        <f>I541+I543</f>
        <v>3279.9</v>
      </c>
      <c r="J540" s="260">
        <f>J541+J543</f>
        <v>3334.3</v>
      </c>
      <c r="K540" s="260"/>
      <c r="L540" s="260">
        <f>L541+L543</f>
        <v>3334.3</v>
      </c>
    </row>
    <row r="541" spans="1:12" s="1" customFormat="1" ht="39" x14ac:dyDescent="0.25">
      <c r="A541" s="7" t="s">
        <v>48</v>
      </c>
      <c r="B541" s="7"/>
      <c r="C541" s="6" t="s">
        <v>47</v>
      </c>
      <c r="D541" s="252">
        <f>D542</f>
        <v>1164</v>
      </c>
      <c r="E541" s="252"/>
      <c r="F541" s="252">
        <f>F542</f>
        <v>1164</v>
      </c>
      <c r="G541" s="252">
        <f>G542</f>
        <v>1164</v>
      </c>
      <c r="H541" s="306"/>
      <c r="I541" s="252">
        <f>I542</f>
        <v>1164</v>
      </c>
      <c r="J541" s="252">
        <f>J542</f>
        <v>1164</v>
      </c>
      <c r="K541" s="252"/>
      <c r="L541" s="252">
        <f>L542</f>
        <v>1164</v>
      </c>
    </row>
    <row r="542" spans="1:12" s="1" customFormat="1" ht="64.5" x14ac:dyDescent="0.25">
      <c r="A542" s="7"/>
      <c r="B542" s="7" t="s">
        <v>2</v>
      </c>
      <c r="C542" s="6" t="s">
        <v>1</v>
      </c>
      <c r="D542" s="252">
        <v>1164</v>
      </c>
      <c r="E542" s="252"/>
      <c r="F542" s="252">
        <v>1164</v>
      </c>
      <c r="G542" s="252">
        <v>1164</v>
      </c>
      <c r="H542" s="306"/>
      <c r="I542" s="252">
        <v>1164</v>
      </c>
      <c r="J542" s="252">
        <v>1164</v>
      </c>
      <c r="K542" s="252"/>
      <c r="L542" s="252">
        <v>1164</v>
      </c>
    </row>
    <row r="543" spans="1:12" s="1" customFormat="1" ht="39" x14ac:dyDescent="0.25">
      <c r="A543" s="7" t="s">
        <v>46</v>
      </c>
      <c r="B543" s="7"/>
      <c r="C543" s="12" t="s">
        <v>45</v>
      </c>
      <c r="D543" s="252">
        <f>D544+D545</f>
        <v>2091.9</v>
      </c>
      <c r="E543" s="252"/>
      <c r="F543" s="252">
        <f>F544+F545</f>
        <v>2091.9</v>
      </c>
      <c r="G543" s="252">
        <f>G544+G545</f>
        <v>2115.9</v>
      </c>
      <c r="H543" s="306"/>
      <c r="I543" s="252">
        <f>I544+I545</f>
        <v>2115.9</v>
      </c>
      <c r="J543" s="252">
        <f>J544+J545</f>
        <v>2170.3000000000002</v>
      </c>
      <c r="K543" s="252"/>
      <c r="L543" s="252">
        <f>L544+L545</f>
        <v>2170.3000000000002</v>
      </c>
    </row>
    <row r="544" spans="1:12" s="1" customFormat="1" ht="64.5" x14ac:dyDescent="0.25">
      <c r="A544" s="7"/>
      <c r="B544" s="7" t="s">
        <v>2</v>
      </c>
      <c r="C544" s="6" t="s">
        <v>1</v>
      </c>
      <c r="D544" s="252">
        <f>1960.1+77.4</f>
        <v>2037.5</v>
      </c>
      <c r="E544" s="252"/>
      <c r="F544" s="252">
        <f>1960.1+77.4</f>
        <v>2037.5</v>
      </c>
      <c r="G544" s="252">
        <f>2028.2+87.7</f>
        <v>2115.9</v>
      </c>
      <c r="H544" s="306"/>
      <c r="I544" s="252">
        <f>2028.2+87.7</f>
        <v>2115.9</v>
      </c>
      <c r="J544" s="252">
        <f>2028.2+87.7</f>
        <v>2115.9</v>
      </c>
      <c r="K544" s="252"/>
      <c r="L544" s="252">
        <f>2028.2+87.7</f>
        <v>2115.9</v>
      </c>
    </row>
    <row r="545" spans="1:12" s="1" customFormat="1" ht="26.25" x14ac:dyDescent="0.25">
      <c r="A545" s="7"/>
      <c r="B545" s="7" t="s">
        <v>12</v>
      </c>
      <c r="C545" s="6" t="s">
        <v>11</v>
      </c>
      <c r="D545" s="252">
        <v>54.4</v>
      </c>
      <c r="E545" s="252"/>
      <c r="F545" s="252">
        <v>54.4</v>
      </c>
      <c r="G545" s="252">
        <v>0</v>
      </c>
      <c r="H545" s="306"/>
      <c r="I545" s="252">
        <v>0</v>
      </c>
      <c r="J545" s="252">
        <v>54.4</v>
      </c>
      <c r="K545" s="252"/>
      <c r="L545" s="252">
        <v>54.4</v>
      </c>
    </row>
    <row r="546" spans="1:12" s="1" customFormat="1" ht="64.5" x14ac:dyDescent="0.25">
      <c r="A546" s="7" t="s">
        <v>735</v>
      </c>
      <c r="B546" s="7"/>
      <c r="C546" s="6" t="s">
        <v>736</v>
      </c>
      <c r="D546" s="252">
        <f>D547</f>
        <v>87.3</v>
      </c>
      <c r="E546" s="252"/>
      <c r="F546" s="252">
        <f>F547</f>
        <v>87.3</v>
      </c>
      <c r="G546" s="252">
        <v>0</v>
      </c>
      <c r="H546" s="306"/>
      <c r="I546" s="252">
        <v>0</v>
      </c>
      <c r="J546" s="252">
        <v>0</v>
      </c>
      <c r="K546" s="252"/>
      <c r="L546" s="252">
        <v>0</v>
      </c>
    </row>
    <row r="547" spans="1:12" s="1" customFormat="1" ht="26.25" x14ac:dyDescent="0.25">
      <c r="A547" s="7"/>
      <c r="B547" s="7" t="s">
        <v>12</v>
      </c>
      <c r="C547" s="6" t="s">
        <v>11</v>
      </c>
      <c r="D547" s="252">
        <v>87.3</v>
      </c>
      <c r="E547" s="252"/>
      <c r="F547" s="252">
        <v>87.3</v>
      </c>
      <c r="G547" s="252">
        <v>0</v>
      </c>
      <c r="H547" s="306"/>
      <c r="I547" s="252">
        <v>0</v>
      </c>
      <c r="J547" s="252">
        <v>0</v>
      </c>
      <c r="K547" s="252"/>
      <c r="L547" s="252">
        <v>0</v>
      </c>
    </row>
    <row r="548" spans="1:12" s="1" customFormat="1" ht="51.75" x14ac:dyDescent="0.25">
      <c r="A548" s="15" t="s">
        <v>16</v>
      </c>
      <c r="B548" s="15"/>
      <c r="C548" s="14" t="s">
        <v>15</v>
      </c>
      <c r="D548" s="260">
        <f>D549+D553+D564+D568+D571+D577+D579+D581+D583+D573+D575+D556+D558+D560+D562+D585+D587+D589+D591+D593+D596</f>
        <v>83992.884200000015</v>
      </c>
      <c r="E548" s="260">
        <f t="shared" ref="E548:F548" si="79">E549+E553+E564+E568+E571+E577+E579+E581+E583+E573+E575+E556+E558+E560+E562+E585+E587+E589+E591+E593+E596</f>
        <v>2623.1</v>
      </c>
      <c r="F548" s="260">
        <f t="shared" si="79"/>
        <v>86615.984199999992</v>
      </c>
      <c r="G548" s="260">
        <f t="shared" ref="G548:J548" si="80">G549+G553+G564+G568+G571+G577+G579+G581+G583+G573+G575+G556+G558+G560+G562+G585+G587+G589+G591+G593</f>
        <v>69317.563699999999</v>
      </c>
      <c r="H548" s="260">
        <f t="shared" si="80"/>
        <v>0</v>
      </c>
      <c r="I548" s="260">
        <f t="shared" si="80"/>
        <v>69317.563699999999</v>
      </c>
      <c r="J548" s="260">
        <f t="shared" si="80"/>
        <v>68633.435600000012</v>
      </c>
      <c r="K548" s="260"/>
      <c r="L548" s="260">
        <f>L549+L553+L564+L568+L571+L577+L579+L581+L583+L573+L575+L556+L558+L560+L562+L585+L587+L589+L591+L593</f>
        <v>68633.435600000012</v>
      </c>
    </row>
    <row r="549" spans="1:12" s="1" customFormat="1" ht="26.25" x14ac:dyDescent="0.25">
      <c r="A549" s="7" t="s">
        <v>383</v>
      </c>
      <c r="B549" s="7"/>
      <c r="C549" s="6" t="s">
        <v>382</v>
      </c>
      <c r="D549" s="253">
        <f>D550+D551+D552</f>
        <v>3297.7</v>
      </c>
      <c r="E549" s="253"/>
      <c r="F549" s="253">
        <f>F550+F551+F552</f>
        <v>3297.7</v>
      </c>
      <c r="G549" s="253">
        <f>G550+G551+G552</f>
        <v>3364.2</v>
      </c>
      <c r="H549" s="311"/>
      <c r="I549" s="253">
        <f>I550+I551+I552</f>
        <v>3364.2</v>
      </c>
      <c r="J549" s="253">
        <f>J550+J551+J552</f>
        <v>3364.2</v>
      </c>
      <c r="K549" s="253"/>
      <c r="L549" s="253">
        <f>L550+L551+L552</f>
        <v>3364.2</v>
      </c>
    </row>
    <row r="550" spans="1:12" s="1" customFormat="1" ht="64.5" x14ac:dyDescent="0.25">
      <c r="A550" s="57"/>
      <c r="B550" s="7" t="s">
        <v>2</v>
      </c>
      <c r="C550" s="6" t="s">
        <v>1</v>
      </c>
      <c r="D550" s="252">
        <v>3141.1</v>
      </c>
      <c r="E550" s="252"/>
      <c r="F550" s="252">
        <v>3141.1</v>
      </c>
      <c r="G550" s="252">
        <v>3262.2</v>
      </c>
      <c r="H550" s="306"/>
      <c r="I550" s="252">
        <v>3262.2</v>
      </c>
      <c r="J550" s="252">
        <v>3262.2</v>
      </c>
      <c r="K550" s="252"/>
      <c r="L550" s="252">
        <v>3262.2</v>
      </c>
    </row>
    <row r="551" spans="1:12" s="1" customFormat="1" ht="26.25" x14ac:dyDescent="0.25">
      <c r="A551" s="57"/>
      <c r="B551" s="7" t="s">
        <v>12</v>
      </c>
      <c r="C551" s="6" t="s">
        <v>11</v>
      </c>
      <c r="D551" s="252">
        <v>154.4</v>
      </c>
      <c r="E551" s="252"/>
      <c r="F551" s="252">
        <f>99.8+54.6</f>
        <v>154.4</v>
      </c>
      <c r="G551" s="252">
        <v>99.8</v>
      </c>
      <c r="H551" s="306"/>
      <c r="I551" s="252">
        <v>99.8</v>
      </c>
      <c r="J551" s="252">
        <v>99.8</v>
      </c>
      <c r="K551" s="252"/>
      <c r="L551" s="252">
        <v>99.8</v>
      </c>
    </row>
    <row r="552" spans="1:12" s="1" customFormat="1" ht="15" x14ac:dyDescent="0.25">
      <c r="A552" s="57"/>
      <c r="B552" s="52" t="s">
        <v>22</v>
      </c>
      <c r="C552" s="95" t="s">
        <v>21</v>
      </c>
      <c r="D552" s="252">
        <v>2.2000000000000002</v>
      </c>
      <c r="E552" s="252"/>
      <c r="F552" s="252">
        <v>2.2000000000000002</v>
      </c>
      <c r="G552" s="252">
        <v>2.2000000000000002</v>
      </c>
      <c r="H552" s="306"/>
      <c r="I552" s="252">
        <v>2.2000000000000002</v>
      </c>
      <c r="J552" s="252">
        <v>2.2000000000000002</v>
      </c>
      <c r="K552" s="252"/>
      <c r="L552" s="252">
        <v>2.2000000000000002</v>
      </c>
    </row>
    <row r="553" spans="1:12" s="1" customFormat="1" ht="26.25" x14ac:dyDescent="0.25">
      <c r="A553" s="7" t="s">
        <v>14</v>
      </c>
      <c r="B553" s="7"/>
      <c r="C553" s="12" t="s">
        <v>13</v>
      </c>
      <c r="D553" s="252">
        <f>D554+D555</f>
        <v>18660</v>
      </c>
      <c r="E553" s="252"/>
      <c r="F553" s="252">
        <f>F554+F555</f>
        <v>18660</v>
      </c>
      <c r="G553" s="252">
        <f>G554+G555</f>
        <v>19328.3</v>
      </c>
      <c r="H553" s="306"/>
      <c r="I553" s="252">
        <f>I554+I555</f>
        <v>19328.3</v>
      </c>
      <c r="J553" s="252">
        <f>J554+J555</f>
        <v>19328.3</v>
      </c>
      <c r="K553" s="252"/>
      <c r="L553" s="252">
        <f>L554+L555</f>
        <v>19328.3</v>
      </c>
    </row>
    <row r="554" spans="1:12" s="1" customFormat="1" ht="64.5" x14ac:dyDescent="0.25">
      <c r="A554" s="7"/>
      <c r="B554" s="7" t="s">
        <v>2</v>
      </c>
      <c r="C554" s="6" t="s">
        <v>1</v>
      </c>
      <c r="D554" s="252">
        <f>17747.5-611.7+626.7</f>
        <v>17762.5</v>
      </c>
      <c r="E554" s="252"/>
      <c r="F554" s="252">
        <f>17747.5-611.7+626.7</f>
        <v>17762.5</v>
      </c>
      <c r="G554" s="252">
        <v>18430.8</v>
      </c>
      <c r="H554" s="306"/>
      <c r="I554" s="252">
        <v>18430.8</v>
      </c>
      <c r="J554" s="252">
        <v>18430.8</v>
      </c>
      <c r="K554" s="252"/>
      <c r="L554" s="252">
        <v>18430.8</v>
      </c>
    </row>
    <row r="555" spans="1:12" s="1" customFormat="1" ht="26.25" x14ac:dyDescent="0.25">
      <c r="A555" s="7"/>
      <c r="B555" s="7" t="s">
        <v>12</v>
      </c>
      <c r="C555" s="6" t="s">
        <v>11</v>
      </c>
      <c r="D555" s="252">
        <v>897.5</v>
      </c>
      <c r="E555" s="252"/>
      <c r="F555" s="252">
        <v>897.5</v>
      </c>
      <c r="G555" s="252">
        <v>897.5</v>
      </c>
      <c r="H555" s="306"/>
      <c r="I555" s="252">
        <v>897.5</v>
      </c>
      <c r="J555" s="252">
        <v>897.5</v>
      </c>
      <c r="K555" s="252"/>
      <c r="L555" s="252">
        <v>897.5</v>
      </c>
    </row>
    <row r="556" spans="1:12" s="1" customFormat="1" ht="64.5" x14ac:dyDescent="0.25">
      <c r="A556" s="7" t="s">
        <v>10</v>
      </c>
      <c r="B556" s="7"/>
      <c r="C556" s="6" t="s">
        <v>9</v>
      </c>
      <c r="D556" s="253">
        <f>D557</f>
        <v>137.19999999999999</v>
      </c>
      <c r="E556" s="253"/>
      <c r="F556" s="253">
        <f>F557</f>
        <v>137.19999999999999</v>
      </c>
      <c r="G556" s="253">
        <f>G557</f>
        <v>107.2</v>
      </c>
      <c r="H556" s="311"/>
      <c r="I556" s="253">
        <f>I557</f>
        <v>107.2</v>
      </c>
      <c r="J556" s="253">
        <f>J557</f>
        <v>105.4</v>
      </c>
      <c r="K556" s="253"/>
      <c r="L556" s="253">
        <f>L557</f>
        <v>105.4</v>
      </c>
    </row>
    <row r="557" spans="1:12" s="1" customFormat="1" ht="64.5" x14ac:dyDescent="0.25">
      <c r="A557" s="7"/>
      <c r="B557" s="7" t="s">
        <v>2</v>
      </c>
      <c r="C557" s="6" t="s">
        <v>1</v>
      </c>
      <c r="D557" s="259">
        <v>137.19999999999999</v>
      </c>
      <c r="E557" s="259"/>
      <c r="F557" s="259">
        <v>137.19999999999999</v>
      </c>
      <c r="G557" s="259">
        <v>107.2</v>
      </c>
      <c r="H557" s="316"/>
      <c r="I557" s="259">
        <v>107.2</v>
      </c>
      <c r="J557" s="259">
        <v>105.4</v>
      </c>
      <c r="K557" s="259"/>
      <c r="L557" s="259">
        <v>105.4</v>
      </c>
    </row>
    <row r="558" spans="1:12" s="1" customFormat="1" ht="39" x14ac:dyDescent="0.25">
      <c r="A558" s="7" t="s">
        <v>8</v>
      </c>
      <c r="B558" s="7"/>
      <c r="C558" s="6" t="s">
        <v>7</v>
      </c>
      <c r="D558" s="252">
        <f>D559</f>
        <v>87.119200000000006</v>
      </c>
      <c r="E558" s="252"/>
      <c r="F558" s="252">
        <f>F559</f>
        <v>87.119200000000006</v>
      </c>
      <c r="G558" s="252">
        <f>G559</f>
        <v>92.5261</v>
      </c>
      <c r="H558" s="306"/>
      <c r="I558" s="252">
        <f>I559</f>
        <v>92.5261</v>
      </c>
      <c r="J558" s="252">
        <f>J559</f>
        <v>93.701599999999999</v>
      </c>
      <c r="K558" s="252"/>
      <c r="L558" s="252">
        <f>L559</f>
        <v>93.701599999999999</v>
      </c>
    </row>
    <row r="559" spans="1:12" s="1" customFormat="1" ht="64.5" x14ac:dyDescent="0.25">
      <c r="A559" s="7"/>
      <c r="B559" s="7" t="s">
        <v>2</v>
      </c>
      <c r="C559" s="6" t="s">
        <v>1</v>
      </c>
      <c r="D559" s="252">
        <v>87.119200000000006</v>
      </c>
      <c r="E559" s="252"/>
      <c r="F559" s="252">
        <v>87.119200000000006</v>
      </c>
      <c r="G559" s="252">
        <v>92.5261</v>
      </c>
      <c r="H559" s="306"/>
      <c r="I559" s="252">
        <v>92.5261</v>
      </c>
      <c r="J559" s="252">
        <v>93.701599999999999</v>
      </c>
      <c r="K559" s="252"/>
      <c r="L559" s="252">
        <v>93.701599999999999</v>
      </c>
    </row>
    <row r="560" spans="1:12" s="1" customFormat="1" ht="64.5" x14ac:dyDescent="0.25">
      <c r="A560" s="7" t="s">
        <v>6</v>
      </c>
      <c r="B560" s="7"/>
      <c r="C560" s="6" t="s">
        <v>5</v>
      </c>
      <c r="D560" s="252">
        <f>D561</f>
        <v>7016.6360000000004</v>
      </c>
      <c r="E560" s="252"/>
      <c r="F560" s="252">
        <f>F561</f>
        <v>7016.6360000000004</v>
      </c>
      <c r="G560" s="252">
        <f>G561</f>
        <v>6836.3086000000003</v>
      </c>
      <c r="H560" s="306"/>
      <c r="I560" s="252">
        <f>I561</f>
        <v>6836.3086000000003</v>
      </c>
      <c r="J560" s="252">
        <f>J561</f>
        <v>6598.4049999999997</v>
      </c>
      <c r="K560" s="252"/>
      <c r="L560" s="252">
        <f>L561</f>
        <v>6598.4049999999997</v>
      </c>
    </row>
    <row r="561" spans="1:12" s="1" customFormat="1" ht="64.5" x14ac:dyDescent="0.25">
      <c r="A561" s="7"/>
      <c r="B561" s="7" t="s">
        <v>2</v>
      </c>
      <c r="C561" s="6" t="s">
        <v>1</v>
      </c>
      <c r="D561" s="252">
        <f>2102.2606+4914.3754</f>
        <v>7016.6360000000004</v>
      </c>
      <c r="E561" s="252"/>
      <c r="F561" s="252">
        <f>2102.2606+4914.3754</f>
        <v>7016.6360000000004</v>
      </c>
      <c r="G561" s="252">
        <f>2010.206+4826.1026</f>
        <v>6836.3086000000003</v>
      </c>
      <c r="H561" s="306"/>
      <c r="I561" s="252">
        <f>2010.206+4826.1026</f>
        <v>6836.3086000000003</v>
      </c>
      <c r="J561" s="252">
        <f>1965.8034+4632.6016</f>
        <v>6598.4049999999997</v>
      </c>
      <c r="K561" s="252"/>
      <c r="L561" s="252">
        <f>1965.8034+4632.6016</f>
        <v>6598.4049999999997</v>
      </c>
    </row>
    <row r="562" spans="1:12" s="1" customFormat="1" ht="90" x14ac:dyDescent="0.25">
      <c r="A562" s="7" t="s">
        <v>4</v>
      </c>
      <c r="B562" s="7"/>
      <c r="C562" s="6" t="s">
        <v>3</v>
      </c>
      <c r="D562" s="253">
        <f>D563</f>
        <v>227.82900000000001</v>
      </c>
      <c r="E562" s="253"/>
      <c r="F562" s="253">
        <f>F563</f>
        <v>227.82900000000001</v>
      </c>
      <c r="G562" s="253">
        <f>G563</f>
        <v>227.82900000000001</v>
      </c>
      <c r="H562" s="311"/>
      <c r="I562" s="253">
        <f>I563</f>
        <v>227.82900000000001</v>
      </c>
      <c r="J562" s="253">
        <f>J563</f>
        <v>227.82900000000001</v>
      </c>
      <c r="K562" s="253"/>
      <c r="L562" s="253">
        <f>L563</f>
        <v>227.82900000000001</v>
      </c>
    </row>
    <row r="563" spans="1:12" s="1" customFormat="1" ht="64.5" x14ac:dyDescent="0.25">
      <c r="A563" s="7"/>
      <c r="B563" s="7" t="s">
        <v>2</v>
      </c>
      <c r="C563" s="6" t="s">
        <v>1</v>
      </c>
      <c r="D563" s="253">
        <v>227.82900000000001</v>
      </c>
      <c r="E563" s="253"/>
      <c r="F563" s="253">
        <v>227.82900000000001</v>
      </c>
      <c r="G563" s="253">
        <v>227.82900000000001</v>
      </c>
      <c r="H563" s="311"/>
      <c r="I563" s="253">
        <v>227.82900000000001</v>
      </c>
      <c r="J563" s="253">
        <v>227.82900000000001</v>
      </c>
      <c r="K563" s="253"/>
      <c r="L563" s="253">
        <v>227.82900000000001</v>
      </c>
    </row>
    <row r="564" spans="1:12" s="1" customFormat="1" ht="26.25" x14ac:dyDescent="0.25">
      <c r="A564" s="7" t="s">
        <v>528</v>
      </c>
      <c r="B564" s="7"/>
      <c r="C564" s="6" t="s">
        <v>826</v>
      </c>
      <c r="D564" s="253">
        <f t="shared" ref="D564:J564" si="81">D565+D566+D567</f>
        <v>39730.400000000001</v>
      </c>
      <c r="E564" s="253">
        <f t="shared" si="81"/>
        <v>179.9</v>
      </c>
      <c r="F564" s="253">
        <f t="shared" si="81"/>
        <v>39910.300000000003</v>
      </c>
      <c r="G564" s="253">
        <f t="shared" si="81"/>
        <v>37336.800000000003</v>
      </c>
      <c r="H564" s="253"/>
      <c r="I564" s="253">
        <f t="shared" si="81"/>
        <v>37336.800000000003</v>
      </c>
      <c r="J564" s="253">
        <f t="shared" si="81"/>
        <v>36891.200000000004</v>
      </c>
      <c r="K564" s="253"/>
      <c r="L564" s="253">
        <f>L565+L566+L567</f>
        <v>36891.200000000004</v>
      </c>
    </row>
    <row r="565" spans="1:12" s="1" customFormat="1" ht="64.5" x14ac:dyDescent="0.25">
      <c r="A565" s="7"/>
      <c r="B565" s="7" t="s">
        <v>2</v>
      </c>
      <c r="C565" s="6" t="s">
        <v>1</v>
      </c>
      <c r="D565" s="252">
        <v>18191.699999999997</v>
      </c>
      <c r="E565" s="253"/>
      <c r="F565" s="252">
        <f>18278.1+96.4-118.4-64.4</f>
        <v>18191.699999999997</v>
      </c>
      <c r="G565" s="252">
        <f>18983.7+100.2</f>
        <v>19083.900000000001</v>
      </c>
      <c r="H565" s="306"/>
      <c r="I565" s="252">
        <f>18983.7+100.2</f>
        <v>19083.900000000001</v>
      </c>
      <c r="J565" s="252">
        <f>18983.7+100.2</f>
        <v>19083.900000000001</v>
      </c>
      <c r="K565" s="252"/>
      <c r="L565" s="252">
        <f>18983.7+100.2</f>
        <v>19083.900000000001</v>
      </c>
    </row>
    <row r="566" spans="1:12" s="1" customFormat="1" ht="26.25" x14ac:dyDescent="0.25">
      <c r="A566" s="7"/>
      <c r="B566" s="7" t="s">
        <v>12</v>
      </c>
      <c r="C566" s="6" t="s">
        <v>11</v>
      </c>
      <c r="D566" s="252">
        <v>21110.400000000001</v>
      </c>
      <c r="E566" s="253">
        <v>179.9</v>
      </c>
      <c r="F566" s="252">
        <f>17379+3089+156.1+109.9+376.4+179.9</f>
        <v>21290.300000000003</v>
      </c>
      <c r="G566" s="252">
        <v>17824.599999999999</v>
      </c>
      <c r="H566" s="306"/>
      <c r="I566" s="252">
        <f>17379+445.6</f>
        <v>17824.599999999999</v>
      </c>
      <c r="J566" s="252">
        <v>17379</v>
      </c>
      <c r="K566" s="252"/>
      <c r="L566" s="252">
        <v>17379</v>
      </c>
    </row>
    <row r="567" spans="1:12" s="1" customFormat="1" ht="15" x14ac:dyDescent="0.25">
      <c r="A567" s="7"/>
      <c r="B567" s="7" t="s">
        <v>22</v>
      </c>
      <c r="C567" s="6" t="s">
        <v>21</v>
      </c>
      <c r="D567" s="252">
        <v>428.3</v>
      </c>
      <c r="E567" s="253"/>
      <c r="F567" s="252">
        <v>428.3</v>
      </c>
      <c r="G567" s="252">
        <v>428.3</v>
      </c>
      <c r="H567" s="306"/>
      <c r="I567" s="252">
        <v>428.3</v>
      </c>
      <c r="J567" s="252">
        <v>428.3</v>
      </c>
      <c r="K567" s="252"/>
      <c r="L567" s="252">
        <v>428.3</v>
      </c>
    </row>
    <row r="568" spans="1:12" s="1" customFormat="1" ht="15" x14ac:dyDescent="0.25">
      <c r="A568" s="52" t="s">
        <v>526</v>
      </c>
      <c r="B568" s="52"/>
      <c r="C568" s="6" t="s">
        <v>525</v>
      </c>
      <c r="D568" s="252">
        <f>D569+D570</f>
        <v>3645.6</v>
      </c>
      <c r="E568" s="253">
        <f>E569+E570</f>
        <v>214.6</v>
      </c>
      <c r="F568" s="252">
        <f>F569+F570</f>
        <v>3860.2</v>
      </c>
      <c r="G568" s="252">
        <v>0</v>
      </c>
      <c r="H568" s="306"/>
      <c r="I568" s="252">
        <v>0</v>
      </c>
      <c r="J568" s="252">
        <v>0</v>
      </c>
      <c r="K568" s="252"/>
      <c r="L568" s="252">
        <v>0</v>
      </c>
    </row>
    <row r="569" spans="1:12" s="1" customFormat="1" ht="26.25" x14ac:dyDescent="0.25">
      <c r="A569" s="52"/>
      <c r="B569" s="52" t="s">
        <v>12</v>
      </c>
      <c r="C569" s="6" t="s">
        <v>11</v>
      </c>
      <c r="D569" s="252">
        <v>1109.4000000000001</v>
      </c>
      <c r="E569" s="253">
        <v>103</v>
      </c>
      <c r="F569" s="252">
        <f>926.6+118.4+64.4+103</f>
        <v>1212.4000000000001</v>
      </c>
      <c r="G569" s="252">
        <v>0</v>
      </c>
      <c r="H569" s="306"/>
      <c r="I569" s="252">
        <v>0</v>
      </c>
      <c r="J569" s="252">
        <v>0</v>
      </c>
      <c r="K569" s="252"/>
      <c r="L569" s="252">
        <v>0</v>
      </c>
    </row>
    <row r="570" spans="1:12" s="1" customFormat="1" ht="39" x14ac:dyDescent="0.25">
      <c r="A570" s="322"/>
      <c r="B570" s="322" t="s">
        <v>57</v>
      </c>
      <c r="C570" s="6" t="s">
        <v>56</v>
      </c>
      <c r="D570" s="320">
        <v>2536.1999999999998</v>
      </c>
      <c r="E570" s="445">
        <v>111.6</v>
      </c>
      <c r="F570" s="320">
        <f>2536.2+111.6</f>
        <v>2647.7999999999997</v>
      </c>
      <c r="G570" s="320">
        <v>0</v>
      </c>
      <c r="H570" s="320"/>
      <c r="I570" s="320">
        <v>0</v>
      </c>
      <c r="J570" s="320">
        <v>0</v>
      </c>
      <c r="K570" s="320"/>
      <c r="L570" s="320">
        <v>0</v>
      </c>
    </row>
    <row r="571" spans="1:12" s="1" customFormat="1" ht="26.25" x14ac:dyDescent="0.25">
      <c r="A571" s="274" t="s">
        <v>824</v>
      </c>
      <c r="B571" s="274"/>
      <c r="C571" s="275" t="s">
        <v>825</v>
      </c>
      <c r="D571" s="273">
        <f>D572</f>
        <v>274.5</v>
      </c>
      <c r="E571" s="453">
        <f>E572</f>
        <v>31.4</v>
      </c>
      <c r="F571" s="273">
        <f>F572</f>
        <v>305.89999999999998</v>
      </c>
      <c r="G571" s="273">
        <f>G572</f>
        <v>0</v>
      </c>
      <c r="H571" s="306"/>
      <c r="I571" s="273">
        <f>I572</f>
        <v>0</v>
      </c>
      <c r="J571" s="273">
        <f>J572</f>
        <v>0</v>
      </c>
      <c r="K571" s="273"/>
      <c r="L571" s="273">
        <f>L572</f>
        <v>0</v>
      </c>
    </row>
    <row r="572" spans="1:12" s="1" customFormat="1" ht="15" x14ac:dyDescent="0.25">
      <c r="A572" s="276"/>
      <c r="B572" s="274" t="s">
        <v>22</v>
      </c>
      <c r="C572" s="275" t="s">
        <v>21</v>
      </c>
      <c r="D572" s="273">
        <v>274.5</v>
      </c>
      <c r="E572" s="453">
        <v>31.4</v>
      </c>
      <c r="F572" s="273">
        <f>25+163.1+36.4+50+31.4</f>
        <v>305.89999999999998</v>
      </c>
      <c r="G572" s="273">
        <v>0</v>
      </c>
      <c r="H572" s="306"/>
      <c r="I572" s="273">
        <v>0</v>
      </c>
      <c r="J572" s="273">
        <v>0</v>
      </c>
      <c r="K572" s="273"/>
      <c r="L572" s="273">
        <v>0</v>
      </c>
    </row>
    <row r="573" spans="1:12" s="1" customFormat="1" ht="39" x14ac:dyDescent="0.25">
      <c r="A573" s="7" t="s">
        <v>792</v>
      </c>
      <c r="B573" s="7"/>
      <c r="C573" s="6" t="s">
        <v>821</v>
      </c>
      <c r="D573" s="252">
        <f>D574</f>
        <v>556.4</v>
      </c>
      <c r="E573" s="253"/>
      <c r="F573" s="252">
        <f>F574</f>
        <v>556.4</v>
      </c>
      <c r="G573" s="252">
        <f>G574</f>
        <v>556.4</v>
      </c>
      <c r="H573" s="306"/>
      <c r="I573" s="252">
        <f>I574</f>
        <v>556.4</v>
      </c>
      <c r="J573" s="252">
        <f>J574</f>
        <v>556.4</v>
      </c>
      <c r="K573" s="252"/>
      <c r="L573" s="252">
        <f>L574</f>
        <v>556.4</v>
      </c>
    </row>
    <row r="574" spans="1:12" s="1" customFormat="1" ht="39" x14ac:dyDescent="0.25">
      <c r="A574" s="7"/>
      <c r="B574" s="7" t="s">
        <v>57</v>
      </c>
      <c r="C574" s="6" t="s">
        <v>56</v>
      </c>
      <c r="D574" s="252">
        <v>556.4</v>
      </c>
      <c r="E574" s="253"/>
      <c r="F574" s="252">
        <v>556.4</v>
      </c>
      <c r="G574" s="252">
        <v>556.4</v>
      </c>
      <c r="H574" s="306"/>
      <c r="I574" s="252">
        <v>556.4</v>
      </c>
      <c r="J574" s="252">
        <v>556.4</v>
      </c>
      <c r="K574" s="252"/>
      <c r="L574" s="252">
        <v>556.4</v>
      </c>
    </row>
    <row r="575" spans="1:12" s="1" customFormat="1" ht="51.75" x14ac:dyDescent="0.25">
      <c r="A575" s="7" t="s">
        <v>555</v>
      </c>
      <c r="B575" s="7"/>
      <c r="C575" s="6" t="s">
        <v>554</v>
      </c>
      <c r="D575" s="252">
        <f>D576</f>
        <v>6.2</v>
      </c>
      <c r="E575" s="253"/>
      <c r="F575" s="252">
        <f>F576</f>
        <v>6.2</v>
      </c>
      <c r="G575" s="252">
        <f>G576</f>
        <v>6.4</v>
      </c>
      <c r="H575" s="306"/>
      <c r="I575" s="252">
        <f>I576</f>
        <v>6.4</v>
      </c>
      <c r="J575" s="252">
        <f>J576</f>
        <v>6.4</v>
      </c>
      <c r="K575" s="252"/>
      <c r="L575" s="252">
        <f>L576</f>
        <v>6.4</v>
      </c>
    </row>
    <row r="576" spans="1:12" s="1" customFormat="1" ht="26.25" x14ac:dyDescent="0.25">
      <c r="A576" s="7"/>
      <c r="B576" s="7" t="s">
        <v>12</v>
      </c>
      <c r="C576" s="6" t="s">
        <v>11</v>
      </c>
      <c r="D576" s="252">
        <v>6.2</v>
      </c>
      <c r="E576" s="253"/>
      <c r="F576" s="252">
        <v>6.2</v>
      </c>
      <c r="G576" s="252">
        <v>6.4</v>
      </c>
      <c r="H576" s="306"/>
      <c r="I576" s="252">
        <v>6.4</v>
      </c>
      <c r="J576" s="252">
        <v>6.4</v>
      </c>
      <c r="K576" s="252"/>
      <c r="L576" s="252">
        <v>6.4</v>
      </c>
    </row>
    <row r="577" spans="1:12" s="1" customFormat="1" ht="26.25" x14ac:dyDescent="0.25">
      <c r="A577" s="7" t="s">
        <v>24</v>
      </c>
      <c r="B577" s="7"/>
      <c r="C577" s="6" t="s">
        <v>23</v>
      </c>
      <c r="D577" s="252">
        <f>D578</f>
        <v>1008.6</v>
      </c>
      <c r="E577" s="253"/>
      <c r="F577" s="252">
        <f>F578</f>
        <v>1008.6</v>
      </c>
      <c r="G577" s="252">
        <f>G578</f>
        <v>711.6</v>
      </c>
      <c r="H577" s="306"/>
      <c r="I577" s="252">
        <f>I578</f>
        <v>711.6</v>
      </c>
      <c r="J577" s="252">
        <f>J578</f>
        <v>711.6</v>
      </c>
      <c r="K577" s="252"/>
      <c r="L577" s="252">
        <f>L578</f>
        <v>711.6</v>
      </c>
    </row>
    <row r="578" spans="1:12" s="1" customFormat="1" ht="15" x14ac:dyDescent="0.25">
      <c r="A578" s="7"/>
      <c r="B578" s="7" t="s">
        <v>22</v>
      </c>
      <c r="C578" s="6" t="s">
        <v>21</v>
      </c>
      <c r="D578" s="252">
        <v>1008.6</v>
      </c>
      <c r="E578" s="253"/>
      <c r="F578" s="252">
        <f>711.6+297</f>
        <v>1008.6</v>
      </c>
      <c r="G578" s="252">
        <v>711.6</v>
      </c>
      <c r="H578" s="306"/>
      <c r="I578" s="252">
        <v>711.6</v>
      </c>
      <c r="J578" s="252">
        <v>711.6</v>
      </c>
      <c r="K578" s="252"/>
      <c r="L578" s="252">
        <v>711.6</v>
      </c>
    </row>
    <row r="579" spans="1:12" s="1" customFormat="1" ht="39" x14ac:dyDescent="0.25">
      <c r="A579" s="7" t="s">
        <v>43</v>
      </c>
      <c r="B579" s="7"/>
      <c r="C579" s="6" t="s">
        <v>42</v>
      </c>
      <c r="D579" s="252">
        <f>D580</f>
        <v>450</v>
      </c>
      <c r="E579" s="252"/>
      <c r="F579" s="252">
        <f>F580</f>
        <v>450</v>
      </c>
      <c r="G579" s="252">
        <f>G580</f>
        <v>450</v>
      </c>
      <c r="H579" s="306"/>
      <c r="I579" s="252">
        <f>I580</f>
        <v>450</v>
      </c>
      <c r="J579" s="252">
        <f>J580</f>
        <v>450</v>
      </c>
      <c r="K579" s="252"/>
      <c r="L579" s="252">
        <f>L580</f>
        <v>450</v>
      </c>
    </row>
    <row r="580" spans="1:12" s="1" customFormat="1" ht="26.25" x14ac:dyDescent="0.25">
      <c r="A580" s="7"/>
      <c r="B580" s="7" t="s">
        <v>12</v>
      </c>
      <c r="C580" s="6" t="s">
        <v>11</v>
      </c>
      <c r="D580" s="252">
        <v>450</v>
      </c>
      <c r="E580" s="252"/>
      <c r="F580" s="252">
        <v>450</v>
      </c>
      <c r="G580" s="252">
        <v>450</v>
      </c>
      <c r="H580" s="306"/>
      <c r="I580" s="252">
        <v>450</v>
      </c>
      <c r="J580" s="252">
        <v>450</v>
      </c>
      <c r="K580" s="252"/>
      <c r="L580" s="252">
        <v>450</v>
      </c>
    </row>
    <row r="581" spans="1:12" s="1" customFormat="1" ht="26.25" x14ac:dyDescent="0.25">
      <c r="A581" s="7" t="s">
        <v>524</v>
      </c>
      <c r="B581" s="7"/>
      <c r="C581" s="6" t="s">
        <v>523</v>
      </c>
      <c r="D581" s="252">
        <f>D582</f>
        <v>310</v>
      </c>
      <c r="E581" s="252"/>
      <c r="F581" s="252">
        <f>F582</f>
        <v>310</v>
      </c>
      <c r="G581" s="252">
        <f>G582</f>
        <v>0</v>
      </c>
      <c r="H581" s="306"/>
      <c r="I581" s="252">
        <f>I582</f>
        <v>0</v>
      </c>
      <c r="J581" s="252">
        <f>J582</f>
        <v>0</v>
      </c>
      <c r="K581" s="252"/>
      <c r="L581" s="252">
        <f>L582</f>
        <v>0</v>
      </c>
    </row>
    <row r="582" spans="1:12" s="1" customFormat="1" ht="15" x14ac:dyDescent="0.25">
      <c r="A582" s="7"/>
      <c r="B582" s="7" t="s">
        <v>22</v>
      </c>
      <c r="C582" s="6" t="s">
        <v>21</v>
      </c>
      <c r="D582" s="252">
        <v>310</v>
      </c>
      <c r="E582" s="252"/>
      <c r="F582" s="252">
        <v>310</v>
      </c>
      <c r="G582" s="252">
        <v>0</v>
      </c>
      <c r="H582" s="306"/>
      <c r="I582" s="252">
        <v>0</v>
      </c>
      <c r="J582" s="252">
        <v>0</v>
      </c>
      <c r="K582" s="252"/>
      <c r="L582" s="252">
        <v>0</v>
      </c>
    </row>
    <row r="583" spans="1:12" s="1" customFormat="1" ht="39" x14ac:dyDescent="0.25">
      <c r="A583" s="7" t="s">
        <v>620</v>
      </c>
      <c r="B583" s="7"/>
      <c r="C583" s="107" t="s">
        <v>529</v>
      </c>
      <c r="D583" s="252">
        <f>D584</f>
        <v>300</v>
      </c>
      <c r="E583" s="252"/>
      <c r="F583" s="252">
        <f>F584</f>
        <v>300</v>
      </c>
      <c r="G583" s="252">
        <f>G584</f>
        <v>300</v>
      </c>
      <c r="H583" s="306"/>
      <c r="I583" s="252">
        <f>I584</f>
        <v>300</v>
      </c>
      <c r="J583" s="252">
        <f>J584</f>
        <v>300</v>
      </c>
      <c r="K583" s="252"/>
      <c r="L583" s="252">
        <f>L584</f>
        <v>300</v>
      </c>
    </row>
    <row r="584" spans="1:12" s="1" customFormat="1" ht="39" x14ac:dyDescent="0.25">
      <c r="A584" s="7"/>
      <c r="B584" s="7" t="s">
        <v>57</v>
      </c>
      <c r="C584" s="6" t="s">
        <v>56</v>
      </c>
      <c r="D584" s="252">
        <v>300</v>
      </c>
      <c r="E584" s="252"/>
      <c r="F584" s="252">
        <v>300</v>
      </c>
      <c r="G584" s="252">
        <v>300</v>
      </c>
      <c r="H584" s="306"/>
      <c r="I584" s="252">
        <v>300</v>
      </c>
      <c r="J584" s="252">
        <v>300</v>
      </c>
      <c r="K584" s="252"/>
      <c r="L584" s="252">
        <v>300</v>
      </c>
    </row>
    <row r="585" spans="1:12" s="1" customFormat="1" ht="39" x14ac:dyDescent="0.25">
      <c r="A585" s="69" t="s">
        <v>796</v>
      </c>
      <c r="B585" s="52"/>
      <c r="C585" s="108" t="s">
        <v>797</v>
      </c>
      <c r="D585" s="252">
        <f>D586</f>
        <v>112.1</v>
      </c>
      <c r="E585" s="252"/>
      <c r="F585" s="252">
        <f>F586</f>
        <v>112.1</v>
      </c>
      <c r="G585" s="252">
        <v>0</v>
      </c>
      <c r="H585" s="306"/>
      <c r="I585" s="252">
        <v>0</v>
      </c>
      <c r="J585" s="252">
        <v>0</v>
      </c>
      <c r="K585" s="252"/>
      <c r="L585" s="252">
        <v>0</v>
      </c>
    </row>
    <row r="586" spans="1:12" s="1" customFormat="1" ht="39" x14ac:dyDescent="0.25">
      <c r="A586" s="22"/>
      <c r="B586" s="7" t="s">
        <v>57</v>
      </c>
      <c r="C586" s="6" t="s">
        <v>56</v>
      </c>
      <c r="D586" s="252">
        <v>112.1</v>
      </c>
      <c r="E586" s="252"/>
      <c r="F586" s="252">
        <v>112.1</v>
      </c>
      <c r="G586" s="252">
        <v>0</v>
      </c>
      <c r="H586" s="306"/>
      <c r="I586" s="252">
        <v>0</v>
      </c>
      <c r="J586" s="252">
        <v>0</v>
      </c>
      <c r="K586" s="252"/>
      <c r="L586" s="252">
        <v>0</v>
      </c>
    </row>
    <row r="587" spans="1:12" s="1" customFormat="1" ht="39" x14ac:dyDescent="0.25">
      <c r="A587" s="69" t="s">
        <v>805</v>
      </c>
      <c r="B587" s="7"/>
      <c r="C587" s="6" t="s">
        <v>806</v>
      </c>
      <c r="D587" s="252">
        <f>D588</f>
        <v>91.2</v>
      </c>
      <c r="E587" s="252"/>
      <c r="F587" s="252">
        <f>F588</f>
        <v>91.2</v>
      </c>
      <c r="G587" s="252">
        <v>0</v>
      </c>
      <c r="H587" s="306"/>
      <c r="I587" s="252">
        <v>0</v>
      </c>
      <c r="J587" s="252">
        <v>0</v>
      </c>
      <c r="K587" s="252"/>
      <c r="L587" s="252">
        <v>0</v>
      </c>
    </row>
    <row r="588" spans="1:12" s="1" customFormat="1" ht="26.25" x14ac:dyDescent="0.25">
      <c r="A588" s="22"/>
      <c r="B588" s="7" t="s">
        <v>12</v>
      </c>
      <c r="C588" s="6" t="s">
        <v>11</v>
      </c>
      <c r="D588" s="252">
        <v>91.2</v>
      </c>
      <c r="E588" s="252"/>
      <c r="F588" s="252">
        <v>91.2</v>
      </c>
      <c r="G588" s="252">
        <v>0</v>
      </c>
      <c r="H588" s="306"/>
      <c r="I588" s="252">
        <v>0</v>
      </c>
      <c r="J588" s="252">
        <v>0</v>
      </c>
      <c r="K588" s="252"/>
      <c r="L588" s="252">
        <v>0</v>
      </c>
    </row>
    <row r="589" spans="1:12" s="1" customFormat="1" ht="26.25" x14ac:dyDescent="0.25">
      <c r="A589" s="284" t="s">
        <v>827</v>
      </c>
      <c r="B589" s="276"/>
      <c r="C589" s="285" t="s">
        <v>828</v>
      </c>
      <c r="D589" s="252">
        <f>D590</f>
        <v>6787.8</v>
      </c>
      <c r="E589" s="252">
        <f>E590</f>
        <v>1327.2</v>
      </c>
      <c r="F589" s="252">
        <f>F590</f>
        <v>8115.0000000000009</v>
      </c>
      <c r="G589" s="252">
        <v>0</v>
      </c>
      <c r="H589" s="306"/>
      <c r="I589" s="252">
        <v>0</v>
      </c>
      <c r="J589" s="252">
        <v>0</v>
      </c>
      <c r="K589" s="252"/>
      <c r="L589" s="252">
        <v>0</v>
      </c>
    </row>
    <row r="590" spans="1:12" s="1" customFormat="1" ht="39" x14ac:dyDescent="0.25">
      <c r="A590" s="286"/>
      <c r="B590" s="274" t="s">
        <v>57</v>
      </c>
      <c r="C590" s="275" t="s">
        <v>56</v>
      </c>
      <c r="D590" s="252">
        <v>6787.8</v>
      </c>
      <c r="E590" s="252">
        <v>1327.2</v>
      </c>
      <c r="F590" s="252">
        <f>2733.8+2064.9+2642.5+50+28.1-376.4-355.1+1327.2</f>
        <v>8115.0000000000009</v>
      </c>
      <c r="G590" s="252">
        <v>0</v>
      </c>
      <c r="H590" s="306"/>
      <c r="I590" s="252">
        <v>0</v>
      </c>
      <c r="J590" s="252">
        <v>0</v>
      </c>
      <c r="K590" s="252"/>
      <c r="L590" s="252">
        <v>0</v>
      </c>
    </row>
    <row r="591" spans="1:12" s="1" customFormat="1" ht="26.25" x14ac:dyDescent="0.25">
      <c r="A591" s="284" t="s">
        <v>834</v>
      </c>
      <c r="B591" s="296"/>
      <c r="C591" s="285" t="s">
        <v>831</v>
      </c>
      <c r="D591" s="252">
        <f>D592</f>
        <v>540</v>
      </c>
      <c r="E591" s="252"/>
      <c r="F591" s="252">
        <f>F592</f>
        <v>540</v>
      </c>
      <c r="G591" s="252">
        <v>0</v>
      </c>
      <c r="H591" s="306"/>
      <c r="I591" s="252">
        <v>0</v>
      </c>
      <c r="J591" s="252">
        <v>0</v>
      </c>
      <c r="K591" s="252"/>
      <c r="L591" s="252">
        <v>0</v>
      </c>
    </row>
    <row r="592" spans="1:12" s="1" customFormat="1" ht="39" x14ac:dyDescent="0.25">
      <c r="A592" s="297"/>
      <c r="B592" s="284" t="s">
        <v>57</v>
      </c>
      <c r="C592" s="298" t="s">
        <v>56</v>
      </c>
      <c r="D592" s="252">
        <v>540</v>
      </c>
      <c r="E592" s="252"/>
      <c r="F592" s="252">
        <f>270+270</f>
        <v>540</v>
      </c>
      <c r="G592" s="252">
        <v>0</v>
      </c>
      <c r="H592" s="306"/>
      <c r="I592" s="252">
        <v>0</v>
      </c>
      <c r="J592" s="252">
        <v>0</v>
      </c>
      <c r="K592" s="252"/>
      <c r="L592" s="252">
        <v>0</v>
      </c>
    </row>
    <row r="593" spans="1:12" s="1" customFormat="1" ht="51.75" x14ac:dyDescent="0.25">
      <c r="A593" s="284" t="s">
        <v>830</v>
      </c>
      <c r="B593" s="296"/>
      <c r="C593" s="285" t="s">
        <v>832</v>
      </c>
      <c r="D593" s="252">
        <f>D595</f>
        <v>753.6</v>
      </c>
      <c r="E593" s="252"/>
      <c r="F593" s="252">
        <f>F595</f>
        <v>753.6</v>
      </c>
      <c r="G593" s="252">
        <v>0</v>
      </c>
      <c r="H593" s="306"/>
      <c r="I593" s="252">
        <v>0</v>
      </c>
      <c r="J593" s="252">
        <v>0</v>
      </c>
      <c r="K593" s="252"/>
      <c r="L593" s="252">
        <v>0</v>
      </c>
    </row>
    <row r="594" spans="1:12" s="1" customFormat="1" ht="26.25" x14ac:dyDescent="0.25">
      <c r="A594" s="286"/>
      <c r="B594" s="274" t="s">
        <v>12</v>
      </c>
      <c r="C594" s="6" t="s">
        <v>11</v>
      </c>
      <c r="D594" s="252">
        <v>0</v>
      </c>
      <c r="E594" s="252"/>
      <c r="F594" s="252">
        <v>0</v>
      </c>
      <c r="G594" s="252">
        <v>0</v>
      </c>
      <c r="H594" s="306"/>
      <c r="I594" s="252">
        <v>0</v>
      </c>
      <c r="J594" s="252">
        <v>0</v>
      </c>
      <c r="K594" s="252"/>
      <c r="L594" s="252">
        <v>0</v>
      </c>
    </row>
    <row r="595" spans="1:12" s="1" customFormat="1" ht="39" x14ac:dyDescent="0.25">
      <c r="A595" s="304"/>
      <c r="B595" s="305" t="s">
        <v>272</v>
      </c>
      <c r="C595" s="6" t="s">
        <v>271</v>
      </c>
      <c r="D595" s="306">
        <v>753.6</v>
      </c>
      <c r="E595" s="306"/>
      <c r="F595" s="306">
        <v>753.6</v>
      </c>
      <c r="G595" s="306">
        <v>0</v>
      </c>
      <c r="H595" s="306"/>
      <c r="I595" s="306">
        <v>0</v>
      </c>
      <c r="J595" s="306">
        <v>0</v>
      </c>
      <c r="K595" s="306"/>
      <c r="L595" s="306">
        <v>0</v>
      </c>
    </row>
    <row r="596" spans="1:12" s="1" customFormat="1" ht="15" x14ac:dyDescent="0.25">
      <c r="A596" s="454" t="s">
        <v>933</v>
      </c>
      <c r="B596" s="296"/>
      <c r="C596" s="285" t="s">
        <v>932</v>
      </c>
      <c r="D596" s="252">
        <f>D597</f>
        <v>0</v>
      </c>
      <c r="E596" s="252">
        <f>E597</f>
        <v>870</v>
      </c>
      <c r="F596" s="252">
        <f>F597</f>
        <v>870</v>
      </c>
      <c r="G596" s="252">
        <v>0</v>
      </c>
      <c r="H596" s="306"/>
      <c r="I596" s="252">
        <v>0</v>
      </c>
      <c r="J596" s="252">
        <v>0</v>
      </c>
      <c r="K596" s="252"/>
      <c r="L596" s="252">
        <v>0</v>
      </c>
    </row>
    <row r="597" spans="1:12" s="1" customFormat="1" ht="64.5" x14ac:dyDescent="0.25">
      <c r="A597" s="286"/>
      <c r="B597" s="274" t="s">
        <v>2</v>
      </c>
      <c r="C597" s="6" t="s">
        <v>1</v>
      </c>
      <c r="D597" s="252">
        <v>0</v>
      </c>
      <c r="E597" s="252">
        <v>870</v>
      </c>
      <c r="F597" s="252">
        <v>870</v>
      </c>
      <c r="G597" s="252">
        <v>0</v>
      </c>
      <c r="H597" s="306"/>
      <c r="I597" s="252">
        <v>0</v>
      </c>
      <c r="J597" s="252">
        <v>0</v>
      </c>
      <c r="K597" s="252"/>
      <c r="L597" s="252">
        <v>0</v>
      </c>
    </row>
    <row r="598" spans="1:12" s="1" customFormat="1" ht="15" x14ac:dyDescent="0.25">
      <c r="A598" s="4"/>
      <c r="B598" s="4"/>
      <c r="C598" s="3" t="s">
        <v>0</v>
      </c>
      <c r="D598" s="248">
        <f t="shared" ref="D598:L598" si="82">D539+D11</f>
        <v>1193963.7336799998</v>
      </c>
      <c r="E598" s="248">
        <f t="shared" si="82"/>
        <v>5557.4712600000003</v>
      </c>
      <c r="F598" s="248">
        <f t="shared" si="82"/>
        <v>1199521.2049400001</v>
      </c>
      <c r="G598" s="248">
        <f t="shared" si="82"/>
        <v>911730.24744999991</v>
      </c>
      <c r="H598" s="248">
        <f t="shared" si="82"/>
        <v>-4760.6069099999995</v>
      </c>
      <c r="I598" s="248">
        <f t="shared" si="82"/>
        <v>906969.64053999982</v>
      </c>
      <c r="J598" s="248">
        <f t="shared" si="82"/>
        <v>907495.83565999975</v>
      </c>
      <c r="K598" s="248">
        <f t="shared" si="82"/>
        <v>0</v>
      </c>
      <c r="L598" s="248">
        <f t="shared" si="82"/>
        <v>907495.83565999975</v>
      </c>
    </row>
    <row r="599" spans="1:12" x14ac:dyDescent="0.2">
      <c r="D599" s="189"/>
      <c r="E599" s="189"/>
      <c r="F599" s="189"/>
      <c r="G599" s="189"/>
      <c r="H599" s="189"/>
      <c r="I599" s="189"/>
      <c r="J599" s="189"/>
      <c r="K599" s="189"/>
      <c r="L599" s="189"/>
    </row>
    <row r="600" spans="1:12" x14ac:dyDescent="0.2">
      <c r="F600" s="189"/>
    </row>
    <row r="601" spans="1:12" x14ac:dyDescent="0.2">
      <c r="C601" s="190"/>
      <c r="D601" s="191"/>
      <c r="E601" s="191"/>
      <c r="F601" s="191"/>
      <c r="G601" s="191"/>
      <c r="H601" s="191"/>
      <c r="I601" s="191"/>
      <c r="J601" s="191"/>
      <c r="K601" s="191"/>
      <c r="L601" s="191"/>
    </row>
    <row r="602" spans="1:12" x14ac:dyDescent="0.2">
      <c r="D602" s="189"/>
      <c r="E602" s="189"/>
      <c r="F602" s="189"/>
      <c r="G602" s="189"/>
      <c r="H602" s="189"/>
      <c r="I602" s="189"/>
      <c r="J602" s="189"/>
      <c r="K602" s="189"/>
      <c r="L602" s="189"/>
    </row>
    <row r="603" spans="1:12" x14ac:dyDescent="0.2">
      <c r="D603" s="189"/>
      <c r="E603" s="189"/>
      <c r="F603" s="189"/>
      <c r="G603" s="189"/>
      <c r="H603" s="189"/>
      <c r="I603" s="189"/>
      <c r="J603" s="189"/>
      <c r="K603" s="189"/>
      <c r="L603" s="189"/>
    </row>
    <row r="604" spans="1:12" x14ac:dyDescent="0.2">
      <c r="G604" s="189"/>
      <c r="H604" s="189"/>
      <c r="I604" s="189"/>
    </row>
    <row r="605" spans="1:12" x14ac:dyDescent="0.2">
      <c r="D605" s="189"/>
      <c r="E605" s="189"/>
      <c r="F605" s="189"/>
      <c r="G605" s="189"/>
      <c r="H605" s="189"/>
      <c r="I605" s="189"/>
      <c r="J605" s="189"/>
      <c r="K605" s="189"/>
      <c r="L605" s="189"/>
    </row>
    <row r="606" spans="1:12" x14ac:dyDescent="0.2">
      <c r="D606" s="189"/>
      <c r="E606" s="189"/>
      <c r="F606" s="189"/>
      <c r="G606" s="189"/>
      <c r="H606" s="189"/>
      <c r="I606" s="189"/>
      <c r="J606" s="189"/>
      <c r="K606" s="189"/>
      <c r="L606" s="189"/>
    </row>
    <row r="608" spans="1:12" x14ac:dyDescent="0.2">
      <c r="D608" s="189"/>
      <c r="E608" s="189"/>
      <c r="F608" s="189"/>
      <c r="G608" s="189"/>
      <c r="H608" s="189"/>
      <c r="I608" s="189"/>
      <c r="J608" s="189"/>
      <c r="K608" s="189"/>
      <c r="L608" s="189"/>
    </row>
    <row r="611" spans="4:6" x14ac:dyDescent="0.2">
      <c r="D611" s="189"/>
      <c r="E611" s="189"/>
      <c r="F611" s="189"/>
    </row>
  </sheetData>
  <autoFilter ref="A8:J604" xr:uid="{00000000-0009-0000-0000-000000000000}"/>
  <mergeCells count="9">
    <mergeCell ref="A8:A9"/>
    <mergeCell ref="B8:B9"/>
    <mergeCell ref="C8:C9"/>
    <mergeCell ref="A6:J6"/>
    <mergeCell ref="G1:L1"/>
    <mergeCell ref="G2:L2"/>
    <mergeCell ref="G3:L3"/>
    <mergeCell ref="G4:L4"/>
    <mergeCell ref="G5:L5"/>
  </mergeCells>
  <pageMargins left="1.1023622047244095" right="0.31496062992125984" top="0.59055118110236227" bottom="0.39370078740157483" header="0" footer="0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5"/>
  <sheetViews>
    <sheetView tabSelected="1" view="pageBreakPreview" topLeftCell="A118" zoomScale="85" zoomScaleNormal="63" zoomScaleSheetLayoutView="85" workbookViewId="0">
      <selection activeCell="H134" sqref="H134"/>
    </sheetView>
  </sheetViews>
  <sheetFormatPr defaultColWidth="9.140625" defaultRowHeight="15" x14ac:dyDescent="0.25"/>
  <cols>
    <col min="1" max="2" width="9.140625" style="1"/>
    <col min="3" max="3" width="14.42578125" style="1" customWidth="1"/>
    <col min="4" max="4" width="7.5703125" style="1" customWidth="1"/>
    <col min="5" max="5" width="78.140625" style="1" customWidth="1"/>
    <col min="6" max="7" width="15.42578125" style="1" hidden="1" customWidth="1"/>
    <col min="8" max="8" width="15.42578125" style="1" customWidth="1"/>
    <col min="9" max="9" width="0.28515625" style="1" customWidth="1"/>
    <col min="10" max="10" width="15.42578125" style="1" hidden="1" customWidth="1"/>
    <col min="11" max="11" width="15.42578125" style="1" customWidth="1"/>
    <col min="12" max="13" width="15.42578125" style="1" hidden="1" customWidth="1"/>
    <col min="14" max="14" width="15.42578125" style="1" customWidth="1"/>
    <col min="15" max="16384" width="9.140625" style="1"/>
  </cols>
  <sheetData>
    <row r="1" spans="1:14" ht="15" customHeight="1" x14ac:dyDescent="0.25">
      <c r="C1" s="126"/>
      <c r="D1" s="126"/>
      <c r="E1" s="126"/>
      <c r="I1" s="461" t="s">
        <v>588</v>
      </c>
      <c r="J1" s="461"/>
      <c r="K1" s="461"/>
      <c r="L1" s="461"/>
      <c r="M1" s="461"/>
      <c r="N1" s="461"/>
    </row>
    <row r="2" spans="1:14" ht="15" customHeight="1" x14ac:dyDescent="0.25">
      <c r="C2" s="126"/>
      <c r="D2" s="126"/>
      <c r="E2" s="129"/>
      <c r="I2" s="466" t="s">
        <v>587</v>
      </c>
      <c r="J2" s="466"/>
      <c r="K2" s="466"/>
      <c r="L2" s="466"/>
      <c r="M2" s="466"/>
      <c r="N2" s="466"/>
    </row>
    <row r="3" spans="1:14" ht="15.75" customHeight="1" x14ac:dyDescent="0.25">
      <c r="C3" s="128"/>
      <c r="D3" s="128"/>
      <c r="E3" s="127"/>
      <c r="I3" s="467" t="s">
        <v>586</v>
      </c>
      <c r="J3" s="467"/>
      <c r="K3" s="467"/>
      <c r="L3" s="467"/>
      <c r="M3" s="467"/>
      <c r="N3" s="467"/>
    </row>
    <row r="4" spans="1:14" ht="15.75" customHeight="1" x14ac:dyDescent="0.25">
      <c r="C4" s="126"/>
      <c r="D4" s="126"/>
      <c r="E4" s="126"/>
      <c r="I4" s="468" t="s">
        <v>585</v>
      </c>
      <c r="J4" s="468"/>
      <c r="K4" s="468"/>
      <c r="L4" s="468"/>
      <c r="M4" s="468"/>
      <c r="N4" s="468"/>
    </row>
    <row r="5" spans="1:14" ht="15" customHeight="1" x14ac:dyDescent="0.25">
      <c r="C5" s="126"/>
      <c r="D5" s="126"/>
      <c r="E5" s="126"/>
      <c r="F5" s="125"/>
      <c r="G5" s="125"/>
      <c r="H5" s="125"/>
      <c r="I5" s="461" t="s">
        <v>936</v>
      </c>
      <c r="J5" s="461"/>
      <c r="K5" s="461"/>
      <c r="L5" s="461"/>
      <c r="M5" s="461"/>
      <c r="N5" s="461"/>
    </row>
    <row r="6" spans="1:14" ht="15" customHeight="1" x14ac:dyDescent="0.25">
      <c r="C6" s="126"/>
      <c r="D6" s="126"/>
      <c r="E6" s="126"/>
      <c r="F6" s="125"/>
      <c r="G6" s="125"/>
      <c r="H6" s="125"/>
      <c r="I6" s="192"/>
      <c r="J6" s="192"/>
      <c r="K6" s="192"/>
      <c r="L6" s="192"/>
      <c r="M6" s="192"/>
      <c r="N6" s="192"/>
    </row>
    <row r="7" spans="1:14" x14ac:dyDescent="0.25">
      <c r="A7" s="465" t="s">
        <v>739</v>
      </c>
      <c r="B7" s="465"/>
      <c r="C7" s="465"/>
      <c r="D7" s="465"/>
      <c r="E7" s="465"/>
      <c r="F7" s="465"/>
      <c r="G7" s="465"/>
      <c r="H7" s="465"/>
      <c r="I7" s="465"/>
      <c r="J7" s="465"/>
      <c r="K7" s="465"/>
      <c r="L7" s="465"/>
    </row>
    <row r="8" spans="1:14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4"/>
      <c r="L8" s="123"/>
      <c r="M8" s="123"/>
      <c r="N8" s="123" t="s">
        <v>584</v>
      </c>
    </row>
    <row r="9" spans="1:14" ht="84" x14ac:dyDescent="0.25">
      <c r="A9" s="122" t="s">
        <v>583</v>
      </c>
      <c r="B9" s="122" t="s">
        <v>582</v>
      </c>
      <c r="C9" s="121" t="s">
        <v>581</v>
      </c>
      <c r="D9" s="121" t="s">
        <v>580</v>
      </c>
      <c r="E9" s="121" t="s">
        <v>579</v>
      </c>
      <c r="F9" s="462" t="s">
        <v>578</v>
      </c>
      <c r="G9" s="463"/>
      <c r="H9" s="464"/>
      <c r="I9" s="120" t="s">
        <v>577</v>
      </c>
      <c r="J9" s="329"/>
      <c r="K9" s="120" t="s">
        <v>577</v>
      </c>
      <c r="L9" s="120" t="s">
        <v>576</v>
      </c>
      <c r="M9" s="120"/>
      <c r="N9" s="120" t="s">
        <v>576</v>
      </c>
    </row>
    <row r="10" spans="1:14" ht="14.45" customHeight="1" x14ac:dyDescent="0.25">
      <c r="A10" s="283"/>
      <c r="B10" s="283"/>
      <c r="C10" s="272"/>
      <c r="D10" s="272"/>
      <c r="E10" s="272"/>
      <c r="F10" s="272" t="s">
        <v>822</v>
      </c>
      <c r="G10" s="272" t="s">
        <v>823</v>
      </c>
      <c r="H10" s="272" t="s">
        <v>822</v>
      </c>
      <c r="I10" s="280" t="s">
        <v>822</v>
      </c>
      <c r="J10" s="272" t="s">
        <v>823</v>
      </c>
      <c r="K10" s="280" t="s">
        <v>822</v>
      </c>
      <c r="L10" s="280" t="s">
        <v>822</v>
      </c>
      <c r="M10" s="272" t="s">
        <v>823</v>
      </c>
      <c r="N10" s="280" t="s">
        <v>822</v>
      </c>
    </row>
    <row r="11" spans="1:14" x14ac:dyDescent="0.25">
      <c r="A11" s="39">
        <v>601</v>
      </c>
      <c r="B11" s="39"/>
      <c r="C11" s="39"/>
      <c r="D11" s="39"/>
      <c r="E11" s="38" t="s">
        <v>575</v>
      </c>
      <c r="F11" s="37">
        <f t="shared" ref="F11:N11" si="0">F12+F113+F122+F173+F287+F428+F443+F464+F418</f>
        <v>450828.76130999991</v>
      </c>
      <c r="G11" s="37">
        <f t="shared" si="0"/>
        <v>3930.2024200000001</v>
      </c>
      <c r="H11" s="37">
        <f t="shared" si="0"/>
        <v>454758.96372999996</v>
      </c>
      <c r="I11" s="37">
        <f t="shared" si="0"/>
        <v>271506.23976000003</v>
      </c>
      <c r="J11" s="37">
        <f>J12+J113+J122+J173+J287+J428+J443+J464+J418</f>
        <v>-160.70690999999999</v>
      </c>
      <c r="K11" s="37">
        <f t="shared" si="0"/>
        <v>271345.53285000002</v>
      </c>
      <c r="L11" s="37">
        <f t="shared" si="0"/>
        <v>263056.04300000001</v>
      </c>
      <c r="M11" s="37">
        <f t="shared" si="0"/>
        <v>0</v>
      </c>
      <c r="N11" s="37">
        <f t="shared" si="0"/>
        <v>263056.04300000001</v>
      </c>
    </row>
    <row r="12" spans="1:14" x14ac:dyDescent="0.25">
      <c r="A12" s="21"/>
      <c r="B12" s="22" t="s">
        <v>40</v>
      </c>
      <c r="C12" s="21"/>
      <c r="D12" s="21"/>
      <c r="E12" s="20" t="s">
        <v>39</v>
      </c>
      <c r="F12" s="79">
        <f t="shared" ref="F12:M12" si="1">F13+F24+F62+F69</f>
        <v>100551.97173</v>
      </c>
      <c r="G12" s="79">
        <f t="shared" si="1"/>
        <v>926.33115999999995</v>
      </c>
      <c r="H12" s="79">
        <f t="shared" si="1"/>
        <v>101478.30288999999</v>
      </c>
      <c r="I12" s="79">
        <f t="shared" si="1"/>
        <v>97139.688770000008</v>
      </c>
      <c r="J12" s="79">
        <f t="shared" si="1"/>
        <v>0</v>
      </c>
      <c r="K12" s="79">
        <f t="shared" si="1"/>
        <v>97139.688770000008</v>
      </c>
      <c r="L12" s="79">
        <f t="shared" si="1"/>
        <v>95422.535200000013</v>
      </c>
      <c r="M12" s="79">
        <f t="shared" si="1"/>
        <v>0</v>
      </c>
      <c r="N12" s="79">
        <f>N13+N24+N62+N69</f>
        <v>95422.535200000013</v>
      </c>
    </row>
    <row r="13" spans="1:14" ht="25.5" x14ac:dyDescent="0.25">
      <c r="A13" s="21"/>
      <c r="B13" s="22" t="s">
        <v>574</v>
      </c>
      <c r="C13" s="21"/>
      <c r="D13" s="21"/>
      <c r="E13" s="20" t="s">
        <v>573</v>
      </c>
      <c r="F13" s="79">
        <f>F14+F20</f>
        <v>2911.1</v>
      </c>
      <c r="G13" s="79">
        <f t="shared" ref="G13:H13" si="2">G14+G20</f>
        <v>170</v>
      </c>
      <c r="H13" s="79">
        <f t="shared" si="2"/>
        <v>3081.1</v>
      </c>
      <c r="I13" s="79">
        <f t="shared" ref="F13:N18" si="3">I14</f>
        <v>3022</v>
      </c>
      <c r="J13" s="331"/>
      <c r="K13" s="79">
        <f t="shared" si="3"/>
        <v>3022</v>
      </c>
      <c r="L13" s="79">
        <f t="shared" si="3"/>
        <v>3022</v>
      </c>
      <c r="M13" s="79"/>
      <c r="N13" s="79">
        <f t="shared" si="3"/>
        <v>3022</v>
      </c>
    </row>
    <row r="14" spans="1:14" x14ac:dyDescent="0.25">
      <c r="A14" s="21"/>
      <c r="B14" s="22"/>
      <c r="C14" s="110" t="s">
        <v>36</v>
      </c>
      <c r="D14" s="119"/>
      <c r="E14" s="118" t="s">
        <v>35</v>
      </c>
      <c r="F14" s="79">
        <f t="shared" si="3"/>
        <v>2911.1</v>
      </c>
      <c r="G14" s="79"/>
      <c r="H14" s="79">
        <f t="shared" si="3"/>
        <v>2911.1</v>
      </c>
      <c r="I14" s="79">
        <f t="shared" si="3"/>
        <v>3022</v>
      </c>
      <c r="J14" s="331"/>
      <c r="K14" s="79">
        <f t="shared" si="3"/>
        <v>3022</v>
      </c>
      <c r="L14" s="79">
        <f t="shared" si="3"/>
        <v>3022</v>
      </c>
      <c r="M14" s="79"/>
      <c r="N14" s="79">
        <f t="shared" si="3"/>
        <v>3022</v>
      </c>
    </row>
    <row r="15" spans="1:14" ht="25.5" x14ac:dyDescent="0.25">
      <c r="A15" s="34"/>
      <c r="B15" s="33"/>
      <c r="C15" s="34" t="s">
        <v>34</v>
      </c>
      <c r="D15" s="33"/>
      <c r="E15" s="32" t="s">
        <v>103</v>
      </c>
      <c r="F15" s="31">
        <f t="shared" si="3"/>
        <v>2911.1</v>
      </c>
      <c r="G15" s="31"/>
      <c r="H15" s="31">
        <f t="shared" si="3"/>
        <v>2911.1</v>
      </c>
      <c r="I15" s="31">
        <f t="shared" si="3"/>
        <v>3022</v>
      </c>
      <c r="J15" s="332"/>
      <c r="K15" s="31">
        <f t="shared" si="3"/>
        <v>3022</v>
      </c>
      <c r="L15" s="31">
        <f t="shared" si="3"/>
        <v>3022</v>
      </c>
      <c r="M15" s="31"/>
      <c r="N15" s="31">
        <f t="shared" si="3"/>
        <v>3022</v>
      </c>
    </row>
    <row r="16" spans="1:14" ht="26.25" x14ac:dyDescent="0.25">
      <c r="A16" s="30"/>
      <c r="B16" s="30"/>
      <c r="C16" s="30" t="s">
        <v>32</v>
      </c>
      <c r="D16" s="30"/>
      <c r="E16" s="29" t="s">
        <v>31</v>
      </c>
      <c r="F16" s="28">
        <f t="shared" si="3"/>
        <v>2911.1</v>
      </c>
      <c r="G16" s="28"/>
      <c r="H16" s="28">
        <f t="shared" si="3"/>
        <v>2911.1</v>
      </c>
      <c r="I16" s="28">
        <f t="shared" si="3"/>
        <v>3022</v>
      </c>
      <c r="J16" s="333"/>
      <c r="K16" s="28">
        <f t="shared" si="3"/>
        <v>3022</v>
      </c>
      <c r="L16" s="28">
        <f t="shared" si="3"/>
        <v>3022</v>
      </c>
      <c r="M16" s="28"/>
      <c r="N16" s="28">
        <f t="shared" si="3"/>
        <v>3022</v>
      </c>
    </row>
    <row r="17" spans="1:14" ht="39" x14ac:dyDescent="0.25">
      <c r="A17" s="208"/>
      <c r="B17" s="208"/>
      <c r="C17" s="208" t="s">
        <v>30</v>
      </c>
      <c r="D17" s="208"/>
      <c r="E17" s="209" t="s">
        <v>29</v>
      </c>
      <c r="F17" s="210">
        <f t="shared" si="3"/>
        <v>2911.1</v>
      </c>
      <c r="G17" s="210"/>
      <c r="H17" s="210">
        <f t="shared" si="3"/>
        <v>2911.1</v>
      </c>
      <c r="I17" s="210">
        <f t="shared" si="3"/>
        <v>3022</v>
      </c>
      <c r="J17" s="334"/>
      <c r="K17" s="210">
        <f t="shared" si="3"/>
        <v>3022</v>
      </c>
      <c r="L17" s="210">
        <f t="shared" si="3"/>
        <v>3022</v>
      </c>
      <c r="M17" s="210"/>
      <c r="N17" s="210">
        <f t="shared" si="3"/>
        <v>3022</v>
      </c>
    </row>
    <row r="18" spans="1:14" ht="26.25" x14ac:dyDescent="0.25">
      <c r="A18" s="8"/>
      <c r="B18" s="8"/>
      <c r="C18" s="7" t="s">
        <v>572</v>
      </c>
      <c r="D18" s="7"/>
      <c r="E18" s="6" t="s">
        <v>571</v>
      </c>
      <c r="F18" s="9">
        <f t="shared" si="3"/>
        <v>2911.1</v>
      </c>
      <c r="G18" s="9"/>
      <c r="H18" s="9">
        <f t="shared" si="3"/>
        <v>2911.1</v>
      </c>
      <c r="I18" s="9">
        <f t="shared" si="3"/>
        <v>3022</v>
      </c>
      <c r="J18" s="335"/>
      <c r="K18" s="9">
        <f t="shared" si="3"/>
        <v>3022</v>
      </c>
      <c r="L18" s="9">
        <f t="shared" si="3"/>
        <v>3022</v>
      </c>
      <c r="M18" s="9"/>
      <c r="N18" s="9">
        <f t="shared" si="3"/>
        <v>3022</v>
      </c>
    </row>
    <row r="19" spans="1:14" ht="39" x14ac:dyDescent="0.25">
      <c r="A19" s="8"/>
      <c r="B19" s="8"/>
      <c r="C19" s="7"/>
      <c r="D19" s="7" t="s">
        <v>2</v>
      </c>
      <c r="E19" s="6" t="s">
        <v>1</v>
      </c>
      <c r="F19" s="9">
        <f>2693+218.1</f>
        <v>2911.1</v>
      </c>
      <c r="G19" s="9"/>
      <c r="H19" s="9">
        <f>2693+218.1</f>
        <v>2911.1</v>
      </c>
      <c r="I19" s="9">
        <f>2795.5+226.5</f>
        <v>3022</v>
      </c>
      <c r="J19" s="335"/>
      <c r="K19" s="9">
        <f>2795.5+226.5</f>
        <v>3022</v>
      </c>
      <c r="L19" s="9">
        <f>2795.5+226.5</f>
        <v>3022</v>
      </c>
      <c r="M19" s="9"/>
      <c r="N19" s="9">
        <f>2795.5+226.5</f>
        <v>3022</v>
      </c>
    </row>
    <row r="20" spans="1:14" x14ac:dyDescent="0.25">
      <c r="A20" s="105"/>
      <c r="B20" s="105"/>
      <c r="C20" s="47" t="s">
        <v>52</v>
      </c>
      <c r="D20" s="46"/>
      <c r="E20" s="45" t="s">
        <v>51</v>
      </c>
      <c r="F20" s="103">
        <f>F21</f>
        <v>0</v>
      </c>
      <c r="G20" s="103">
        <f>G21</f>
        <v>170</v>
      </c>
      <c r="H20" s="103">
        <f t="shared" ref="H20:N21" si="4">H21</f>
        <v>170</v>
      </c>
      <c r="I20" s="103">
        <f t="shared" si="4"/>
        <v>0</v>
      </c>
      <c r="J20" s="339"/>
      <c r="K20" s="103">
        <f t="shared" si="4"/>
        <v>0</v>
      </c>
      <c r="L20" s="103">
        <f t="shared" si="4"/>
        <v>0</v>
      </c>
      <c r="M20" s="103"/>
      <c r="N20" s="103">
        <f t="shared" si="4"/>
        <v>0</v>
      </c>
    </row>
    <row r="21" spans="1:14" ht="25.5" x14ac:dyDescent="0.25">
      <c r="A21" s="117"/>
      <c r="B21" s="117"/>
      <c r="C21" s="116" t="s">
        <v>16</v>
      </c>
      <c r="D21" s="115"/>
      <c r="E21" s="114" t="s">
        <v>44</v>
      </c>
      <c r="F21" s="113">
        <f>F22</f>
        <v>0</v>
      </c>
      <c r="G21" s="113">
        <f t="shared" ref="G21" si="5">G22</f>
        <v>170</v>
      </c>
      <c r="H21" s="113">
        <f t="shared" si="4"/>
        <v>170</v>
      </c>
      <c r="I21" s="113">
        <f t="shared" si="4"/>
        <v>0</v>
      </c>
      <c r="J21" s="340"/>
      <c r="K21" s="113">
        <f t="shared" si="4"/>
        <v>0</v>
      </c>
      <c r="L21" s="113">
        <f t="shared" si="4"/>
        <v>0</v>
      </c>
      <c r="M21" s="113"/>
      <c r="N21" s="113">
        <f t="shared" si="4"/>
        <v>0</v>
      </c>
    </row>
    <row r="22" spans="1:14" x14ac:dyDescent="0.25">
      <c r="A22" s="455"/>
      <c r="B22" s="455"/>
      <c r="C22" s="454" t="s">
        <v>933</v>
      </c>
      <c r="D22" s="296"/>
      <c r="E22" s="285" t="s">
        <v>932</v>
      </c>
      <c r="F22" s="456">
        <v>0</v>
      </c>
      <c r="G22" s="456">
        <f>G23</f>
        <v>170</v>
      </c>
      <c r="H22" s="456">
        <f>H23</f>
        <v>170</v>
      </c>
      <c r="I22" s="456">
        <v>0</v>
      </c>
      <c r="J22" s="456"/>
      <c r="K22" s="456">
        <v>0</v>
      </c>
      <c r="L22" s="456"/>
      <c r="M22" s="456"/>
      <c r="N22" s="456">
        <v>0</v>
      </c>
    </row>
    <row r="23" spans="1:14" ht="39" x14ac:dyDescent="0.25">
      <c r="A23" s="455"/>
      <c r="B23" s="455"/>
      <c r="C23" s="454"/>
      <c r="D23" s="7" t="s">
        <v>2</v>
      </c>
      <c r="E23" s="6" t="s">
        <v>1</v>
      </c>
      <c r="F23" s="456">
        <v>0</v>
      </c>
      <c r="G23" s="456">
        <v>170</v>
      </c>
      <c r="H23" s="456">
        <f>F23+G23</f>
        <v>170</v>
      </c>
      <c r="I23" s="456">
        <v>0</v>
      </c>
      <c r="J23" s="456"/>
      <c r="K23" s="456">
        <v>0</v>
      </c>
      <c r="L23" s="456"/>
      <c r="M23" s="456"/>
      <c r="N23" s="456">
        <v>0</v>
      </c>
    </row>
    <row r="24" spans="1:14" s="72" customFormat="1" ht="39" x14ac:dyDescent="0.25">
      <c r="A24" s="111"/>
      <c r="B24" s="22" t="s">
        <v>570</v>
      </c>
      <c r="C24" s="57"/>
      <c r="D24" s="57"/>
      <c r="E24" s="109" t="s">
        <v>569</v>
      </c>
      <c r="F24" s="26">
        <f t="shared" ref="F24:L24" si="6">F25+F56</f>
        <v>50676.6</v>
      </c>
      <c r="G24" s="26">
        <f>G25+G56</f>
        <v>545.03116</v>
      </c>
      <c r="H24" s="26">
        <f t="shared" si="6"/>
        <v>51221.63115999999</v>
      </c>
      <c r="I24" s="26">
        <f t="shared" si="6"/>
        <v>50167.8</v>
      </c>
      <c r="J24" s="26"/>
      <c r="K24" s="26">
        <f t="shared" si="6"/>
        <v>50167.8</v>
      </c>
      <c r="L24" s="26">
        <f t="shared" si="6"/>
        <v>52491.200000000004</v>
      </c>
      <c r="M24" s="26"/>
      <c r="N24" s="26">
        <f>N25+N56</f>
        <v>52491.200000000004</v>
      </c>
    </row>
    <row r="25" spans="1:14" s="72" customFormat="1" x14ac:dyDescent="0.25">
      <c r="A25" s="111"/>
      <c r="B25" s="22"/>
      <c r="C25" s="110" t="s">
        <v>36</v>
      </c>
      <c r="D25" s="119"/>
      <c r="E25" s="118" t="s">
        <v>35</v>
      </c>
      <c r="F25" s="26">
        <f t="shared" ref="F25:L25" si="7">F26+F51</f>
        <v>50670.400000000001</v>
      </c>
      <c r="G25" s="26">
        <f>G26+G51</f>
        <v>50</v>
      </c>
      <c r="H25" s="26">
        <f t="shared" si="7"/>
        <v>50720.399999999987</v>
      </c>
      <c r="I25" s="26">
        <f t="shared" si="7"/>
        <v>50161.4</v>
      </c>
      <c r="J25" s="26"/>
      <c r="K25" s="26">
        <f t="shared" si="7"/>
        <v>50161.4</v>
      </c>
      <c r="L25" s="26">
        <f t="shared" si="7"/>
        <v>52484.800000000003</v>
      </c>
      <c r="M25" s="26"/>
      <c r="N25" s="26">
        <f>N26+N51</f>
        <v>52484.800000000003</v>
      </c>
    </row>
    <row r="26" spans="1:14" ht="25.5" x14ac:dyDescent="0.25">
      <c r="A26" s="34"/>
      <c r="B26" s="33"/>
      <c r="C26" s="34" t="s">
        <v>34</v>
      </c>
      <c r="D26" s="33"/>
      <c r="E26" s="32" t="s">
        <v>859</v>
      </c>
      <c r="F26" s="31">
        <f t="shared" ref="F26:L26" si="8">F27+F33</f>
        <v>50578.200000000004</v>
      </c>
      <c r="G26" s="31">
        <f>G27+G33</f>
        <v>50</v>
      </c>
      <c r="H26" s="31">
        <f t="shared" si="8"/>
        <v>50628.19999999999</v>
      </c>
      <c r="I26" s="31">
        <f t="shared" si="8"/>
        <v>50066.5</v>
      </c>
      <c r="J26" s="31"/>
      <c r="K26" s="31">
        <f t="shared" si="8"/>
        <v>50066.5</v>
      </c>
      <c r="L26" s="31">
        <f t="shared" si="8"/>
        <v>52389.9</v>
      </c>
      <c r="M26" s="31"/>
      <c r="N26" s="31">
        <f>N27+N33</f>
        <v>52389.9</v>
      </c>
    </row>
    <row r="27" spans="1:14" ht="26.25" x14ac:dyDescent="0.25">
      <c r="A27" s="30"/>
      <c r="B27" s="30"/>
      <c r="C27" s="30" t="s">
        <v>32</v>
      </c>
      <c r="D27" s="30"/>
      <c r="E27" s="29" t="s">
        <v>31</v>
      </c>
      <c r="F27" s="28">
        <f t="shared" ref="F27:N28" si="9">F28</f>
        <v>48001.200000000004</v>
      </c>
      <c r="G27" s="28">
        <f t="shared" si="9"/>
        <v>50</v>
      </c>
      <c r="H27" s="28">
        <f t="shared" si="9"/>
        <v>48051.19999999999</v>
      </c>
      <c r="I27" s="28">
        <f t="shared" si="9"/>
        <v>47415.9</v>
      </c>
      <c r="J27" s="28"/>
      <c r="K27" s="28">
        <f t="shared" si="9"/>
        <v>47415.9</v>
      </c>
      <c r="L27" s="28">
        <f t="shared" si="9"/>
        <v>49739.3</v>
      </c>
      <c r="M27" s="28"/>
      <c r="N27" s="28">
        <f t="shared" si="9"/>
        <v>49739.3</v>
      </c>
    </row>
    <row r="28" spans="1:14" ht="39" x14ac:dyDescent="0.25">
      <c r="A28" s="208"/>
      <c r="B28" s="208"/>
      <c r="C28" s="208" t="s">
        <v>30</v>
      </c>
      <c r="D28" s="208"/>
      <c r="E28" s="209" t="s">
        <v>29</v>
      </c>
      <c r="F28" s="210">
        <f t="shared" si="9"/>
        <v>48001.200000000004</v>
      </c>
      <c r="G28" s="210">
        <f t="shared" si="9"/>
        <v>50</v>
      </c>
      <c r="H28" s="210">
        <f t="shared" si="9"/>
        <v>48051.19999999999</v>
      </c>
      <c r="I28" s="210">
        <f t="shared" si="9"/>
        <v>47415.9</v>
      </c>
      <c r="J28" s="210"/>
      <c r="K28" s="210">
        <f t="shared" si="9"/>
        <v>47415.9</v>
      </c>
      <c r="L28" s="210">
        <f t="shared" si="9"/>
        <v>49739.3</v>
      </c>
      <c r="M28" s="210"/>
      <c r="N28" s="210">
        <f t="shared" si="9"/>
        <v>49739.3</v>
      </c>
    </row>
    <row r="29" spans="1:14" ht="25.5" x14ac:dyDescent="0.25">
      <c r="A29" s="8"/>
      <c r="B29" s="8"/>
      <c r="C29" s="7" t="s">
        <v>28</v>
      </c>
      <c r="D29" s="7"/>
      <c r="E29" s="10" t="s">
        <v>27</v>
      </c>
      <c r="F29" s="5">
        <f t="shared" ref="F29:L29" si="10">F30+F31</f>
        <v>48001.200000000004</v>
      </c>
      <c r="G29" s="5">
        <f>G30+G31+G32</f>
        <v>50</v>
      </c>
      <c r="H29" s="5">
        <f>H30+H31+H32</f>
        <v>48051.19999999999</v>
      </c>
      <c r="I29" s="5">
        <f t="shared" si="10"/>
        <v>47415.9</v>
      </c>
      <c r="J29" s="5"/>
      <c r="K29" s="5">
        <f t="shared" si="10"/>
        <v>47415.9</v>
      </c>
      <c r="L29" s="5">
        <f t="shared" si="10"/>
        <v>49739.3</v>
      </c>
      <c r="M29" s="5"/>
      <c r="N29" s="5">
        <f>N30+N31</f>
        <v>49739.3</v>
      </c>
    </row>
    <row r="30" spans="1:14" ht="39" x14ac:dyDescent="0.25">
      <c r="A30" s="8"/>
      <c r="B30" s="8"/>
      <c r="C30" s="7"/>
      <c r="D30" s="7" t="s">
        <v>2</v>
      </c>
      <c r="E30" s="6" t="s">
        <v>1</v>
      </c>
      <c r="F30" s="5">
        <v>45677.8</v>
      </c>
      <c r="G30" s="5"/>
      <c r="H30" s="5">
        <f>44073.6-598.3+1983.7+157.2+61.6</f>
        <v>45677.799999999988</v>
      </c>
      <c r="I30" s="5">
        <v>47415.9</v>
      </c>
      <c r="J30" s="337"/>
      <c r="K30" s="5">
        <f>45599.6-617.7+2227.2+163.3+43.5</f>
        <v>47415.9</v>
      </c>
      <c r="L30" s="5">
        <v>47415.9</v>
      </c>
      <c r="M30" s="5"/>
      <c r="N30" s="5">
        <f>45599.6-617.7+2227.2+163.3+43.5</f>
        <v>47415.9</v>
      </c>
    </row>
    <row r="31" spans="1:14" x14ac:dyDescent="0.25">
      <c r="A31" s="8"/>
      <c r="B31" s="8"/>
      <c r="C31" s="7"/>
      <c r="D31" s="7" t="s">
        <v>12</v>
      </c>
      <c r="E31" s="6" t="s">
        <v>11</v>
      </c>
      <c r="F31" s="5">
        <f>2348.3-33.2+8.3</f>
        <v>2323.4000000000005</v>
      </c>
      <c r="G31" s="5"/>
      <c r="H31" s="5">
        <f>2348.3-33.2+8.3</f>
        <v>2323.4000000000005</v>
      </c>
      <c r="I31" s="5">
        <v>0</v>
      </c>
      <c r="J31" s="337"/>
      <c r="K31" s="5">
        <v>0</v>
      </c>
      <c r="L31" s="5">
        <f>2348.3-33.2+8.3</f>
        <v>2323.4000000000005</v>
      </c>
      <c r="M31" s="5"/>
      <c r="N31" s="5">
        <f>2348.3-33.2+8.3</f>
        <v>2323.4000000000005</v>
      </c>
    </row>
    <row r="32" spans="1:14" x14ac:dyDescent="0.25">
      <c r="A32" s="433"/>
      <c r="B32" s="433"/>
      <c r="C32" s="409"/>
      <c r="D32" s="409" t="s">
        <v>22</v>
      </c>
      <c r="E32" s="419" t="s">
        <v>21</v>
      </c>
      <c r="F32" s="434"/>
      <c r="G32" s="434">
        <v>50</v>
      </c>
      <c r="H32" s="434">
        <v>50</v>
      </c>
      <c r="I32" s="434"/>
      <c r="J32" s="434"/>
      <c r="K32" s="434"/>
      <c r="L32" s="434"/>
      <c r="M32" s="434"/>
      <c r="N32" s="434"/>
    </row>
    <row r="33" spans="1:14" ht="39" x14ac:dyDescent="0.25">
      <c r="A33" s="30"/>
      <c r="B33" s="30"/>
      <c r="C33" s="30" t="s">
        <v>518</v>
      </c>
      <c r="D33" s="30"/>
      <c r="E33" s="50" t="s">
        <v>540</v>
      </c>
      <c r="F33" s="28">
        <f>F34</f>
        <v>2577</v>
      </c>
      <c r="G33" s="28"/>
      <c r="H33" s="28">
        <f>H34</f>
        <v>2577</v>
      </c>
      <c r="I33" s="28">
        <f>I34</f>
        <v>2650.6</v>
      </c>
      <c r="J33" s="333"/>
      <c r="K33" s="28">
        <f>K34</f>
        <v>2650.6</v>
      </c>
      <c r="L33" s="28">
        <f>L34</f>
        <v>2650.6</v>
      </c>
      <c r="M33" s="28"/>
      <c r="N33" s="28">
        <f>N34</f>
        <v>2650.6</v>
      </c>
    </row>
    <row r="34" spans="1:14" ht="26.25" x14ac:dyDescent="0.25">
      <c r="A34" s="208"/>
      <c r="B34" s="208"/>
      <c r="C34" s="208" t="s">
        <v>516</v>
      </c>
      <c r="D34" s="216"/>
      <c r="E34" s="209" t="s">
        <v>539</v>
      </c>
      <c r="F34" s="210">
        <f>F35+F38+F41+F43+F46+F49</f>
        <v>2577</v>
      </c>
      <c r="G34" s="210"/>
      <c r="H34" s="210">
        <f>H35+H38+H41+H43+H46+H49</f>
        <v>2577</v>
      </c>
      <c r="I34" s="210">
        <f>I35+I38+I41+I43+I46+I49</f>
        <v>2650.6</v>
      </c>
      <c r="J34" s="334"/>
      <c r="K34" s="210">
        <f>K35+K38+K41+K43+K46+K49</f>
        <v>2650.6</v>
      </c>
      <c r="L34" s="210">
        <f>L35+L38+L41+L43+L46+L49</f>
        <v>2650.6</v>
      </c>
      <c r="M34" s="210"/>
      <c r="N34" s="210">
        <f>N35+N38+N41+N43+N46+N49</f>
        <v>2650.6</v>
      </c>
    </row>
    <row r="35" spans="1:14" ht="26.25" x14ac:dyDescent="0.25">
      <c r="A35" s="8"/>
      <c r="B35" s="8"/>
      <c r="C35" s="7" t="s">
        <v>568</v>
      </c>
      <c r="D35" s="7"/>
      <c r="E35" s="12" t="s">
        <v>567</v>
      </c>
      <c r="F35" s="73">
        <f>SUM(F36:F37)</f>
        <v>1372.2</v>
      </c>
      <c r="G35" s="73"/>
      <c r="H35" s="73">
        <f>SUM(H36:H37)</f>
        <v>1372.2</v>
      </c>
      <c r="I35" s="73">
        <f>SUM(I36:I37)</f>
        <v>1411.5</v>
      </c>
      <c r="J35" s="338"/>
      <c r="K35" s="73">
        <f>SUM(K36:K37)</f>
        <v>1411.5</v>
      </c>
      <c r="L35" s="73">
        <f>SUM(L36:L37)</f>
        <v>1411.5</v>
      </c>
      <c r="M35" s="73"/>
      <c r="N35" s="73">
        <f>SUM(N36:N37)</f>
        <v>1411.5</v>
      </c>
    </row>
    <row r="36" spans="1:14" ht="39" x14ac:dyDescent="0.25">
      <c r="A36" s="8"/>
      <c r="B36" s="8"/>
      <c r="C36" s="7"/>
      <c r="D36" s="7" t="s">
        <v>2</v>
      </c>
      <c r="E36" s="6" t="s">
        <v>1</v>
      </c>
      <c r="F36" s="73">
        <v>1196.7</v>
      </c>
      <c r="G36" s="73"/>
      <c r="H36" s="73">
        <v>1196.7</v>
      </c>
      <c r="I36" s="73">
        <v>1242.8</v>
      </c>
      <c r="J36" s="338"/>
      <c r="K36" s="73">
        <v>1242.8</v>
      </c>
      <c r="L36" s="73">
        <v>1242.8</v>
      </c>
      <c r="M36" s="73"/>
      <c r="N36" s="73">
        <v>1242.8</v>
      </c>
    </row>
    <row r="37" spans="1:14" x14ac:dyDescent="0.25">
      <c r="A37" s="8"/>
      <c r="B37" s="8"/>
      <c r="C37" s="7"/>
      <c r="D37" s="7" t="s">
        <v>12</v>
      </c>
      <c r="E37" s="6" t="s">
        <v>11</v>
      </c>
      <c r="F37" s="73">
        <v>175.5</v>
      </c>
      <c r="G37" s="73"/>
      <c r="H37" s="73">
        <v>175.5</v>
      </c>
      <c r="I37" s="73">
        <v>168.7</v>
      </c>
      <c r="J37" s="338"/>
      <c r="K37" s="73">
        <v>168.7</v>
      </c>
      <c r="L37" s="73">
        <v>168.7</v>
      </c>
      <c r="M37" s="73"/>
      <c r="N37" s="73">
        <v>168.7</v>
      </c>
    </row>
    <row r="38" spans="1:14" ht="26.25" x14ac:dyDescent="0.25">
      <c r="A38" s="8"/>
      <c r="B38" s="8"/>
      <c r="C38" s="7" t="s">
        <v>794</v>
      </c>
      <c r="D38" s="7"/>
      <c r="E38" s="12" t="s">
        <v>566</v>
      </c>
      <c r="F38" s="73">
        <f>SUM(F39:F40)</f>
        <v>649.5</v>
      </c>
      <c r="G38" s="73"/>
      <c r="H38" s="73">
        <f>SUM(H39:H40)</f>
        <v>649.5</v>
      </c>
      <c r="I38" s="73">
        <f>SUM(I39:I40)</f>
        <v>667.6</v>
      </c>
      <c r="J38" s="338"/>
      <c r="K38" s="73">
        <f>SUM(K39:K40)</f>
        <v>667.6</v>
      </c>
      <c r="L38" s="73">
        <f>SUM(L39:L40)</f>
        <v>667.6</v>
      </c>
      <c r="M38" s="73"/>
      <c r="N38" s="73">
        <f>SUM(N39:N40)</f>
        <v>667.6</v>
      </c>
    </row>
    <row r="39" spans="1:14" ht="39" x14ac:dyDescent="0.25">
      <c r="A39" s="8"/>
      <c r="B39" s="8"/>
      <c r="C39" s="7"/>
      <c r="D39" s="7" t="s">
        <v>2</v>
      </c>
      <c r="E39" s="6" t="s">
        <v>1</v>
      </c>
      <c r="F39" s="73">
        <v>598.4</v>
      </c>
      <c r="G39" s="73"/>
      <c r="H39" s="73">
        <v>598.4</v>
      </c>
      <c r="I39" s="73">
        <v>621.4</v>
      </c>
      <c r="J39" s="338"/>
      <c r="K39" s="73">
        <v>621.4</v>
      </c>
      <c r="L39" s="73">
        <v>621.4</v>
      </c>
      <c r="M39" s="73"/>
      <c r="N39" s="73">
        <v>621.4</v>
      </c>
    </row>
    <row r="40" spans="1:14" x14ac:dyDescent="0.25">
      <c r="A40" s="8"/>
      <c r="B40" s="8"/>
      <c r="C40" s="7"/>
      <c r="D40" s="7" t="s">
        <v>12</v>
      </c>
      <c r="E40" s="6" t="s">
        <v>11</v>
      </c>
      <c r="F40" s="73">
        <v>51.1</v>
      </c>
      <c r="G40" s="73"/>
      <c r="H40" s="73">
        <v>51.1</v>
      </c>
      <c r="I40" s="73">
        <v>46.2</v>
      </c>
      <c r="J40" s="338"/>
      <c r="K40" s="73">
        <v>46.2</v>
      </c>
      <c r="L40" s="73">
        <v>46.2</v>
      </c>
      <c r="M40" s="73"/>
      <c r="N40" s="73">
        <v>46.2</v>
      </c>
    </row>
    <row r="41" spans="1:14" x14ac:dyDescent="0.25">
      <c r="A41" s="8"/>
      <c r="B41" s="8"/>
      <c r="C41" s="7" t="s">
        <v>565</v>
      </c>
      <c r="D41" s="7"/>
      <c r="E41" s="12" t="s">
        <v>564</v>
      </c>
      <c r="F41" s="73">
        <f>F42</f>
        <v>12.2</v>
      </c>
      <c r="G41" s="73"/>
      <c r="H41" s="73">
        <f>H42</f>
        <v>12.2</v>
      </c>
      <c r="I41" s="73">
        <f>I42</f>
        <v>12.2</v>
      </c>
      <c r="J41" s="338"/>
      <c r="K41" s="73">
        <f>K42</f>
        <v>12.2</v>
      </c>
      <c r="L41" s="73">
        <f>L42</f>
        <v>12.2</v>
      </c>
      <c r="M41" s="73"/>
      <c r="N41" s="73">
        <f>N42</f>
        <v>12.2</v>
      </c>
    </row>
    <row r="42" spans="1:14" x14ac:dyDescent="0.25">
      <c r="A42" s="8"/>
      <c r="B42" s="8"/>
      <c r="C42" s="7"/>
      <c r="D42" s="7" t="s">
        <v>12</v>
      </c>
      <c r="E42" s="6" t="s">
        <v>11</v>
      </c>
      <c r="F42" s="73">
        <v>12.2</v>
      </c>
      <c r="G42" s="73"/>
      <c r="H42" s="73">
        <v>12.2</v>
      </c>
      <c r="I42" s="73">
        <v>12.2</v>
      </c>
      <c r="J42" s="338"/>
      <c r="K42" s="73">
        <v>12.2</v>
      </c>
      <c r="L42" s="73">
        <v>12.2</v>
      </c>
      <c r="M42" s="73"/>
      <c r="N42" s="73">
        <v>12.2</v>
      </c>
    </row>
    <row r="43" spans="1:14" ht="26.25" x14ac:dyDescent="0.25">
      <c r="A43" s="8"/>
      <c r="B43" s="8"/>
      <c r="C43" s="7" t="s">
        <v>563</v>
      </c>
      <c r="D43" s="7"/>
      <c r="E43" s="6" t="s">
        <v>562</v>
      </c>
      <c r="F43" s="73">
        <f>SUM(F44:F45)</f>
        <v>73.599999999999994</v>
      </c>
      <c r="G43" s="73"/>
      <c r="H43" s="73">
        <f>SUM(H44:H45)</f>
        <v>73.599999999999994</v>
      </c>
      <c r="I43" s="73">
        <f>SUM(I44:I45)</f>
        <v>75.8</v>
      </c>
      <c r="J43" s="338"/>
      <c r="K43" s="73">
        <f>SUM(K44:K45)</f>
        <v>75.8</v>
      </c>
      <c r="L43" s="73">
        <f>SUM(L44:L45)</f>
        <v>75.8</v>
      </c>
      <c r="M43" s="73"/>
      <c r="N43" s="73">
        <f>SUM(N44:N45)</f>
        <v>75.8</v>
      </c>
    </row>
    <row r="44" spans="1:14" ht="39" x14ac:dyDescent="0.25">
      <c r="A44" s="8"/>
      <c r="B44" s="8"/>
      <c r="C44" s="7"/>
      <c r="D44" s="7" t="s">
        <v>2</v>
      </c>
      <c r="E44" s="6" t="s">
        <v>1</v>
      </c>
      <c r="F44" s="73">
        <v>59.8</v>
      </c>
      <c r="G44" s="73"/>
      <c r="H44" s="73">
        <v>59.8</v>
      </c>
      <c r="I44" s="73">
        <v>62.1</v>
      </c>
      <c r="J44" s="338"/>
      <c r="K44" s="73">
        <v>62.1</v>
      </c>
      <c r="L44" s="73">
        <v>62.1</v>
      </c>
      <c r="M44" s="73"/>
      <c r="N44" s="73">
        <v>62.1</v>
      </c>
    </row>
    <row r="45" spans="1:14" x14ac:dyDescent="0.25">
      <c r="A45" s="8"/>
      <c r="B45" s="8"/>
      <c r="C45" s="7"/>
      <c r="D45" s="7" t="s">
        <v>12</v>
      </c>
      <c r="E45" s="6" t="s">
        <v>11</v>
      </c>
      <c r="F45" s="73">
        <v>13.8</v>
      </c>
      <c r="G45" s="73"/>
      <c r="H45" s="73">
        <v>13.8</v>
      </c>
      <c r="I45" s="73">
        <v>13.7</v>
      </c>
      <c r="J45" s="338"/>
      <c r="K45" s="73">
        <v>13.7</v>
      </c>
      <c r="L45" s="73">
        <v>13.7</v>
      </c>
      <c r="M45" s="73"/>
      <c r="N45" s="73">
        <v>13.7</v>
      </c>
    </row>
    <row r="46" spans="1:14" ht="26.25" x14ac:dyDescent="0.25">
      <c r="A46" s="8"/>
      <c r="B46" s="8"/>
      <c r="C46" s="7" t="s">
        <v>561</v>
      </c>
      <c r="D46" s="7"/>
      <c r="E46" s="6" t="s">
        <v>560</v>
      </c>
      <c r="F46" s="73">
        <f>SUM(F47:F48)</f>
        <v>453.3</v>
      </c>
      <c r="G46" s="73"/>
      <c r="H46" s="73">
        <f>SUM(H47:H48)</f>
        <v>453.3</v>
      </c>
      <c r="I46" s="73">
        <f>SUM(I47:I48)</f>
        <v>466.8</v>
      </c>
      <c r="J46" s="338"/>
      <c r="K46" s="73">
        <f>SUM(K47:K48)</f>
        <v>466.8</v>
      </c>
      <c r="L46" s="73">
        <f>SUM(L47:L48)</f>
        <v>466.8</v>
      </c>
      <c r="M46" s="73"/>
      <c r="N46" s="73">
        <f>SUM(N47:N48)</f>
        <v>466.8</v>
      </c>
    </row>
    <row r="47" spans="1:14" ht="39" x14ac:dyDescent="0.25">
      <c r="A47" s="8"/>
      <c r="B47" s="8"/>
      <c r="C47" s="7"/>
      <c r="D47" s="7" t="s">
        <v>2</v>
      </c>
      <c r="E47" s="6" t="s">
        <v>1</v>
      </c>
      <c r="F47" s="73">
        <v>404.8</v>
      </c>
      <c r="G47" s="73"/>
      <c r="H47" s="73">
        <v>404.8</v>
      </c>
      <c r="I47" s="73">
        <v>420.5</v>
      </c>
      <c r="J47" s="338"/>
      <c r="K47" s="73">
        <v>420.5</v>
      </c>
      <c r="L47" s="73">
        <v>420.5</v>
      </c>
      <c r="M47" s="73"/>
      <c r="N47" s="73">
        <v>420.5</v>
      </c>
    </row>
    <row r="48" spans="1:14" x14ac:dyDescent="0.25">
      <c r="A48" s="8"/>
      <c r="B48" s="8"/>
      <c r="C48" s="7"/>
      <c r="D48" s="7" t="s">
        <v>12</v>
      </c>
      <c r="E48" s="6" t="s">
        <v>11</v>
      </c>
      <c r="F48" s="73">
        <v>48.5</v>
      </c>
      <c r="G48" s="73"/>
      <c r="H48" s="73">
        <v>48.5</v>
      </c>
      <c r="I48" s="73">
        <v>46.3</v>
      </c>
      <c r="J48" s="338"/>
      <c r="K48" s="73">
        <v>46.3</v>
      </c>
      <c r="L48" s="73">
        <v>46.3</v>
      </c>
      <c r="M48" s="73"/>
      <c r="N48" s="73">
        <v>46.3</v>
      </c>
    </row>
    <row r="49" spans="1:14" ht="39" x14ac:dyDescent="0.25">
      <c r="A49" s="8"/>
      <c r="B49" s="8"/>
      <c r="C49" s="7" t="s">
        <v>559</v>
      </c>
      <c r="D49" s="7"/>
      <c r="E49" s="12" t="s">
        <v>558</v>
      </c>
      <c r="F49" s="73">
        <f>F50</f>
        <v>16.2</v>
      </c>
      <c r="G49" s="73"/>
      <c r="H49" s="73">
        <f>H50</f>
        <v>16.2</v>
      </c>
      <c r="I49" s="73">
        <f>I50</f>
        <v>16.7</v>
      </c>
      <c r="J49" s="338"/>
      <c r="K49" s="73">
        <f>K50</f>
        <v>16.7</v>
      </c>
      <c r="L49" s="73">
        <f>L50</f>
        <v>16.7</v>
      </c>
      <c r="M49" s="73"/>
      <c r="N49" s="73">
        <f>N50</f>
        <v>16.7</v>
      </c>
    </row>
    <row r="50" spans="1:14" x14ac:dyDescent="0.25">
      <c r="A50" s="8"/>
      <c r="B50" s="8"/>
      <c r="C50" s="7"/>
      <c r="D50" s="7" t="s">
        <v>12</v>
      </c>
      <c r="E50" s="6" t="s">
        <v>11</v>
      </c>
      <c r="F50" s="73">
        <v>16.2</v>
      </c>
      <c r="G50" s="73"/>
      <c r="H50" s="73">
        <v>16.2</v>
      </c>
      <c r="I50" s="73">
        <v>16.7</v>
      </c>
      <c r="J50" s="338"/>
      <c r="K50" s="73">
        <v>16.7</v>
      </c>
      <c r="L50" s="73">
        <v>16.7</v>
      </c>
      <c r="M50" s="73"/>
      <c r="N50" s="73">
        <v>16.7</v>
      </c>
    </row>
    <row r="51" spans="1:14" ht="25.5" x14ac:dyDescent="0.25">
      <c r="A51" s="34"/>
      <c r="B51" s="33"/>
      <c r="C51" s="34" t="s">
        <v>268</v>
      </c>
      <c r="D51" s="33"/>
      <c r="E51" s="32" t="s">
        <v>267</v>
      </c>
      <c r="F51" s="31">
        <f t="shared" ref="F51:N52" si="11">F52</f>
        <v>92.199999999999989</v>
      </c>
      <c r="G51" s="31"/>
      <c r="H51" s="31">
        <f t="shared" si="11"/>
        <v>92.199999999999989</v>
      </c>
      <c r="I51" s="31">
        <f t="shared" si="11"/>
        <v>94.9</v>
      </c>
      <c r="J51" s="332"/>
      <c r="K51" s="31">
        <f t="shared" si="11"/>
        <v>94.9</v>
      </c>
      <c r="L51" s="31">
        <f t="shared" si="11"/>
        <v>94.9</v>
      </c>
      <c r="M51" s="31"/>
      <c r="N51" s="31">
        <f t="shared" si="11"/>
        <v>94.9</v>
      </c>
    </row>
    <row r="52" spans="1:14" ht="39" x14ac:dyDescent="0.25">
      <c r="A52" s="208"/>
      <c r="B52" s="208"/>
      <c r="C52" s="208" t="s">
        <v>266</v>
      </c>
      <c r="D52" s="208"/>
      <c r="E52" s="209" t="s">
        <v>265</v>
      </c>
      <c r="F52" s="210">
        <f t="shared" si="11"/>
        <v>92.199999999999989</v>
      </c>
      <c r="G52" s="210"/>
      <c r="H52" s="210">
        <f t="shared" si="11"/>
        <v>92.199999999999989</v>
      </c>
      <c r="I52" s="210">
        <f t="shared" si="11"/>
        <v>94.9</v>
      </c>
      <c r="J52" s="334"/>
      <c r="K52" s="210">
        <f t="shared" si="11"/>
        <v>94.9</v>
      </c>
      <c r="L52" s="210">
        <f t="shared" si="11"/>
        <v>94.9</v>
      </c>
      <c r="M52" s="210"/>
      <c r="N52" s="210">
        <f t="shared" si="11"/>
        <v>94.9</v>
      </c>
    </row>
    <row r="53" spans="1:14" ht="38.25" x14ac:dyDescent="0.25">
      <c r="A53" s="8"/>
      <c r="B53" s="8"/>
      <c r="C53" s="7" t="s">
        <v>557</v>
      </c>
      <c r="D53" s="7"/>
      <c r="E53" s="10" t="s">
        <v>556</v>
      </c>
      <c r="F53" s="9">
        <f>F54+F55</f>
        <v>92.199999999999989</v>
      </c>
      <c r="G53" s="9"/>
      <c r="H53" s="9">
        <f>H54+H55</f>
        <v>92.199999999999989</v>
      </c>
      <c r="I53" s="9">
        <f>I54+I55</f>
        <v>94.9</v>
      </c>
      <c r="J53" s="335"/>
      <c r="K53" s="9">
        <f>K54+K55</f>
        <v>94.9</v>
      </c>
      <c r="L53" s="9">
        <f>L54+L55</f>
        <v>94.9</v>
      </c>
      <c r="M53" s="9"/>
      <c r="N53" s="9">
        <f>N54+N55</f>
        <v>94.9</v>
      </c>
    </row>
    <row r="54" spans="1:14" ht="39" x14ac:dyDescent="0.25">
      <c r="A54" s="8"/>
      <c r="B54" s="8"/>
      <c r="C54" s="7"/>
      <c r="D54" s="7" t="s">
        <v>2</v>
      </c>
      <c r="E54" s="6" t="s">
        <v>1</v>
      </c>
      <c r="F54" s="9">
        <v>59.8</v>
      </c>
      <c r="G54" s="9"/>
      <c r="H54" s="9">
        <v>59.8</v>
      </c>
      <c r="I54" s="9">
        <v>62.1</v>
      </c>
      <c r="J54" s="335"/>
      <c r="K54" s="9">
        <v>62.1</v>
      </c>
      <c r="L54" s="9">
        <v>62.1</v>
      </c>
      <c r="M54" s="9"/>
      <c r="N54" s="9">
        <v>62.1</v>
      </c>
    </row>
    <row r="55" spans="1:14" x14ac:dyDescent="0.25">
      <c r="A55" s="8"/>
      <c r="B55" s="8"/>
      <c r="C55" s="7"/>
      <c r="D55" s="7" t="s">
        <v>12</v>
      </c>
      <c r="E55" s="6" t="s">
        <v>11</v>
      </c>
      <c r="F55" s="9">
        <v>32.4</v>
      </c>
      <c r="G55" s="9"/>
      <c r="H55" s="9">
        <v>32.4</v>
      </c>
      <c r="I55" s="9">
        <v>32.799999999999997</v>
      </c>
      <c r="J55" s="335"/>
      <c r="K55" s="9">
        <v>32.799999999999997</v>
      </c>
      <c r="L55" s="9">
        <v>32.799999999999997</v>
      </c>
      <c r="M55" s="9"/>
      <c r="N55" s="9">
        <v>32.799999999999997</v>
      </c>
    </row>
    <row r="56" spans="1:14" s="72" customFormat="1" x14ac:dyDescent="0.25">
      <c r="A56" s="105"/>
      <c r="B56" s="105"/>
      <c r="C56" s="47" t="s">
        <v>52</v>
      </c>
      <c r="D56" s="46"/>
      <c r="E56" s="45" t="s">
        <v>51</v>
      </c>
      <c r="F56" s="103">
        <f t="shared" ref="F56:N58" si="12">F57</f>
        <v>6.2</v>
      </c>
      <c r="G56" s="103">
        <f t="shared" si="12"/>
        <v>495.03116</v>
      </c>
      <c r="H56" s="103">
        <f t="shared" si="12"/>
        <v>501.23115999999999</v>
      </c>
      <c r="I56" s="103">
        <f t="shared" si="12"/>
        <v>6.4</v>
      </c>
      <c r="J56" s="339"/>
      <c r="K56" s="103">
        <f t="shared" si="12"/>
        <v>6.4</v>
      </c>
      <c r="L56" s="103">
        <f t="shared" si="12"/>
        <v>6.4</v>
      </c>
      <c r="M56" s="103"/>
      <c r="N56" s="103">
        <f t="shared" si="12"/>
        <v>6.4</v>
      </c>
    </row>
    <row r="57" spans="1:14" s="72" customFormat="1" ht="25.5" x14ac:dyDescent="0.25">
      <c r="A57" s="117"/>
      <c r="B57" s="117"/>
      <c r="C57" s="116" t="s">
        <v>16</v>
      </c>
      <c r="D57" s="115"/>
      <c r="E57" s="114" t="s">
        <v>44</v>
      </c>
      <c r="F57" s="113">
        <f>F58+F60</f>
        <v>6.2</v>
      </c>
      <c r="G57" s="113">
        <f>G58+G60</f>
        <v>495.03116</v>
      </c>
      <c r="H57" s="113">
        <f>H58+H60</f>
        <v>501.23115999999999</v>
      </c>
      <c r="I57" s="113">
        <f t="shared" si="12"/>
        <v>6.4</v>
      </c>
      <c r="J57" s="340"/>
      <c r="K57" s="113">
        <f t="shared" si="12"/>
        <v>6.4</v>
      </c>
      <c r="L57" s="113">
        <f t="shared" si="12"/>
        <v>6.4</v>
      </c>
      <c r="M57" s="113"/>
      <c r="N57" s="113">
        <f t="shared" si="12"/>
        <v>6.4</v>
      </c>
    </row>
    <row r="58" spans="1:14" ht="25.5" x14ac:dyDescent="0.25">
      <c r="A58" s="8"/>
      <c r="B58" s="8"/>
      <c r="C58" s="36" t="s">
        <v>555</v>
      </c>
      <c r="D58" s="52"/>
      <c r="E58" s="10" t="s">
        <v>554</v>
      </c>
      <c r="F58" s="73">
        <f t="shared" si="12"/>
        <v>6.2</v>
      </c>
      <c r="G58" s="73"/>
      <c r="H58" s="73">
        <f t="shared" si="12"/>
        <v>6.2</v>
      </c>
      <c r="I58" s="73">
        <f t="shared" si="12"/>
        <v>6.4</v>
      </c>
      <c r="J58" s="338"/>
      <c r="K58" s="73">
        <f t="shared" si="12"/>
        <v>6.4</v>
      </c>
      <c r="L58" s="73">
        <f t="shared" si="12"/>
        <v>6.4</v>
      </c>
      <c r="M58" s="73"/>
      <c r="N58" s="73">
        <f t="shared" si="12"/>
        <v>6.4</v>
      </c>
    </row>
    <row r="59" spans="1:14" x14ac:dyDescent="0.25">
      <c r="A59" s="8"/>
      <c r="B59" s="8"/>
      <c r="C59" s="36"/>
      <c r="D59" s="52" t="s">
        <v>12</v>
      </c>
      <c r="E59" s="10" t="s">
        <v>11</v>
      </c>
      <c r="F59" s="73">
        <v>6.2</v>
      </c>
      <c r="G59" s="73"/>
      <c r="H59" s="73">
        <v>6.2</v>
      </c>
      <c r="I59" s="73">
        <v>6.4</v>
      </c>
      <c r="J59" s="338"/>
      <c r="K59" s="73">
        <v>6.4</v>
      </c>
      <c r="L59" s="73">
        <v>6.4</v>
      </c>
      <c r="M59" s="73"/>
      <c r="N59" s="73">
        <v>6.4</v>
      </c>
    </row>
    <row r="60" spans="1:14" x14ac:dyDescent="0.25">
      <c r="A60" s="455"/>
      <c r="B60" s="455"/>
      <c r="C60" s="454" t="s">
        <v>933</v>
      </c>
      <c r="D60" s="296"/>
      <c r="E60" s="285" t="s">
        <v>932</v>
      </c>
      <c r="F60" s="456">
        <v>0</v>
      </c>
      <c r="G60" s="456">
        <f>G61</f>
        <v>495.03116</v>
      </c>
      <c r="H60" s="456">
        <f>H61</f>
        <v>495.03116</v>
      </c>
      <c r="I60" s="456">
        <v>0</v>
      </c>
      <c r="J60" s="456"/>
      <c r="K60" s="456">
        <v>0</v>
      </c>
      <c r="L60" s="456"/>
      <c r="M60" s="456"/>
      <c r="N60" s="456">
        <v>0</v>
      </c>
    </row>
    <row r="61" spans="1:14" ht="39" x14ac:dyDescent="0.25">
      <c r="A61" s="455"/>
      <c r="B61" s="455"/>
      <c r="C61" s="454"/>
      <c r="D61" s="7" t="s">
        <v>2</v>
      </c>
      <c r="E61" s="6" t="s">
        <v>1</v>
      </c>
      <c r="F61" s="456">
        <v>0</v>
      </c>
      <c r="G61" s="456">
        <v>495.03116</v>
      </c>
      <c r="H61" s="456">
        <f>F61+G61</f>
        <v>495.03116</v>
      </c>
      <c r="I61" s="456">
        <v>0</v>
      </c>
      <c r="J61" s="456"/>
      <c r="K61" s="456">
        <v>0</v>
      </c>
      <c r="L61" s="456"/>
      <c r="M61" s="456"/>
      <c r="N61" s="456">
        <v>0</v>
      </c>
    </row>
    <row r="62" spans="1:14" x14ac:dyDescent="0.25">
      <c r="A62" s="21"/>
      <c r="B62" s="22" t="s">
        <v>553</v>
      </c>
      <c r="C62" s="21"/>
      <c r="D62" s="22"/>
      <c r="E62" s="27" t="s">
        <v>552</v>
      </c>
      <c r="F62" s="19">
        <f t="shared" ref="F62:N67" si="13">F63</f>
        <v>2.2999999999999998</v>
      </c>
      <c r="G62" s="19"/>
      <c r="H62" s="19">
        <f t="shared" si="13"/>
        <v>2.2999999999999998</v>
      </c>
      <c r="I62" s="19">
        <f t="shared" si="13"/>
        <v>34.5</v>
      </c>
      <c r="J62" s="341"/>
      <c r="K62" s="19">
        <f t="shared" si="13"/>
        <v>34.5</v>
      </c>
      <c r="L62" s="19">
        <f t="shared" si="13"/>
        <v>2.3000000000000043</v>
      </c>
      <c r="M62" s="19"/>
      <c r="N62" s="19">
        <f t="shared" si="13"/>
        <v>2.3000000000000043</v>
      </c>
    </row>
    <row r="63" spans="1:14" s="112" customFormat="1" ht="12.75" x14ac:dyDescent="0.2">
      <c r="A63" s="21"/>
      <c r="B63" s="22"/>
      <c r="C63" s="21" t="s">
        <v>36</v>
      </c>
      <c r="D63" s="110"/>
      <c r="E63" s="109" t="s">
        <v>35</v>
      </c>
      <c r="F63" s="19">
        <f t="shared" si="13"/>
        <v>2.2999999999999998</v>
      </c>
      <c r="G63" s="19"/>
      <c r="H63" s="19">
        <f t="shared" si="13"/>
        <v>2.2999999999999998</v>
      </c>
      <c r="I63" s="19">
        <f t="shared" si="13"/>
        <v>34.5</v>
      </c>
      <c r="J63" s="341"/>
      <c r="K63" s="19">
        <f t="shared" si="13"/>
        <v>34.5</v>
      </c>
      <c r="L63" s="19">
        <f t="shared" si="13"/>
        <v>2.3000000000000043</v>
      </c>
      <c r="M63" s="19"/>
      <c r="N63" s="19">
        <f t="shared" si="13"/>
        <v>2.3000000000000043</v>
      </c>
    </row>
    <row r="64" spans="1:14" ht="25.5" x14ac:dyDescent="0.25">
      <c r="A64" s="34"/>
      <c r="B64" s="33"/>
      <c r="C64" s="34" t="s">
        <v>34</v>
      </c>
      <c r="D64" s="33"/>
      <c r="E64" s="32" t="s">
        <v>103</v>
      </c>
      <c r="F64" s="31">
        <f t="shared" si="13"/>
        <v>2.2999999999999998</v>
      </c>
      <c r="G64" s="31"/>
      <c r="H64" s="31">
        <f t="shared" si="13"/>
        <v>2.2999999999999998</v>
      </c>
      <c r="I64" s="31">
        <f t="shared" si="13"/>
        <v>34.5</v>
      </c>
      <c r="J64" s="332"/>
      <c r="K64" s="31">
        <f t="shared" si="13"/>
        <v>34.5</v>
      </c>
      <c r="L64" s="31">
        <f t="shared" si="13"/>
        <v>2.3000000000000043</v>
      </c>
      <c r="M64" s="31"/>
      <c r="N64" s="31">
        <f t="shared" si="13"/>
        <v>2.3000000000000043</v>
      </c>
    </row>
    <row r="65" spans="1:14" ht="38.25" x14ac:dyDescent="0.25">
      <c r="A65" s="64"/>
      <c r="B65" s="63"/>
      <c r="C65" s="64" t="s">
        <v>518</v>
      </c>
      <c r="D65" s="63"/>
      <c r="E65" s="62" t="s">
        <v>551</v>
      </c>
      <c r="F65" s="61">
        <f t="shared" si="13"/>
        <v>2.2999999999999998</v>
      </c>
      <c r="G65" s="61"/>
      <c r="H65" s="61">
        <f t="shared" si="13"/>
        <v>2.2999999999999998</v>
      </c>
      <c r="I65" s="61">
        <f t="shared" si="13"/>
        <v>34.5</v>
      </c>
      <c r="J65" s="342"/>
      <c r="K65" s="61">
        <f t="shared" si="13"/>
        <v>34.5</v>
      </c>
      <c r="L65" s="61">
        <f t="shared" si="13"/>
        <v>2.3000000000000043</v>
      </c>
      <c r="M65" s="61"/>
      <c r="N65" s="61">
        <f t="shared" si="13"/>
        <v>2.3000000000000043</v>
      </c>
    </row>
    <row r="66" spans="1:14" ht="25.5" x14ac:dyDescent="0.25">
      <c r="A66" s="218"/>
      <c r="B66" s="213"/>
      <c r="C66" s="218" t="s">
        <v>516</v>
      </c>
      <c r="D66" s="213"/>
      <c r="E66" s="224" t="s">
        <v>550</v>
      </c>
      <c r="F66" s="215">
        <f t="shared" si="13"/>
        <v>2.2999999999999998</v>
      </c>
      <c r="G66" s="215"/>
      <c r="H66" s="215">
        <f t="shared" si="13"/>
        <v>2.2999999999999998</v>
      </c>
      <c r="I66" s="215">
        <f t="shared" si="13"/>
        <v>34.5</v>
      </c>
      <c r="J66" s="343"/>
      <c r="K66" s="215">
        <f t="shared" si="13"/>
        <v>34.5</v>
      </c>
      <c r="L66" s="215">
        <f t="shared" si="13"/>
        <v>2.3000000000000043</v>
      </c>
      <c r="M66" s="215"/>
      <c r="N66" s="215">
        <f t="shared" si="13"/>
        <v>2.3000000000000043</v>
      </c>
    </row>
    <row r="67" spans="1:14" ht="26.25" x14ac:dyDescent="0.25">
      <c r="A67" s="8"/>
      <c r="B67" s="8"/>
      <c r="C67" s="7" t="s">
        <v>549</v>
      </c>
      <c r="D67" s="7"/>
      <c r="E67" s="6" t="s">
        <v>548</v>
      </c>
      <c r="F67" s="73">
        <f t="shared" si="13"/>
        <v>2.2999999999999998</v>
      </c>
      <c r="G67" s="73"/>
      <c r="H67" s="73">
        <f t="shared" si="13"/>
        <v>2.2999999999999998</v>
      </c>
      <c r="I67" s="73">
        <f t="shared" si="13"/>
        <v>34.5</v>
      </c>
      <c r="J67" s="338"/>
      <c r="K67" s="73">
        <f t="shared" si="13"/>
        <v>34.5</v>
      </c>
      <c r="L67" s="73">
        <f t="shared" si="13"/>
        <v>2.3000000000000043</v>
      </c>
      <c r="M67" s="73"/>
      <c r="N67" s="73">
        <f t="shared" si="13"/>
        <v>2.3000000000000043</v>
      </c>
    </row>
    <row r="68" spans="1:14" x14ac:dyDescent="0.25">
      <c r="A68" s="8"/>
      <c r="B68" s="8"/>
      <c r="C68" s="7"/>
      <c r="D68" s="7" t="s">
        <v>12</v>
      </c>
      <c r="E68" s="6" t="s">
        <v>11</v>
      </c>
      <c r="F68" s="261">
        <v>2.2999999999999998</v>
      </c>
      <c r="G68" s="261"/>
      <c r="H68" s="261">
        <v>2.2999999999999998</v>
      </c>
      <c r="I68" s="261">
        <v>34.5</v>
      </c>
      <c r="J68" s="344"/>
      <c r="K68" s="261">
        <v>34.5</v>
      </c>
      <c r="L68" s="261">
        <v>2.3000000000000043</v>
      </c>
      <c r="M68" s="261"/>
      <c r="N68" s="261">
        <v>2.3000000000000043</v>
      </c>
    </row>
    <row r="69" spans="1:14" x14ac:dyDescent="0.25">
      <c r="A69" s="21"/>
      <c r="B69" s="22" t="s">
        <v>20</v>
      </c>
      <c r="C69" s="21"/>
      <c r="D69" s="21"/>
      <c r="E69" s="20" t="s">
        <v>19</v>
      </c>
      <c r="F69" s="19">
        <f t="shared" ref="F69:L69" si="14">F70+F95</f>
        <v>46961.971730000005</v>
      </c>
      <c r="G69" s="19">
        <f t="shared" si="14"/>
        <v>211.3</v>
      </c>
      <c r="H69" s="19">
        <f t="shared" si="14"/>
        <v>47173.271730000008</v>
      </c>
      <c r="I69" s="19">
        <f t="shared" si="14"/>
        <v>43915.388770000005</v>
      </c>
      <c r="J69" s="19"/>
      <c r="K69" s="19">
        <f t="shared" si="14"/>
        <v>43915.388770000005</v>
      </c>
      <c r="L69" s="19">
        <f t="shared" si="14"/>
        <v>39907.035200000006</v>
      </c>
      <c r="M69" s="19"/>
      <c r="N69" s="19">
        <f>N70+N95</f>
        <v>39907.035200000006</v>
      </c>
    </row>
    <row r="70" spans="1:14" x14ac:dyDescent="0.25">
      <c r="A70" s="21"/>
      <c r="B70" s="22"/>
      <c r="C70" s="21" t="s">
        <v>36</v>
      </c>
      <c r="D70" s="21"/>
      <c r="E70" s="27" t="s">
        <v>35</v>
      </c>
      <c r="F70" s="19">
        <f>F71+F89</f>
        <v>4825.5717299999997</v>
      </c>
      <c r="G70" s="19"/>
      <c r="H70" s="19">
        <f>H71+H89</f>
        <v>4825.5717299999997</v>
      </c>
      <c r="I70" s="19">
        <f>I71+I89</f>
        <v>5978.5887699999994</v>
      </c>
      <c r="J70" s="341"/>
      <c r="K70" s="19">
        <f>K71+K89</f>
        <v>5978.5887699999994</v>
      </c>
      <c r="L70" s="19">
        <f>L71+L89</f>
        <v>2415.8352</v>
      </c>
      <c r="M70" s="19"/>
      <c r="N70" s="19">
        <f>N71+N89</f>
        <v>2415.8352</v>
      </c>
    </row>
    <row r="71" spans="1:14" ht="25.5" x14ac:dyDescent="0.25">
      <c r="A71" s="34"/>
      <c r="B71" s="33"/>
      <c r="C71" s="34" t="s">
        <v>34</v>
      </c>
      <c r="D71" s="33"/>
      <c r="E71" s="32" t="s">
        <v>33</v>
      </c>
      <c r="F71" s="31">
        <f>F72+F78+F83</f>
        <v>3252.3</v>
      </c>
      <c r="G71" s="31"/>
      <c r="H71" s="31">
        <f>H72+H78+H83</f>
        <v>3252.3</v>
      </c>
      <c r="I71" s="31">
        <f>I72+I78+I83</f>
        <v>1516.3000000000002</v>
      </c>
      <c r="J71" s="332"/>
      <c r="K71" s="31">
        <f>K72+K78+K83</f>
        <v>1516.3000000000002</v>
      </c>
      <c r="L71" s="31">
        <f>L72+L78+L83</f>
        <v>2269</v>
      </c>
      <c r="M71" s="31"/>
      <c r="N71" s="31">
        <f>N72+N78+N83</f>
        <v>2269</v>
      </c>
    </row>
    <row r="72" spans="1:14" x14ac:dyDescent="0.25">
      <c r="A72" s="30"/>
      <c r="B72" s="30"/>
      <c r="C72" s="30" t="s">
        <v>547</v>
      </c>
      <c r="D72" s="30"/>
      <c r="E72" s="50" t="s">
        <v>546</v>
      </c>
      <c r="F72" s="28">
        <f>F73</f>
        <v>1841.1000000000001</v>
      </c>
      <c r="G72" s="28"/>
      <c r="H72" s="28">
        <f>H73</f>
        <v>1841.1000000000001</v>
      </c>
      <c r="I72" s="28">
        <f>I73</f>
        <v>69.400000000000006</v>
      </c>
      <c r="J72" s="333"/>
      <c r="K72" s="28">
        <f>K73</f>
        <v>69.400000000000006</v>
      </c>
      <c r="L72" s="28">
        <f>L73</f>
        <v>822.1</v>
      </c>
      <c r="M72" s="28"/>
      <c r="N72" s="28">
        <f>N73</f>
        <v>822.1</v>
      </c>
    </row>
    <row r="73" spans="1:14" x14ac:dyDescent="0.25">
      <c r="A73" s="208"/>
      <c r="B73" s="208"/>
      <c r="C73" s="208" t="s">
        <v>545</v>
      </c>
      <c r="D73" s="208"/>
      <c r="E73" s="209" t="s">
        <v>544</v>
      </c>
      <c r="F73" s="210">
        <f>F74+F76</f>
        <v>1841.1000000000001</v>
      </c>
      <c r="G73" s="210"/>
      <c r="H73" s="210">
        <f>H74+H76</f>
        <v>1841.1000000000001</v>
      </c>
      <c r="I73" s="210">
        <f>I74+I76</f>
        <v>69.400000000000006</v>
      </c>
      <c r="J73" s="334"/>
      <c r="K73" s="210">
        <f>K74+K76</f>
        <v>69.400000000000006</v>
      </c>
      <c r="L73" s="210">
        <f>L74+L76</f>
        <v>822.1</v>
      </c>
      <c r="M73" s="210"/>
      <c r="N73" s="210">
        <f>N74+N76</f>
        <v>822.1</v>
      </c>
    </row>
    <row r="74" spans="1:14" ht="51.75" x14ac:dyDescent="0.25">
      <c r="A74" s="7"/>
      <c r="B74" s="7"/>
      <c r="C74" s="7" t="s">
        <v>543</v>
      </c>
      <c r="D74" s="57"/>
      <c r="E74" s="6" t="s">
        <v>542</v>
      </c>
      <c r="F74" s="9">
        <f>F75</f>
        <v>1771.7</v>
      </c>
      <c r="G74" s="9"/>
      <c r="H74" s="9">
        <f>H75</f>
        <v>1771.7</v>
      </c>
      <c r="I74" s="9">
        <f>I75</f>
        <v>0</v>
      </c>
      <c r="J74" s="335"/>
      <c r="K74" s="9">
        <f>K75</f>
        <v>0</v>
      </c>
      <c r="L74" s="9">
        <f>L75</f>
        <v>752.7</v>
      </c>
      <c r="M74" s="9"/>
      <c r="N74" s="9">
        <f>N75</f>
        <v>752.7</v>
      </c>
    </row>
    <row r="75" spans="1:14" x14ac:dyDescent="0.25">
      <c r="A75" s="7"/>
      <c r="B75" s="7"/>
      <c r="C75" s="7"/>
      <c r="D75" s="7" t="s">
        <v>12</v>
      </c>
      <c r="E75" s="6" t="s">
        <v>11</v>
      </c>
      <c r="F75" s="9">
        <v>1771.7</v>
      </c>
      <c r="G75" s="9"/>
      <c r="H75" s="9">
        <v>1771.7</v>
      </c>
      <c r="I75" s="9">
        <v>0</v>
      </c>
      <c r="J75" s="335"/>
      <c r="K75" s="9">
        <v>0</v>
      </c>
      <c r="L75" s="9">
        <v>752.7</v>
      </c>
      <c r="M75" s="9"/>
      <c r="N75" s="9">
        <v>752.7</v>
      </c>
    </row>
    <row r="76" spans="1:14" ht="26.25" x14ac:dyDescent="0.25">
      <c r="A76" s="8"/>
      <c r="B76" s="8"/>
      <c r="C76" s="7" t="s">
        <v>743</v>
      </c>
      <c r="D76" s="7"/>
      <c r="E76" s="6" t="s">
        <v>541</v>
      </c>
      <c r="F76" s="9">
        <f>F77</f>
        <v>69.400000000000006</v>
      </c>
      <c r="G76" s="9"/>
      <c r="H76" s="9">
        <f>H77</f>
        <v>69.400000000000006</v>
      </c>
      <c r="I76" s="9">
        <f>I77</f>
        <v>69.400000000000006</v>
      </c>
      <c r="J76" s="335"/>
      <c r="K76" s="9">
        <f>K77</f>
        <v>69.400000000000006</v>
      </c>
      <c r="L76" s="9">
        <f>L77</f>
        <v>69.400000000000006</v>
      </c>
      <c r="M76" s="9"/>
      <c r="N76" s="9">
        <f>N77</f>
        <v>69.400000000000006</v>
      </c>
    </row>
    <row r="77" spans="1:14" x14ac:dyDescent="0.25">
      <c r="A77" s="8"/>
      <c r="B77" s="8"/>
      <c r="C77" s="7"/>
      <c r="D77" s="7" t="s">
        <v>12</v>
      </c>
      <c r="E77" s="6" t="s">
        <v>11</v>
      </c>
      <c r="F77" s="9">
        <v>69.400000000000006</v>
      </c>
      <c r="G77" s="9"/>
      <c r="H77" s="9">
        <v>69.400000000000006</v>
      </c>
      <c r="I77" s="9">
        <v>69.400000000000006</v>
      </c>
      <c r="J77" s="335"/>
      <c r="K77" s="9">
        <v>69.400000000000006</v>
      </c>
      <c r="L77" s="9">
        <v>69.400000000000006</v>
      </c>
      <c r="M77" s="9"/>
      <c r="N77" s="9">
        <v>69.400000000000006</v>
      </c>
    </row>
    <row r="78" spans="1:14" ht="39" x14ac:dyDescent="0.25">
      <c r="A78" s="30"/>
      <c r="B78" s="30"/>
      <c r="C78" s="30" t="s">
        <v>518</v>
      </c>
      <c r="D78" s="30"/>
      <c r="E78" s="50" t="s">
        <v>540</v>
      </c>
      <c r="F78" s="28">
        <f t="shared" ref="F78:N79" si="15">F79</f>
        <v>1159.2</v>
      </c>
      <c r="G78" s="28"/>
      <c r="H78" s="28">
        <f t="shared" si="15"/>
        <v>1159.2</v>
      </c>
      <c r="I78" s="28">
        <f t="shared" si="15"/>
        <v>1194.9000000000001</v>
      </c>
      <c r="J78" s="333"/>
      <c r="K78" s="28">
        <f t="shared" si="15"/>
        <v>1194.9000000000001</v>
      </c>
      <c r="L78" s="28">
        <f t="shared" si="15"/>
        <v>1194.9000000000001</v>
      </c>
      <c r="M78" s="28"/>
      <c r="N78" s="28">
        <f t="shared" si="15"/>
        <v>1194.9000000000001</v>
      </c>
    </row>
    <row r="79" spans="1:14" ht="26.25" x14ac:dyDescent="0.25">
      <c r="A79" s="208"/>
      <c r="B79" s="208"/>
      <c r="C79" s="208" t="s">
        <v>516</v>
      </c>
      <c r="D79" s="216"/>
      <c r="E79" s="209" t="s">
        <v>539</v>
      </c>
      <c r="F79" s="210">
        <f t="shared" si="15"/>
        <v>1159.2</v>
      </c>
      <c r="G79" s="210"/>
      <c r="H79" s="210">
        <f t="shared" si="15"/>
        <v>1159.2</v>
      </c>
      <c r="I79" s="210">
        <f t="shared" si="15"/>
        <v>1194.9000000000001</v>
      </c>
      <c r="J79" s="334"/>
      <c r="K79" s="210">
        <f t="shared" si="15"/>
        <v>1194.9000000000001</v>
      </c>
      <c r="L79" s="210">
        <f t="shared" si="15"/>
        <v>1194.9000000000001</v>
      </c>
      <c r="M79" s="210"/>
      <c r="N79" s="210">
        <f t="shared" si="15"/>
        <v>1194.9000000000001</v>
      </c>
    </row>
    <row r="80" spans="1:14" x14ac:dyDescent="0.25">
      <c r="A80" s="7"/>
      <c r="B80" s="7"/>
      <c r="C80" s="7" t="s">
        <v>538</v>
      </c>
      <c r="D80" s="7"/>
      <c r="E80" s="6" t="s">
        <v>537</v>
      </c>
      <c r="F80" s="73">
        <f>SUM(F81+F82)</f>
        <v>1159.2</v>
      </c>
      <c r="G80" s="73"/>
      <c r="H80" s="73">
        <f>SUM(H81+H82)</f>
        <v>1159.2</v>
      </c>
      <c r="I80" s="73">
        <f>SUM(I81+I82)</f>
        <v>1194.9000000000001</v>
      </c>
      <c r="J80" s="338"/>
      <c r="K80" s="73">
        <f>SUM(K81+K82)</f>
        <v>1194.9000000000001</v>
      </c>
      <c r="L80" s="73">
        <f>SUM(L81+L82)</f>
        <v>1194.9000000000001</v>
      </c>
      <c r="M80" s="73"/>
      <c r="N80" s="73">
        <f>SUM(N81+N82)</f>
        <v>1194.9000000000001</v>
      </c>
    </row>
    <row r="81" spans="1:14" ht="39" x14ac:dyDescent="0.25">
      <c r="A81" s="7"/>
      <c r="B81" s="7"/>
      <c r="C81" s="7"/>
      <c r="D81" s="7" t="s">
        <v>2</v>
      </c>
      <c r="E81" s="6" t="s">
        <v>1</v>
      </c>
      <c r="F81" s="73">
        <v>1145.8</v>
      </c>
      <c r="G81" s="73"/>
      <c r="H81" s="73">
        <v>1145.8</v>
      </c>
      <c r="I81" s="73">
        <v>1190</v>
      </c>
      <c r="J81" s="338"/>
      <c r="K81" s="73">
        <v>1190</v>
      </c>
      <c r="L81" s="73">
        <v>1190</v>
      </c>
      <c r="M81" s="73"/>
      <c r="N81" s="73">
        <v>1190</v>
      </c>
    </row>
    <row r="82" spans="1:14" x14ac:dyDescent="0.25">
      <c r="A82" s="7"/>
      <c r="B82" s="7"/>
      <c r="C82" s="7"/>
      <c r="D82" s="7" t="s">
        <v>12</v>
      </c>
      <c r="E82" s="6" t="s">
        <v>11</v>
      </c>
      <c r="F82" s="73">
        <v>13.4000000000001</v>
      </c>
      <c r="G82" s="73"/>
      <c r="H82" s="73">
        <v>13.4000000000001</v>
      </c>
      <c r="I82" s="73">
        <v>4.9000000000000901</v>
      </c>
      <c r="J82" s="338"/>
      <c r="K82" s="73">
        <v>4.9000000000000901</v>
      </c>
      <c r="L82" s="73">
        <v>4.9000000000000901</v>
      </c>
      <c r="M82" s="73"/>
      <c r="N82" s="73">
        <v>4.9000000000000901</v>
      </c>
    </row>
    <row r="83" spans="1:14" ht="26.25" x14ac:dyDescent="0.25">
      <c r="A83" s="30"/>
      <c r="B83" s="30"/>
      <c r="C83" s="30" t="s">
        <v>536</v>
      </c>
      <c r="D83" s="30"/>
      <c r="E83" s="50" t="s">
        <v>535</v>
      </c>
      <c r="F83" s="28">
        <f>F84</f>
        <v>252</v>
      </c>
      <c r="G83" s="28"/>
      <c r="H83" s="28">
        <f>H84</f>
        <v>252</v>
      </c>
      <c r="I83" s="28">
        <f>I84</f>
        <v>252</v>
      </c>
      <c r="J83" s="333"/>
      <c r="K83" s="28">
        <f>K84</f>
        <v>252</v>
      </c>
      <c r="L83" s="28">
        <f>L84</f>
        <v>252</v>
      </c>
      <c r="M83" s="28"/>
      <c r="N83" s="28">
        <f>N84</f>
        <v>252</v>
      </c>
    </row>
    <row r="84" spans="1:14" ht="26.25" x14ac:dyDescent="0.25">
      <c r="A84" s="208"/>
      <c r="B84" s="208"/>
      <c r="C84" s="208" t="s">
        <v>534</v>
      </c>
      <c r="D84" s="216"/>
      <c r="E84" s="209" t="s">
        <v>533</v>
      </c>
      <c r="F84" s="210">
        <f>F85+F87</f>
        <v>252</v>
      </c>
      <c r="G84" s="210"/>
      <c r="H84" s="210">
        <f>H85+H87</f>
        <v>252</v>
      </c>
      <c r="I84" s="210">
        <f>I85+I87</f>
        <v>252</v>
      </c>
      <c r="J84" s="334"/>
      <c r="K84" s="210">
        <f>K85+K87</f>
        <v>252</v>
      </c>
      <c r="L84" s="210">
        <f>L85+L87</f>
        <v>252</v>
      </c>
      <c r="M84" s="210"/>
      <c r="N84" s="210">
        <f>N85+N87</f>
        <v>252</v>
      </c>
    </row>
    <row r="85" spans="1:14" x14ac:dyDescent="0.25">
      <c r="A85" s="8"/>
      <c r="B85" s="8"/>
      <c r="C85" s="7" t="s">
        <v>532</v>
      </c>
      <c r="D85" s="7"/>
      <c r="E85" s="12" t="s">
        <v>531</v>
      </c>
      <c r="F85" s="73">
        <f>F86</f>
        <v>133.30000000000001</v>
      </c>
      <c r="G85" s="73"/>
      <c r="H85" s="73">
        <f>H86</f>
        <v>133.30000000000001</v>
      </c>
      <c r="I85" s="73">
        <f>I86</f>
        <v>133.30000000000001</v>
      </c>
      <c r="J85" s="338"/>
      <c r="K85" s="73">
        <f>K86</f>
        <v>133.30000000000001</v>
      </c>
      <c r="L85" s="73">
        <f>L86</f>
        <v>133.30000000000001</v>
      </c>
      <c r="M85" s="73"/>
      <c r="N85" s="73">
        <f>N86</f>
        <v>133.30000000000001</v>
      </c>
    </row>
    <row r="86" spans="1:14" x14ac:dyDescent="0.25">
      <c r="A86" s="8"/>
      <c r="B86" s="8"/>
      <c r="C86" s="7"/>
      <c r="D86" s="7" t="s">
        <v>12</v>
      </c>
      <c r="E86" s="6" t="s">
        <v>11</v>
      </c>
      <c r="F86" s="73">
        <f>133.3</f>
        <v>133.30000000000001</v>
      </c>
      <c r="G86" s="73"/>
      <c r="H86" s="73">
        <f>133.3</f>
        <v>133.30000000000001</v>
      </c>
      <c r="I86" s="73">
        <v>133.30000000000001</v>
      </c>
      <c r="J86" s="338"/>
      <c r="K86" s="73">
        <v>133.30000000000001</v>
      </c>
      <c r="L86" s="73">
        <v>133.30000000000001</v>
      </c>
      <c r="M86" s="73"/>
      <c r="N86" s="73">
        <v>133.30000000000001</v>
      </c>
    </row>
    <row r="87" spans="1:14" ht="39" x14ac:dyDescent="0.25">
      <c r="A87" s="8"/>
      <c r="B87" s="8"/>
      <c r="C87" s="7" t="s">
        <v>530</v>
      </c>
      <c r="D87" s="7"/>
      <c r="E87" s="12" t="s">
        <v>626</v>
      </c>
      <c r="F87" s="73">
        <f>F88</f>
        <v>118.7</v>
      </c>
      <c r="G87" s="73"/>
      <c r="H87" s="73">
        <f>H88</f>
        <v>118.7</v>
      </c>
      <c r="I87" s="73">
        <f>I88</f>
        <v>118.7</v>
      </c>
      <c r="J87" s="338"/>
      <c r="K87" s="73">
        <f>K88</f>
        <v>118.7</v>
      </c>
      <c r="L87" s="73">
        <f>L88</f>
        <v>118.7</v>
      </c>
      <c r="M87" s="73"/>
      <c r="N87" s="73">
        <f>N88</f>
        <v>118.7</v>
      </c>
    </row>
    <row r="88" spans="1:14" x14ac:dyDescent="0.25">
      <c r="A88" s="8"/>
      <c r="B88" s="8"/>
      <c r="C88" s="7"/>
      <c r="D88" s="7" t="s">
        <v>12</v>
      </c>
      <c r="E88" s="6" t="s">
        <v>11</v>
      </c>
      <c r="F88" s="73">
        <f>34.7+84</f>
        <v>118.7</v>
      </c>
      <c r="G88" s="73"/>
      <c r="H88" s="73">
        <f>34.7+84</f>
        <v>118.7</v>
      </c>
      <c r="I88" s="73">
        <f>34.7+84</f>
        <v>118.7</v>
      </c>
      <c r="J88" s="338"/>
      <c r="K88" s="73">
        <f>34.7+84</f>
        <v>118.7</v>
      </c>
      <c r="L88" s="73">
        <f>34.7+84</f>
        <v>118.7</v>
      </c>
      <c r="M88" s="73"/>
      <c r="N88" s="73">
        <f>34.7+84</f>
        <v>118.7</v>
      </c>
    </row>
    <row r="89" spans="1:14" ht="25.5" x14ac:dyDescent="0.25">
      <c r="A89" s="34"/>
      <c r="B89" s="33"/>
      <c r="C89" s="34" t="s">
        <v>285</v>
      </c>
      <c r="D89" s="33"/>
      <c r="E89" s="32" t="s">
        <v>284</v>
      </c>
      <c r="F89" s="31">
        <f t="shared" ref="F89:N91" si="16">F90</f>
        <v>1573.2717299999999</v>
      </c>
      <c r="G89" s="31"/>
      <c r="H89" s="31">
        <f t="shared" si="16"/>
        <v>1573.2717299999999</v>
      </c>
      <c r="I89" s="31">
        <f t="shared" si="16"/>
        <v>4462.2887699999992</v>
      </c>
      <c r="J89" s="332"/>
      <c r="K89" s="31">
        <f t="shared" si="16"/>
        <v>4462.2887699999992</v>
      </c>
      <c r="L89" s="31">
        <f t="shared" si="16"/>
        <v>146.83519999999999</v>
      </c>
      <c r="M89" s="31"/>
      <c r="N89" s="31">
        <f t="shared" si="16"/>
        <v>146.83519999999999</v>
      </c>
    </row>
    <row r="90" spans="1:14" ht="26.25" x14ac:dyDescent="0.25">
      <c r="A90" s="208"/>
      <c r="B90" s="208"/>
      <c r="C90" s="208" t="s">
        <v>283</v>
      </c>
      <c r="D90" s="208"/>
      <c r="E90" s="209" t="s">
        <v>282</v>
      </c>
      <c r="F90" s="210">
        <f t="shared" si="16"/>
        <v>1573.2717299999999</v>
      </c>
      <c r="G90" s="210"/>
      <c r="H90" s="210">
        <f t="shared" si="16"/>
        <v>1573.2717299999999</v>
      </c>
      <c r="I90" s="210">
        <f t="shared" si="16"/>
        <v>4462.2887699999992</v>
      </c>
      <c r="J90" s="334"/>
      <c r="K90" s="210">
        <f t="shared" si="16"/>
        <v>4462.2887699999992</v>
      </c>
      <c r="L90" s="210">
        <f t="shared" si="16"/>
        <v>146.83519999999999</v>
      </c>
      <c r="M90" s="210"/>
      <c r="N90" s="210">
        <f t="shared" si="16"/>
        <v>146.83519999999999</v>
      </c>
    </row>
    <row r="91" spans="1:14" ht="26.25" x14ac:dyDescent="0.25">
      <c r="A91" s="7"/>
      <c r="B91" s="7"/>
      <c r="C91" s="7" t="s">
        <v>373</v>
      </c>
      <c r="D91" s="7"/>
      <c r="E91" s="6" t="s">
        <v>372</v>
      </c>
      <c r="F91" s="9">
        <f t="shared" si="16"/>
        <v>1573.2717299999999</v>
      </c>
      <c r="G91" s="9"/>
      <c r="H91" s="9">
        <f t="shared" si="16"/>
        <v>1573.2717299999999</v>
      </c>
      <c r="I91" s="9">
        <f t="shared" si="16"/>
        <v>4462.2887699999992</v>
      </c>
      <c r="J91" s="335"/>
      <c r="K91" s="9">
        <f t="shared" si="16"/>
        <v>4462.2887699999992</v>
      </c>
      <c r="L91" s="9">
        <f t="shared" si="16"/>
        <v>146.83519999999999</v>
      </c>
      <c r="M91" s="9"/>
      <c r="N91" s="9">
        <f t="shared" si="16"/>
        <v>146.83519999999999</v>
      </c>
    </row>
    <row r="92" spans="1:14" x14ac:dyDescent="0.25">
      <c r="A92" s="7"/>
      <c r="B92" s="7"/>
      <c r="C92" s="7"/>
      <c r="D92" s="7" t="s">
        <v>12</v>
      </c>
      <c r="E92" s="6" t="s">
        <v>11</v>
      </c>
      <c r="F92" s="9">
        <f>F93+F94</f>
        <v>1573.2717299999999</v>
      </c>
      <c r="G92" s="9"/>
      <c r="H92" s="9">
        <f>H93+H94</f>
        <v>1573.2717299999999</v>
      </c>
      <c r="I92" s="9">
        <f>I93+I94</f>
        <v>4462.2887699999992</v>
      </c>
      <c r="J92" s="335"/>
      <c r="K92" s="9">
        <f>K93+K94</f>
        <v>4462.2887699999992</v>
      </c>
      <c r="L92" s="9">
        <f>L94</f>
        <v>146.83519999999999</v>
      </c>
      <c r="M92" s="9"/>
      <c r="N92" s="9">
        <f>N94</f>
        <v>146.83519999999999</v>
      </c>
    </row>
    <row r="93" spans="1:14" x14ac:dyDescent="0.25">
      <c r="A93" s="7"/>
      <c r="B93" s="7"/>
      <c r="C93" s="7"/>
      <c r="D93" s="7"/>
      <c r="E93" s="10" t="s">
        <v>114</v>
      </c>
      <c r="F93" s="9">
        <v>1542.1069</v>
      </c>
      <c r="G93" s="9"/>
      <c r="H93" s="9">
        <v>1542.1069</v>
      </c>
      <c r="I93" s="9">
        <v>4373.0429999999997</v>
      </c>
      <c r="J93" s="335"/>
      <c r="K93" s="9">
        <v>4373.0429999999997</v>
      </c>
      <c r="L93" s="9">
        <v>0</v>
      </c>
      <c r="M93" s="9"/>
      <c r="N93" s="9">
        <v>0</v>
      </c>
    </row>
    <row r="94" spans="1:14" x14ac:dyDescent="0.25">
      <c r="A94" s="7"/>
      <c r="B94" s="7"/>
      <c r="C94" s="7"/>
      <c r="D94" s="7"/>
      <c r="E94" s="6" t="s">
        <v>106</v>
      </c>
      <c r="F94" s="9">
        <v>31.164829999999998</v>
      </c>
      <c r="G94" s="9"/>
      <c r="H94" s="9">
        <v>31.164829999999998</v>
      </c>
      <c r="I94" s="9">
        <v>89.245769999999993</v>
      </c>
      <c r="J94" s="335"/>
      <c r="K94" s="9">
        <v>89.245769999999993</v>
      </c>
      <c r="L94" s="9">
        <v>146.83519999999999</v>
      </c>
      <c r="M94" s="9"/>
      <c r="N94" s="9">
        <v>146.83519999999999</v>
      </c>
    </row>
    <row r="95" spans="1:14" x14ac:dyDescent="0.25">
      <c r="A95" s="18"/>
      <c r="B95" s="18"/>
      <c r="C95" s="18" t="s">
        <v>18</v>
      </c>
      <c r="D95" s="18"/>
      <c r="E95" s="17" t="s">
        <v>17</v>
      </c>
      <c r="F95" s="16">
        <f t="shared" ref="F95:L95" si="17">F96</f>
        <v>42136.4</v>
      </c>
      <c r="G95" s="16">
        <f t="shared" si="17"/>
        <v>211.3</v>
      </c>
      <c r="H95" s="16">
        <f t="shared" si="17"/>
        <v>42347.700000000004</v>
      </c>
      <c r="I95" s="16">
        <f t="shared" si="17"/>
        <v>37936.800000000003</v>
      </c>
      <c r="J95" s="16"/>
      <c r="K95" s="16">
        <f t="shared" si="17"/>
        <v>37936.800000000003</v>
      </c>
      <c r="L95" s="16">
        <f t="shared" si="17"/>
        <v>37491.200000000004</v>
      </c>
      <c r="M95" s="16"/>
      <c r="N95" s="16">
        <f>N96</f>
        <v>37491.200000000004</v>
      </c>
    </row>
    <row r="96" spans="1:14" ht="26.25" x14ac:dyDescent="0.25">
      <c r="A96" s="15"/>
      <c r="B96" s="15"/>
      <c r="C96" s="15" t="s">
        <v>16</v>
      </c>
      <c r="D96" s="15"/>
      <c r="E96" s="14" t="s">
        <v>15</v>
      </c>
      <c r="F96" s="13">
        <f t="shared" ref="F96:L96" si="18">F97+F103+F105+F107+F101+F109+F111</f>
        <v>42136.4</v>
      </c>
      <c r="G96" s="13">
        <f t="shared" si="18"/>
        <v>211.3</v>
      </c>
      <c r="H96" s="13">
        <f t="shared" si="18"/>
        <v>42347.700000000004</v>
      </c>
      <c r="I96" s="13">
        <f t="shared" si="18"/>
        <v>37936.800000000003</v>
      </c>
      <c r="J96" s="13"/>
      <c r="K96" s="13">
        <f t="shared" si="18"/>
        <v>37936.800000000003</v>
      </c>
      <c r="L96" s="13">
        <f t="shared" si="18"/>
        <v>37491.200000000004</v>
      </c>
      <c r="M96" s="13"/>
      <c r="N96" s="13">
        <f>N97+N103+N105+N107+N101+N109+N111</f>
        <v>37491.200000000004</v>
      </c>
    </row>
    <row r="97" spans="1:14" ht="26.25" x14ac:dyDescent="0.25">
      <c r="A97" s="8"/>
      <c r="B97" s="8"/>
      <c r="C97" s="7" t="s">
        <v>528</v>
      </c>
      <c r="D97" s="7"/>
      <c r="E97" s="12" t="s">
        <v>527</v>
      </c>
      <c r="F97" s="9">
        <f t="shared" ref="F97:L97" si="19">F98+F99+F100</f>
        <v>39730.400000000001</v>
      </c>
      <c r="G97" s="9">
        <f t="shared" si="19"/>
        <v>179.9</v>
      </c>
      <c r="H97" s="9">
        <f t="shared" si="19"/>
        <v>39910.300000000003</v>
      </c>
      <c r="I97" s="9">
        <f t="shared" si="19"/>
        <v>37336.800000000003</v>
      </c>
      <c r="J97" s="9"/>
      <c r="K97" s="9">
        <f t="shared" si="19"/>
        <v>37336.800000000003</v>
      </c>
      <c r="L97" s="9">
        <f t="shared" si="19"/>
        <v>36891.200000000004</v>
      </c>
      <c r="M97" s="9"/>
      <c r="N97" s="9">
        <f>N98+N99+N100</f>
        <v>36891.200000000004</v>
      </c>
    </row>
    <row r="98" spans="1:14" ht="39" x14ac:dyDescent="0.25">
      <c r="A98" s="8"/>
      <c r="B98" s="8"/>
      <c r="C98" s="7"/>
      <c r="D98" s="7" t="s">
        <v>2</v>
      </c>
      <c r="E98" s="6" t="s">
        <v>1</v>
      </c>
      <c r="F98" s="9">
        <v>18191.699999999997</v>
      </c>
      <c r="G98" s="9"/>
      <c r="H98" s="9">
        <f>18278.1+96.4-118.4-64.4</f>
        <v>18191.699999999997</v>
      </c>
      <c r="I98" s="9">
        <f>18983.7+100.2</f>
        <v>19083.900000000001</v>
      </c>
      <c r="J98" s="335"/>
      <c r="K98" s="9">
        <f>18983.7+100.2</f>
        <v>19083.900000000001</v>
      </c>
      <c r="L98" s="9">
        <f>18983.7+100.2</f>
        <v>19083.900000000001</v>
      </c>
      <c r="M98" s="9"/>
      <c r="N98" s="9">
        <f>18983.7+100.2</f>
        <v>19083.900000000001</v>
      </c>
    </row>
    <row r="99" spans="1:14" x14ac:dyDescent="0.25">
      <c r="A99" s="8"/>
      <c r="B99" s="8"/>
      <c r="C99" s="7"/>
      <c r="D99" s="7" t="s">
        <v>12</v>
      </c>
      <c r="E99" s="6" t="s">
        <v>11</v>
      </c>
      <c r="F99" s="9">
        <v>21110.400000000001</v>
      </c>
      <c r="G99" s="9">
        <v>179.9</v>
      </c>
      <c r="H99" s="9">
        <f>17379+3089+156.1+109.9+376.4+179.9</f>
        <v>21290.300000000003</v>
      </c>
      <c r="I99" s="9">
        <v>17824.599999999999</v>
      </c>
      <c r="J99" s="335"/>
      <c r="K99" s="9">
        <f>17379+445.6</f>
        <v>17824.599999999999</v>
      </c>
      <c r="L99" s="9">
        <v>17379</v>
      </c>
      <c r="M99" s="9"/>
      <c r="N99" s="9">
        <v>17379</v>
      </c>
    </row>
    <row r="100" spans="1:14" x14ac:dyDescent="0.25">
      <c r="A100" s="8"/>
      <c r="B100" s="8"/>
      <c r="C100" s="7"/>
      <c r="D100" s="7" t="s">
        <v>22</v>
      </c>
      <c r="E100" s="6" t="s">
        <v>21</v>
      </c>
      <c r="F100" s="9">
        <v>428.3</v>
      </c>
      <c r="G100" s="9"/>
      <c r="H100" s="9">
        <v>428.3</v>
      </c>
      <c r="I100" s="9">
        <v>428.3</v>
      </c>
      <c r="J100" s="335"/>
      <c r="K100" s="9">
        <v>428.3</v>
      </c>
      <c r="L100" s="9">
        <v>428.3</v>
      </c>
      <c r="M100" s="9"/>
      <c r="N100" s="9">
        <v>428.3</v>
      </c>
    </row>
    <row r="101" spans="1:14" x14ac:dyDescent="0.25">
      <c r="A101" s="8"/>
      <c r="B101" s="8"/>
      <c r="C101" s="52" t="s">
        <v>526</v>
      </c>
      <c r="D101" s="52"/>
      <c r="E101" s="10" t="s">
        <v>525</v>
      </c>
      <c r="F101" s="9">
        <f>F102</f>
        <v>1109.4000000000001</v>
      </c>
      <c r="G101" s="9">
        <f>G102</f>
        <v>0</v>
      </c>
      <c r="H101" s="9">
        <f>H102</f>
        <v>1109.4000000000001</v>
      </c>
      <c r="I101" s="9">
        <v>0</v>
      </c>
      <c r="J101" s="335"/>
      <c r="K101" s="9">
        <v>0</v>
      </c>
      <c r="L101" s="9">
        <v>0</v>
      </c>
      <c r="M101" s="9"/>
      <c r="N101" s="9">
        <v>0</v>
      </c>
    </row>
    <row r="102" spans="1:14" x14ac:dyDescent="0.25">
      <c r="A102" s="8"/>
      <c r="B102" s="8"/>
      <c r="C102" s="52"/>
      <c r="D102" s="52" t="s">
        <v>12</v>
      </c>
      <c r="E102" s="10" t="s">
        <v>11</v>
      </c>
      <c r="F102" s="9">
        <v>1109.4000000000001</v>
      </c>
      <c r="G102" s="9"/>
      <c r="H102" s="9">
        <f>926.6+118.4+64.4</f>
        <v>1109.4000000000001</v>
      </c>
      <c r="I102" s="9">
        <f>1193.9-1193.9</f>
        <v>0</v>
      </c>
      <c r="J102" s="335"/>
      <c r="K102" s="9">
        <f>1193.9-1193.9</f>
        <v>0</v>
      </c>
      <c r="L102" s="9">
        <f>1243.6-1243.6</f>
        <v>0</v>
      </c>
      <c r="M102" s="9"/>
      <c r="N102" s="9">
        <f>1243.6-1243.6</f>
        <v>0</v>
      </c>
    </row>
    <row r="103" spans="1:14" ht="26.25" x14ac:dyDescent="0.25">
      <c r="A103" s="278"/>
      <c r="B103" s="278"/>
      <c r="C103" s="274" t="s">
        <v>824</v>
      </c>
      <c r="D103" s="274"/>
      <c r="E103" s="275" t="s">
        <v>825</v>
      </c>
      <c r="F103" s="279">
        <f>F104</f>
        <v>274.5</v>
      </c>
      <c r="G103" s="279">
        <f>G104</f>
        <v>31.4</v>
      </c>
      <c r="H103" s="279">
        <f>H104</f>
        <v>305.89999999999998</v>
      </c>
      <c r="I103" s="279">
        <f>I104</f>
        <v>0</v>
      </c>
      <c r="J103" s="335"/>
      <c r="K103" s="279">
        <f>K104</f>
        <v>0</v>
      </c>
      <c r="L103" s="279">
        <f>L104</f>
        <v>0</v>
      </c>
      <c r="M103" s="279"/>
      <c r="N103" s="279">
        <f>N104</f>
        <v>0</v>
      </c>
    </row>
    <row r="104" spans="1:14" x14ac:dyDescent="0.25">
      <c r="A104" s="278"/>
      <c r="B104" s="278"/>
      <c r="C104" s="276"/>
      <c r="D104" s="274" t="s">
        <v>22</v>
      </c>
      <c r="E104" s="277" t="s">
        <v>21</v>
      </c>
      <c r="F104" s="279">
        <v>274.5</v>
      </c>
      <c r="G104" s="279">
        <v>31.4</v>
      </c>
      <c r="H104" s="279">
        <f>25+163.1+36.4+50+31.4</f>
        <v>305.89999999999998</v>
      </c>
      <c r="I104" s="279">
        <v>0</v>
      </c>
      <c r="J104" s="335"/>
      <c r="K104" s="279">
        <v>0</v>
      </c>
      <c r="L104" s="279">
        <v>0</v>
      </c>
      <c r="M104" s="279"/>
      <c r="N104" s="279">
        <v>0</v>
      </c>
    </row>
    <row r="105" spans="1:14" ht="26.25" x14ac:dyDescent="0.25">
      <c r="A105" s="8"/>
      <c r="B105" s="8"/>
      <c r="C105" s="7" t="s">
        <v>43</v>
      </c>
      <c r="D105" s="7"/>
      <c r="E105" s="6" t="s">
        <v>42</v>
      </c>
      <c r="F105" s="9">
        <f>F106</f>
        <v>300</v>
      </c>
      <c r="G105" s="9"/>
      <c r="H105" s="9">
        <f>H106</f>
        <v>300</v>
      </c>
      <c r="I105" s="9">
        <f>I106</f>
        <v>300</v>
      </c>
      <c r="J105" s="335"/>
      <c r="K105" s="9">
        <f>K106</f>
        <v>300</v>
      </c>
      <c r="L105" s="9">
        <f>L106</f>
        <v>300</v>
      </c>
      <c r="M105" s="9"/>
      <c r="N105" s="9">
        <f>N106</f>
        <v>300</v>
      </c>
    </row>
    <row r="106" spans="1:14" x14ac:dyDescent="0.25">
      <c r="A106" s="8"/>
      <c r="B106" s="8"/>
      <c r="C106" s="7"/>
      <c r="D106" s="7" t="s">
        <v>12</v>
      </c>
      <c r="E106" s="6" t="s">
        <v>11</v>
      </c>
      <c r="F106" s="9">
        <v>300</v>
      </c>
      <c r="G106" s="9"/>
      <c r="H106" s="9">
        <v>300</v>
      </c>
      <c r="I106" s="9">
        <v>300</v>
      </c>
      <c r="J106" s="335"/>
      <c r="K106" s="9">
        <v>300</v>
      </c>
      <c r="L106" s="9">
        <v>300</v>
      </c>
      <c r="M106" s="9"/>
      <c r="N106" s="9">
        <v>300</v>
      </c>
    </row>
    <row r="107" spans="1:14" x14ac:dyDescent="0.25">
      <c r="A107" s="8"/>
      <c r="B107" s="8"/>
      <c r="C107" s="7" t="s">
        <v>524</v>
      </c>
      <c r="D107" s="7"/>
      <c r="E107" s="6" t="s">
        <v>523</v>
      </c>
      <c r="F107" s="5">
        <f>F108</f>
        <v>310</v>
      </c>
      <c r="G107" s="5"/>
      <c r="H107" s="5">
        <f>H108</f>
        <v>310</v>
      </c>
      <c r="I107" s="5">
        <f>I108</f>
        <v>0</v>
      </c>
      <c r="J107" s="337"/>
      <c r="K107" s="5">
        <f>K108</f>
        <v>0</v>
      </c>
      <c r="L107" s="5">
        <f>L108</f>
        <v>0</v>
      </c>
      <c r="M107" s="5"/>
      <c r="N107" s="5">
        <f>N108</f>
        <v>0</v>
      </c>
    </row>
    <row r="108" spans="1:14" x14ac:dyDescent="0.25">
      <c r="A108" s="8"/>
      <c r="B108" s="8"/>
      <c r="C108" s="7"/>
      <c r="D108" s="7" t="s">
        <v>22</v>
      </c>
      <c r="E108" s="6" t="s">
        <v>21</v>
      </c>
      <c r="F108" s="5">
        <v>310</v>
      </c>
      <c r="G108" s="5"/>
      <c r="H108" s="5">
        <v>310</v>
      </c>
      <c r="I108" s="5">
        <v>0</v>
      </c>
      <c r="J108" s="337"/>
      <c r="K108" s="5">
        <v>0</v>
      </c>
      <c r="L108" s="5">
        <v>0</v>
      </c>
      <c r="M108" s="5"/>
      <c r="N108" s="5">
        <v>0</v>
      </c>
    </row>
    <row r="109" spans="1:14" ht="26.25" x14ac:dyDescent="0.25">
      <c r="A109" s="8"/>
      <c r="B109" s="8"/>
      <c r="C109" s="7" t="s">
        <v>620</v>
      </c>
      <c r="D109" s="7"/>
      <c r="E109" s="107" t="s">
        <v>529</v>
      </c>
      <c r="F109" s="5">
        <f>F110</f>
        <v>300</v>
      </c>
      <c r="G109" s="5"/>
      <c r="H109" s="5">
        <f>H110</f>
        <v>300</v>
      </c>
      <c r="I109" s="5">
        <f>I110</f>
        <v>300</v>
      </c>
      <c r="J109" s="337"/>
      <c r="K109" s="5">
        <f>K110</f>
        <v>300</v>
      </c>
      <c r="L109" s="5">
        <f>L110</f>
        <v>300</v>
      </c>
      <c r="M109" s="5"/>
      <c r="N109" s="5">
        <f>N110</f>
        <v>300</v>
      </c>
    </row>
    <row r="110" spans="1:14" ht="26.25" x14ac:dyDescent="0.25">
      <c r="A110" s="8"/>
      <c r="B110" s="8"/>
      <c r="C110" s="7"/>
      <c r="D110" s="7" t="s">
        <v>57</v>
      </c>
      <c r="E110" s="6" t="s">
        <v>56</v>
      </c>
      <c r="F110" s="5">
        <v>300</v>
      </c>
      <c r="G110" s="5"/>
      <c r="H110" s="5">
        <v>300</v>
      </c>
      <c r="I110" s="5">
        <v>300</v>
      </c>
      <c r="J110" s="337"/>
      <c r="K110" s="5">
        <v>300</v>
      </c>
      <c r="L110" s="5">
        <v>300</v>
      </c>
      <c r="M110" s="5"/>
      <c r="N110" s="5">
        <v>300</v>
      </c>
    </row>
    <row r="111" spans="1:14" ht="25.5" x14ac:dyDescent="0.25">
      <c r="A111" s="8"/>
      <c r="B111" s="8"/>
      <c r="C111" s="69" t="s">
        <v>796</v>
      </c>
      <c r="D111" s="52"/>
      <c r="E111" s="92" t="s">
        <v>797</v>
      </c>
      <c r="F111" s="5">
        <f>F112</f>
        <v>112.1</v>
      </c>
      <c r="G111" s="5"/>
      <c r="H111" s="5">
        <f>H112</f>
        <v>112.1</v>
      </c>
      <c r="I111" s="5">
        <v>0</v>
      </c>
      <c r="J111" s="337"/>
      <c r="K111" s="5">
        <v>0</v>
      </c>
      <c r="L111" s="5">
        <v>0</v>
      </c>
      <c r="M111" s="5"/>
      <c r="N111" s="5">
        <v>0</v>
      </c>
    </row>
    <row r="112" spans="1:14" ht="25.5" x14ac:dyDescent="0.25">
      <c r="A112" s="8"/>
      <c r="B112" s="8"/>
      <c r="C112" s="22"/>
      <c r="D112" s="7" t="s">
        <v>57</v>
      </c>
      <c r="E112" s="10" t="s">
        <v>56</v>
      </c>
      <c r="F112" s="5">
        <v>112.1</v>
      </c>
      <c r="G112" s="5"/>
      <c r="H112" s="5">
        <v>112.1</v>
      </c>
      <c r="I112" s="5">
        <v>0</v>
      </c>
      <c r="J112" s="337"/>
      <c r="K112" s="5">
        <v>0</v>
      </c>
      <c r="L112" s="5">
        <v>0</v>
      </c>
      <c r="M112" s="5"/>
      <c r="N112" s="5">
        <v>0</v>
      </c>
    </row>
    <row r="113" spans="1:14" x14ac:dyDescent="0.25">
      <c r="A113" s="21"/>
      <c r="B113" s="22" t="s">
        <v>522</v>
      </c>
      <c r="C113" s="21"/>
      <c r="D113" s="22"/>
      <c r="E113" s="20" t="s">
        <v>521</v>
      </c>
      <c r="F113" s="19">
        <f t="shared" ref="F113:N118" si="20">F114</f>
        <v>1805.3</v>
      </c>
      <c r="G113" s="19"/>
      <c r="H113" s="19">
        <f t="shared" si="20"/>
        <v>1805.3</v>
      </c>
      <c r="I113" s="19">
        <f t="shared" si="20"/>
        <v>1979.3</v>
      </c>
      <c r="J113" s="341"/>
      <c r="K113" s="19">
        <f t="shared" si="20"/>
        <v>1979.3</v>
      </c>
      <c r="L113" s="19">
        <f t="shared" si="20"/>
        <v>2051.2999999999997</v>
      </c>
      <c r="M113" s="19"/>
      <c r="N113" s="19">
        <f t="shared" si="20"/>
        <v>2051.2999999999997</v>
      </c>
    </row>
    <row r="114" spans="1:14" x14ac:dyDescent="0.25">
      <c r="A114" s="21"/>
      <c r="B114" s="22" t="s">
        <v>520</v>
      </c>
      <c r="C114" s="21"/>
      <c r="D114" s="22"/>
      <c r="E114" s="20" t="s">
        <v>519</v>
      </c>
      <c r="F114" s="19">
        <f t="shared" si="20"/>
        <v>1805.3</v>
      </c>
      <c r="G114" s="19"/>
      <c r="H114" s="19">
        <f t="shared" si="20"/>
        <v>1805.3</v>
      </c>
      <c r="I114" s="19">
        <f t="shared" si="20"/>
        <v>1979.3</v>
      </c>
      <c r="J114" s="341"/>
      <c r="K114" s="19">
        <f t="shared" si="20"/>
        <v>1979.3</v>
      </c>
      <c r="L114" s="19">
        <f t="shared" si="20"/>
        <v>2051.2999999999997</v>
      </c>
      <c r="M114" s="19"/>
      <c r="N114" s="19">
        <f t="shared" si="20"/>
        <v>2051.2999999999997</v>
      </c>
    </row>
    <row r="115" spans="1:14" x14ac:dyDescent="0.25">
      <c r="A115" s="21"/>
      <c r="B115" s="22"/>
      <c r="C115" s="110" t="s">
        <v>36</v>
      </c>
      <c r="D115" s="110"/>
      <c r="E115" s="109" t="s">
        <v>35</v>
      </c>
      <c r="F115" s="19">
        <f t="shared" si="20"/>
        <v>1805.3</v>
      </c>
      <c r="G115" s="19"/>
      <c r="H115" s="19">
        <f t="shared" si="20"/>
        <v>1805.3</v>
      </c>
      <c r="I115" s="19">
        <f t="shared" si="20"/>
        <v>1979.3</v>
      </c>
      <c r="J115" s="341"/>
      <c r="K115" s="19">
        <f t="shared" si="20"/>
        <v>1979.3</v>
      </c>
      <c r="L115" s="19">
        <f t="shared" si="20"/>
        <v>2051.2999999999997</v>
      </c>
      <c r="M115" s="19"/>
      <c r="N115" s="19">
        <f t="shared" si="20"/>
        <v>2051.2999999999997</v>
      </c>
    </row>
    <row r="116" spans="1:14" ht="25.5" x14ac:dyDescent="0.25">
      <c r="A116" s="34"/>
      <c r="B116" s="33"/>
      <c r="C116" s="34" t="s">
        <v>34</v>
      </c>
      <c r="D116" s="33"/>
      <c r="E116" s="32" t="s">
        <v>103</v>
      </c>
      <c r="F116" s="31">
        <f t="shared" si="20"/>
        <v>1805.3</v>
      </c>
      <c r="G116" s="31"/>
      <c r="H116" s="31">
        <f t="shared" si="20"/>
        <v>1805.3</v>
      </c>
      <c r="I116" s="31">
        <f t="shared" si="20"/>
        <v>1979.3</v>
      </c>
      <c r="J116" s="332"/>
      <c r="K116" s="31">
        <f t="shared" si="20"/>
        <v>1979.3</v>
      </c>
      <c r="L116" s="31">
        <f t="shared" si="20"/>
        <v>2051.2999999999997</v>
      </c>
      <c r="M116" s="31"/>
      <c r="N116" s="31">
        <f t="shared" si="20"/>
        <v>2051.2999999999997</v>
      </c>
    </row>
    <row r="117" spans="1:14" ht="38.25" x14ac:dyDescent="0.25">
      <c r="A117" s="64"/>
      <c r="B117" s="63"/>
      <c r="C117" s="64" t="s">
        <v>518</v>
      </c>
      <c r="D117" s="63"/>
      <c r="E117" s="62" t="s">
        <v>517</v>
      </c>
      <c r="F117" s="61">
        <f t="shared" si="20"/>
        <v>1805.3</v>
      </c>
      <c r="G117" s="61"/>
      <c r="H117" s="61">
        <f t="shared" si="20"/>
        <v>1805.3</v>
      </c>
      <c r="I117" s="61">
        <f t="shared" si="20"/>
        <v>1979.3</v>
      </c>
      <c r="J117" s="342"/>
      <c r="K117" s="61">
        <f t="shared" si="20"/>
        <v>1979.3</v>
      </c>
      <c r="L117" s="61">
        <f t="shared" si="20"/>
        <v>2051.2999999999997</v>
      </c>
      <c r="M117" s="61"/>
      <c r="N117" s="61">
        <f t="shared" si="20"/>
        <v>2051.2999999999997</v>
      </c>
    </row>
    <row r="118" spans="1:14" ht="25.5" x14ac:dyDescent="0.25">
      <c r="A118" s="218"/>
      <c r="B118" s="213"/>
      <c r="C118" s="218" t="s">
        <v>516</v>
      </c>
      <c r="D118" s="213"/>
      <c r="E118" s="224" t="s">
        <v>515</v>
      </c>
      <c r="F118" s="215">
        <f t="shared" si="20"/>
        <v>1805.3</v>
      </c>
      <c r="G118" s="215"/>
      <c r="H118" s="215">
        <f t="shared" si="20"/>
        <v>1805.3</v>
      </c>
      <c r="I118" s="215">
        <f t="shared" si="20"/>
        <v>1979.3</v>
      </c>
      <c r="J118" s="343"/>
      <c r="K118" s="215">
        <f t="shared" si="20"/>
        <v>1979.3</v>
      </c>
      <c r="L118" s="215">
        <f t="shared" si="20"/>
        <v>2051.2999999999997</v>
      </c>
      <c r="M118" s="215"/>
      <c r="N118" s="215">
        <f t="shared" si="20"/>
        <v>2051.2999999999997</v>
      </c>
    </row>
    <row r="119" spans="1:14" ht="26.25" x14ac:dyDescent="0.25">
      <c r="A119" s="7"/>
      <c r="B119" s="7"/>
      <c r="C119" s="7" t="s">
        <v>514</v>
      </c>
      <c r="D119" s="7"/>
      <c r="E119" s="6" t="s">
        <v>878</v>
      </c>
      <c r="F119" s="73">
        <f>SUM(F120+F121)</f>
        <v>1805.3</v>
      </c>
      <c r="G119" s="73"/>
      <c r="H119" s="73">
        <f>SUM(H120+H121)</f>
        <v>1805.3</v>
      </c>
      <c r="I119" s="73">
        <f>SUM(I120+I121)</f>
        <v>1979.3</v>
      </c>
      <c r="J119" s="338"/>
      <c r="K119" s="73">
        <f>SUM(K120+K121)</f>
        <v>1979.3</v>
      </c>
      <c r="L119" s="73">
        <f>SUM(L120+L121)</f>
        <v>2051.2999999999997</v>
      </c>
      <c r="M119" s="73"/>
      <c r="N119" s="73">
        <f>SUM(N120+N121)</f>
        <v>2051.2999999999997</v>
      </c>
    </row>
    <row r="120" spans="1:14" ht="39" x14ac:dyDescent="0.25">
      <c r="A120" s="7"/>
      <c r="B120" s="7"/>
      <c r="C120" s="7"/>
      <c r="D120" s="7" t="s">
        <v>2</v>
      </c>
      <c r="E120" s="6" t="s">
        <v>1</v>
      </c>
      <c r="F120" s="73">
        <v>1719.8</v>
      </c>
      <c r="G120" s="73"/>
      <c r="H120" s="73">
        <v>1719.8</v>
      </c>
      <c r="I120" s="73">
        <v>1786.1</v>
      </c>
      <c r="J120" s="338"/>
      <c r="K120" s="73">
        <v>1786.1</v>
      </c>
      <c r="L120" s="73">
        <v>1786.1</v>
      </c>
      <c r="M120" s="73"/>
      <c r="N120" s="73">
        <v>1786.1</v>
      </c>
    </row>
    <row r="121" spans="1:14" x14ac:dyDescent="0.25">
      <c r="A121" s="7"/>
      <c r="B121" s="7"/>
      <c r="C121" s="7"/>
      <c r="D121" s="7" t="s">
        <v>12</v>
      </c>
      <c r="E121" s="6" t="s">
        <v>11</v>
      </c>
      <c r="F121" s="261">
        <f>131.1-45.6</f>
        <v>85.5</v>
      </c>
      <c r="G121" s="261"/>
      <c r="H121" s="261">
        <f>131.1-45.6</f>
        <v>85.5</v>
      </c>
      <c r="I121" s="261">
        <f>234-40.8</f>
        <v>193.2</v>
      </c>
      <c r="J121" s="344"/>
      <c r="K121" s="261">
        <f>234-40.8</f>
        <v>193.2</v>
      </c>
      <c r="L121" s="261">
        <f>234+31.2</f>
        <v>265.2</v>
      </c>
      <c r="M121" s="261"/>
      <c r="N121" s="261">
        <f>234+31.2</f>
        <v>265.2</v>
      </c>
    </row>
    <row r="122" spans="1:14" x14ac:dyDescent="0.25">
      <c r="A122" s="21"/>
      <c r="B122" s="22" t="s">
        <v>513</v>
      </c>
      <c r="C122" s="21"/>
      <c r="D122" s="21"/>
      <c r="E122" s="20" t="s">
        <v>512</v>
      </c>
      <c r="F122" s="19">
        <f t="shared" ref="F122:L122" si="21">F123+F136+F147</f>
        <v>27223</v>
      </c>
      <c r="G122" s="19">
        <f>G123+G136+G147</f>
        <v>844.8</v>
      </c>
      <c r="H122" s="19">
        <f t="shared" si="21"/>
        <v>28067.8</v>
      </c>
      <c r="I122" s="19">
        <f t="shared" si="21"/>
        <v>27660</v>
      </c>
      <c r="J122" s="19"/>
      <c r="K122" s="19">
        <f t="shared" si="21"/>
        <v>27660.000000000004</v>
      </c>
      <c r="L122" s="19">
        <f t="shared" si="21"/>
        <v>35143.5</v>
      </c>
      <c r="M122" s="19"/>
      <c r="N122" s="19">
        <f>N123+N136+N147</f>
        <v>35143.5</v>
      </c>
    </row>
    <row r="123" spans="1:14" ht="25.5" x14ac:dyDescent="0.25">
      <c r="A123" s="21"/>
      <c r="B123" s="22" t="s">
        <v>511</v>
      </c>
      <c r="C123" s="21"/>
      <c r="D123" s="22"/>
      <c r="E123" s="27" t="s">
        <v>510</v>
      </c>
      <c r="F123" s="19">
        <f t="shared" ref="F123:N125" si="22">F124</f>
        <v>21524.3</v>
      </c>
      <c r="G123" s="19">
        <f t="shared" si="22"/>
        <v>1473.0922</v>
      </c>
      <c r="H123" s="19">
        <f t="shared" si="22"/>
        <v>22997.392199999998</v>
      </c>
      <c r="I123" s="19">
        <f t="shared" si="22"/>
        <v>22791.8</v>
      </c>
      <c r="J123" s="19"/>
      <c r="K123" s="19">
        <f t="shared" si="22"/>
        <v>22791.800000000003</v>
      </c>
      <c r="L123" s="19">
        <f t="shared" si="22"/>
        <v>22791.8</v>
      </c>
      <c r="M123" s="19"/>
      <c r="N123" s="19">
        <f t="shared" si="22"/>
        <v>22791.800000000003</v>
      </c>
    </row>
    <row r="124" spans="1:14" x14ac:dyDescent="0.25">
      <c r="A124" s="21"/>
      <c r="B124" s="22"/>
      <c r="C124" s="21" t="s">
        <v>36</v>
      </c>
      <c r="D124" s="21"/>
      <c r="E124" s="27" t="s">
        <v>35</v>
      </c>
      <c r="F124" s="19">
        <f t="shared" si="22"/>
        <v>21524.3</v>
      </c>
      <c r="G124" s="19">
        <f t="shared" si="22"/>
        <v>1473.0922</v>
      </c>
      <c r="H124" s="19">
        <f t="shared" si="22"/>
        <v>22997.392199999998</v>
      </c>
      <c r="I124" s="19">
        <f t="shared" si="22"/>
        <v>22791.8</v>
      </c>
      <c r="J124" s="19"/>
      <c r="K124" s="19">
        <f t="shared" si="22"/>
        <v>22791.800000000003</v>
      </c>
      <c r="L124" s="19">
        <f t="shared" si="22"/>
        <v>22791.8</v>
      </c>
      <c r="M124" s="19"/>
      <c r="N124" s="19">
        <f t="shared" si="22"/>
        <v>22791.800000000003</v>
      </c>
    </row>
    <row r="125" spans="1:14" ht="38.25" x14ac:dyDescent="0.25">
      <c r="A125" s="34"/>
      <c r="B125" s="33"/>
      <c r="C125" s="34" t="s">
        <v>473</v>
      </c>
      <c r="D125" s="33"/>
      <c r="E125" s="32" t="s">
        <v>509</v>
      </c>
      <c r="F125" s="31">
        <f t="shared" si="22"/>
        <v>21524.3</v>
      </c>
      <c r="G125" s="31">
        <f t="shared" si="22"/>
        <v>1473.0922</v>
      </c>
      <c r="H125" s="31">
        <f t="shared" si="22"/>
        <v>22997.392199999998</v>
      </c>
      <c r="I125" s="31">
        <f t="shared" si="22"/>
        <v>22791.8</v>
      </c>
      <c r="J125" s="31"/>
      <c r="K125" s="31">
        <f t="shared" si="22"/>
        <v>22791.800000000003</v>
      </c>
      <c r="L125" s="31">
        <f t="shared" si="22"/>
        <v>22791.8</v>
      </c>
      <c r="M125" s="31"/>
      <c r="N125" s="31">
        <f t="shared" si="22"/>
        <v>22791.800000000003</v>
      </c>
    </row>
    <row r="126" spans="1:14" ht="26.25" x14ac:dyDescent="0.25">
      <c r="A126" s="208"/>
      <c r="B126" s="208"/>
      <c r="C126" s="208" t="s">
        <v>508</v>
      </c>
      <c r="D126" s="208"/>
      <c r="E126" s="220" t="s">
        <v>507</v>
      </c>
      <c r="F126" s="210">
        <f t="shared" ref="F126:L126" si="23">F127+F129+F133+F131</f>
        <v>21524.3</v>
      </c>
      <c r="G126" s="210">
        <f>G127+G129+G133+G131</f>
        <v>1473.0922</v>
      </c>
      <c r="H126" s="210">
        <f t="shared" si="23"/>
        <v>22997.392199999998</v>
      </c>
      <c r="I126" s="210">
        <f t="shared" si="23"/>
        <v>22791.8</v>
      </c>
      <c r="J126" s="210"/>
      <c r="K126" s="210">
        <f t="shared" si="23"/>
        <v>22791.800000000003</v>
      </c>
      <c r="L126" s="210">
        <f t="shared" si="23"/>
        <v>22791.8</v>
      </c>
      <c r="M126" s="210"/>
      <c r="N126" s="210">
        <f>N127+N129+N133+N131</f>
        <v>22791.800000000003</v>
      </c>
    </row>
    <row r="127" spans="1:14" x14ac:dyDescent="0.25">
      <c r="A127" s="7"/>
      <c r="B127" s="7"/>
      <c r="C127" s="7" t="s">
        <v>506</v>
      </c>
      <c r="D127" s="7"/>
      <c r="E127" s="10" t="s">
        <v>505</v>
      </c>
      <c r="F127" s="9">
        <f>SUM(F128)</f>
        <v>36.799999999999997</v>
      </c>
      <c r="G127" s="9"/>
      <c r="H127" s="9">
        <f>SUM(H128)</f>
        <v>36.799999999999997</v>
      </c>
      <c r="I127" s="9">
        <f>SUM(I128)</f>
        <v>36.799999999999997</v>
      </c>
      <c r="J127" s="335"/>
      <c r="K127" s="9">
        <f>SUM(K128)</f>
        <v>36.799999999999997</v>
      </c>
      <c r="L127" s="9">
        <f>SUM(L128)</f>
        <v>36.799999999999997</v>
      </c>
      <c r="M127" s="9"/>
      <c r="N127" s="9">
        <f>SUM(N128)</f>
        <v>36.799999999999997</v>
      </c>
    </row>
    <row r="128" spans="1:14" x14ac:dyDescent="0.25">
      <c r="A128" s="7"/>
      <c r="B128" s="7"/>
      <c r="C128" s="7"/>
      <c r="D128" s="7" t="s">
        <v>12</v>
      </c>
      <c r="E128" s="6" t="s">
        <v>11</v>
      </c>
      <c r="F128" s="9">
        <v>36.799999999999997</v>
      </c>
      <c r="G128" s="9"/>
      <c r="H128" s="9">
        <v>36.799999999999997</v>
      </c>
      <c r="I128" s="9">
        <v>36.799999999999997</v>
      </c>
      <c r="J128" s="335"/>
      <c r="K128" s="9">
        <v>36.799999999999997</v>
      </c>
      <c r="L128" s="9">
        <v>36.799999999999997</v>
      </c>
      <c r="M128" s="9"/>
      <c r="N128" s="9">
        <v>36.799999999999997</v>
      </c>
    </row>
    <row r="129" spans="1:14" ht="39" x14ac:dyDescent="0.25">
      <c r="A129" s="7"/>
      <c r="B129" s="7"/>
      <c r="C129" s="7" t="s">
        <v>504</v>
      </c>
      <c r="D129" s="7"/>
      <c r="E129" s="6" t="s">
        <v>591</v>
      </c>
      <c r="F129" s="9">
        <f>F130</f>
        <v>154.30000000000001</v>
      </c>
      <c r="G129" s="9">
        <f>G130</f>
        <v>-6.2077999999999998</v>
      </c>
      <c r="H129" s="9">
        <f>H130</f>
        <v>148.09220000000002</v>
      </c>
      <c r="I129" s="9">
        <f>I130</f>
        <v>115.5</v>
      </c>
      <c r="J129" s="335"/>
      <c r="K129" s="9">
        <f>K130</f>
        <v>115.5</v>
      </c>
      <c r="L129" s="9">
        <f>L130</f>
        <v>115.5</v>
      </c>
      <c r="M129" s="9"/>
      <c r="N129" s="9">
        <f>N130</f>
        <v>115.5</v>
      </c>
    </row>
    <row r="130" spans="1:14" x14ac:dyDescent="0.25">
      <c r="A130" s="7"/>
      <c r="B130" s="7"/>
      <c r="C130" s="7"/>
      <c r="D130" s="7" t="s">
        <v>12</v>
      </c>
      <c r="E130" s="6" t="s">
        <v>11</v>
      </c>
      <c r="F130" s="9">
        <v>154.30000000000001</v>
      </c>
      <c r="G130" s="261">
        <v>-6.2077999999999998</v>
      </c>
      <c r="H130" s="9">
        <f>SUM(F130:G130)</f>
        <v>148.09220000000002</v>
      </c>
      <c r="I130" s="9">
        <v>115.5</v>
      </c>
      <c r="J130" s="335"/>
      <c r="K130" s="9">
        <v>115.5</v>
      </c>
      <c r="L130" s="9">
        <v>115.5</v>
      </c>
      <c r="M130" s="9"/>
      <c r="N130" s="9">
        <v>115.5</v>
      </c>
    </row>
    <row r="131" spans="1:14" ht="26.25" x14ac:dyDescent="0.25">
      <c r="A131" s="7"/>
      <c r="B131" s="7"/>
      <c r="C131" s="7" t="s">
        <v>592</v>
      </c>
      <c r="D131" s="7"/>
      <c r="E131" s="6" t="s">
        <v>593</v>
      </c>
      <c r="F131" s="9">
        <f>F132</f>
        <v>618.9</v>
      </c>
      <c r="G131" s="9"/>
      <c r="H131" s="9">
        <f>H132</f>
        <v>618.9</v>
      </c>
      <c r="I131" s="9">
        <f>I132</f>
        <v>618.9</v>
      </c>
      <c r="J131" s="335"/>
      <c r="K131" s="9">
        <f>K132</f>
        <v>618.9</v>
      </c>
      <c r="L131" s="9">
        <f>L132</f>
        <v>618.9</v>
      </c>
      <c r="M131" s="9"/>
      <c r="N131" s="9">
        <f>N132</f>
        <v>618.9</v>
      </c>
    </row>
    <row r="132" spans="1:14" x14ac:dyDescent="0.25">
      <c r="A132" s="7"/>
      <c r="B132" s="7"/>
      <c r="C132" s="7"/>
      <c r="D132" s="7" t="s">
        <v>12</v>
      </c>
      <c r="E132" s="6" t="s">
        <v>11</v>
      </c>
      <c r="F132" s="9">
        <v>618.9</v>
      </c>
      <c r="G132" s="9"/>
      <c r="H132" s="9">
        <v>618.9</v>
      </c>
      <c r="I132" s="9">
        <v>618.9</v>
      </c>
      <c r="J132" s="335"/>
      <c r="K132" s="9">
        <v>618.9</v>
      </c>
      <c r="L132" s="9">
        <v>618.9</v>
      </c>
      <c r="M132" s="9"/>
      <c r="N132" s="9">
        <v>618.9</v>
      </c>
    </row>
    <row r="133" spans="1:14" x14ac:dyDescent="0.25">
      <c r="A133" s="486"/>
      <c r="B133" s="486"/>
      <c r="C133" s="486" t="s">
        <v>503</v>
      </c>
      <c r="D133" s="486"/>
      <c r="E133" s="487" t="s">
        <v>502</v>
      </c>
      <c r="F133" s="488">
        <f t="shared" ref="F133:L133" si="24">F134+F135</f>
        <v>20714.3</v>
      </c>
      <c r="G133" s="488">
        <f t="shared" si="24"/>
        <v>1479.3</v>
      </c>
      <c r="H133" s="488">
        <f t="shared" si="24"/>
        <v>22193.599999999999</v>
      </c>
      <c r="I133" s="488">
        <f t="shared" si="24"/>
        <v>22020.6</v>
      </c>
      <c r="J133" s="488"/>
      <c r="K133" s="488">
        <f t="shared" si="24"/>
        <v>22020.600000000002</v>
      </c>
      <c r="L133" s="488">
        <f t="shared" si="24"/>
        <v>22020.6</v>
      </c>
      <c r="M133" s="488"/>
      <c r="N133" s="488">
        <f>N134+N135</f>
        <v>22020.600000000002</v>
      </c>
    </row>
    <row r="134" spans="1:14" ht="39" x14ac:dyDescent="0.25">
      <c r="A134" s="486"/>
      <c r="B134" s="486"/>
      <c r="C134" s="486"/>
      <c r="D134" s="486" t="s">
        <v>2</v>
      </c>
      <c r="E134" s="489" t="s">
        <v>1</v>
      </c>
      <c r="F134" s="490">
        <v>19112.3</v>
      </c>
      <c r="G134" s="490">
        <v>891.3</v>
      </c>
      <c r="H134" s="491">
        <f>SUM(F134:G134)</f>
        <v>20003.599999999999</v>
      </c>
      <c r="I134" s="490">
        <v>20418.599999999999</v>
      </c>
      <c r="J134" s="492"/>
      <c r="K134" s="490">
        <f>18776.3+263.9+1378.4</f>
        <v>20418.600000000002</v>
      </c>
      <c r="L134" s="490">
        <v>20418.599999999999</v>
      </c>
      <c r="M134" s="490"/>
      <c r="N134" s="490">
        <f>18776.3+263.9+1378.4</f>
        <v>20418.600000000002</v>
      </c>
    </row>
    <row r="135" spans="1:14" x14ac:dyDescent="0.25">
      <c r="A135" s="486"/>
      <c r="B135" s="486"/>
      <c r="C135" s="486"/>
      <c r="D135" s="486" t="s">
        <v>12</v>
      </c>
      <c r="E135" s="489" t="s">
        <v>11</v>
      </c>
      <c r="F135" s="491">
        <v>1602</v>
      </c>
      <c r="G135" s="490">
        <v>588</v>
      </c>
      <c r="H135" s="491">
        <f>SUM(F135:G135)</f>
        <v>2190</v>
      </c>
      <c r="I135" s="491">
        <v>1602</v>
      </c>
      <c r="J135" s="493"/>
      <c r="K135" s="491">
        <v>1602</v>
      </c>
      <c r="L135" s="491">
        <v>1602</v>
      </c>
      <c r="M135" s="491"/>
      <c r="N135" s="491">
        <v>1602</v>
      </c>
    </row>
    <row r="136" spans="1:14" x14ac:dyDescent="0.25">
      <c r="A136" s="7"/>
      <c r="B136" s="22" t="s">
        <v>501</v>
      </c>
      <c r="C136" s="21"/>
      <c r="D136" s="22"/>
      <c r="E136" s="20" t="s">
        <v>500</v>
      </c>
      <c r="F136" s="26">
        <f t="shared" ref="F136:N138" si="25">F137</f>
        <v>4616.2</v>
      </c>
      <c r="G136" s="26">
        <f t="shared" si="25"/>
        <v>-574.34220000000005</v>
      </c>
      <c r="H136" s="26">
        <f t="shared" si="25"/>
        <v>4041.8577999999998</v>
      </c>
      <c r="I136" s="26">
        <f t="shared" si="25"/>
        <v>3997</v>
      </c>
      <c r="J136" s="336"/>
      <c r="K136" s="26">
        <f t="shared" si="25"/>
        <v>3997</v>
      </c>
      <c r="L136" s="26">
        <f t="shared" si="25"/>
        <v>11722.5</v>
      </c>
      <c r="M136" s="26"/>
      <c r="N136" s="26">
        <f t="shared" si="25"/>
        <v>11722.5</v>
      </c>
    </row>
    <row r="137" spans="1:14" x14ac:dyDescent="0.25">
      <c r="A137" s="7"/>
      <c r="B137" s="52"/>
      <c r="C137" s="21" t="s">
        <v>36</v>
      </c>
      <c r="D137" s="21"/>
      <c r="E137" s="27" t="s">
        <v>178</v>
      </c>
      <c r="F137" s="26">
        <f t="shared" si="25"/>
        <v>4616.2</v>
      </c>
      <c r="G137" s="26">
        <f t="shared" si="25"/>
        <v>-574.34220000000005</v>
      </c>
      <c r="H137" s="26">
        <f t="shared" si="25"/>
        <v>4041.8577999999998</v>
      </c>
      <c r="I137" s="26">
        <f t="shared" si="25"/>
        <v>3997</v>
      </c>
      <c r="J137" s="336"/>
      <c r="K137" s="26">
        <f t="shared" si="25"/>
        <v>3997</v>
      </c>
      <c r="L137" s="26">
        <f t="shared" si="25"/>
        <v>11722.5</v>
      </c>
      <c r="M137" s="26"/>
      <c r="N137" s="26">
        <f t="shared" si="25"/>
        <v>11722.5</v>
      </c>
    </row>
    <row r="138" spans="1:14" ht="38.25" x14ac:dyDescent="0.25">
      <c r="A138" s="33"/>
      <c r="B138" s="33"/>
      <c r="C138" s="34" t="s">
        <v>473</v>
      </c>
      <c r="D138" s="33"/>
      <c r="E138" s="32" t="s">
        <v>472</v>
      </c>
      <c r="F138" s="31">
        <f t="shared" si="25"/>
        <v>4616.2</v>
      </c>
      <c r="G138" s="31">
        <f t="shared" si="25"/>
        <v>-574.34220000000005</v>
      </c>
      <c r="H138" s="31">
        <f t="shared" si="25"/>
        <v>4041.8577999999998</v>
      </c>
      <c r="I138" s="31">
        <f t="shared" si="25"/>
        <v>3997</v>
      </c>
      <c r="J138" s="332"/>
      <c r="K138" s="31">
        <f t="shared" si="25"/>
        <v>3997</v>
      </c>
      <c r="L138" s="31">
        <f t="shared" si="25"/>
        <v>11722.5</v>
      </c>
      <c r="M138" s="31"/>
      <c r="N138" s="31">
        <f t="shared" si="25"/>
        <v>11722.5</v>
      </c>
    </row>
    <row r="139" spans="1:14" ht="26.25" x14ac:dyDescent="0.25">
      <c r="A139" s="208"/>
      <c r="B139" s="208"/>
      <c r="C139" s="208" t="s">
        <v>499</v>
      </c>
      <c r="D139" s="208"/>
      <c r="E139" s="220" t="s">
        <v>498</v>
      </c>
      <c r="F139" s="210">
        <f>F140+F142+F145</f>
        <v>4616.2</v>
      </c>
      <c r="G139" s="210">
        <f>G140+G142+G145</f>
        <v>-574.34220000000005</v>
      </c>
      <c r="H139" s="210">
        <f>H140+H142+H145</f>
        <v>4041.8577999999998</v>
      </c>
      <c r="I139" s="210">
        <f>I140+I142+I145</f>
        <v>3997</v>
      </c>
      <c r="J139" s="334"/>
      <c r="K139" s="210">
        <f>K140+K142+K145</f>
        <v>3997</v>
      </c>
      <c r="L139" s="210">
        <f>L140+L142+L145</f>
        <v>11722.5</v>
      </c>
      <c r="M139" s="210"/>
      <c r="N139" s="210">
        <f>N140+N142+N145</f>
        <v>11722.5</v>
      </c>
    </row>
    <row r="140" spans="1:14" x14ac:dyDescent="0.25">
      <c r="A140" s="7"/>
      <c r="B140" s="7"/>
      <c r="C140" s="7" t="s">
        <v>497</v>
      </c>
      <c r="D140" s="7"/>
      <c r="E140" s="94" t="s">
        <v>496</v>
      </c>
      <c r="F140" s="9">
        <f>F141</f>
        <v>115.9</v>
      </c>
      <c r="G140" s="9">
        <f>G141</f>
        <v>-0.65627999999999997</v>
      </c>
      <c r="H140" s="9">
        <f>H141</f>
        <v>115.24372000000001</v>
      </c>
      <c r="I140" s="9">
        <f>I141</f>
        <v>115.9</v>
      </c>
      <c r="J140" s="335"/>
      <c r="K140" s="9">
        <f>K141</f>
        <v>115.9</v>
      </c>
      <c r="L140" s="9">
        <f>L141</f>
        <v>9053.2999999999993</v>
      </c>
      <c r="M140" s="9"/>
      <c r="N140" s="9">
        <f>N141</f>
        <v>9053.2999999999993</v>
      </c>
    </row>
    <row r="141" spans="1:14" x14ac:dyDescent="0.25">
      <c r="A141" s="7"/>
      <c r="B141" s="7"/>
      <c r="C141" s="7"/>
      <c r="D141" s="7" t="s">
        <v>12</v>
      </c>
      <c r="E141" s="6" t="s">
        <v>11</v>
      </c>
      <c r="F141" s="9">
        <v>115.9</v>
      </c>
      <c r="G141" s="261">
        <v>-0.65627999999999997</v>
      </c>
      <c r="H141" s="9">
        <f>SUM(F141:G141)</f>
        <v>115.24372000000001</v>
      </c>
      <c r="I141" s="9">
        <v>115.9</v>
      </c>
      <c r="J141" s="335"/>
      <c r="K141" s="9">
        <v>115.9</v>
      </c>
      <c r="L141" s="9">
        <v>9053.2999999999993</v>
      </c>
      <c r="M141" s="9"/>
      <c r="N141" s="9">
        <v>9053.2999999999993</v>
      </c>
    </row>
    <row r="142" spans="1:14" x14ac:dyDescent="0.25">
      <c r="A142" s="7"/>
      <c r="B142" s="7"/>
      <c r="C142" s="7" t="s">
        <v>495</v>
      </c>
      <c r="D142" s="7"/>
      <c r="E142" s="12" t="s">
        <v>494</v>
      </c>
      <c r="F142" s="9">
        <f>F143+F144</f>
        <v>4001.6</v>
      </c>
      <c r="G142" s="9">
        <f>G143</f>
        <v>-573.68592000000001</v>
      </c>
      <c r="H142" s="9">
        <f>H143+H144</f>
        <v>3427.91408</v>
      </c>
      <c r="I142" s="9">
        <f>I143+I144</f>
        <v>3395.6</v>
      </c>
      <c r="J142" s="335"/>
      <c r="K142" s="9">
        <f>K143+K144</f>
        <v>3395.6</v>
      </c>
      <c r="L142" s="9">
        <f>L143+L144</f>
        <v>2183.6999999999998</v>
      </c>
      <c r="M142" s="9"/>
      <c r="N142" s="9">
        <f>N143+N144</f>
        <v>2183.6999999999998</v>
      </c>
    </row>
    <row r="143" spans="1:14" x14ac:dyDescent="0.25">
      <c r="A143" s="7"/>
      <c r="B143" s="7"/>
      <c r="C143" s="7"/>
      <c r="D143" s="7" t="s">
        <v>12</v>
      </c>
      <c r="E143" s="6" t="s">
        <v>11</v>
      </c>
      <c r="F143" s="9">
        <f>3894-24.3</f>
        <v>3869.7</v>
      </c>
      <c r="G143" s="9">
        <f>-23.68592-550</f>
        <v>-573.68592000000001</v>
      </c>
      <c r="H143" s="9">
        <f>SUM(F143:G143)</f>
        <v>3296.0140799999999</v>
      </c>
      <c r="I143" s="9">
        <f>3288-24.3</f>
        <v>3263.7</v>
      </c>
      <c r="J143" s="335"/>
      <c r="K143" s="9">
        <f>3288-24.3</f>
        <v>3263.7</v>
      </c>
      <c r="L143" s="9">
        <f>2076.1-24.3</f>
        <v>2051.7999999999997</v>
      </c>
      <c r="M143" s="9"/>
      <c r="N143" s="9">
        <f>2076.1-24.3</f>
        <v>2051.7999999999997</v>
      </c>
    </row>
    <row r="144" spans="1:14" ht="26.25" x14ac:dyDescent="0.25">
      <c r="A144" s="7"/>
      <c r="B144" s="7"/>
      <c r="C144" s="7"/>
      <c r="D144" s="7" t="s">
        <v>57</v>
      </c>
      <c r="E144" s="6" t="s">
        <v>56</v>
      </c>
      <c r="F144" s="9">
        <f>107.6+24.3</f>
        <v>131.9</v>
      </c>
      <c r="G144" s="9"/>
      <c r="H144" s="9">
        <f>107.6+24.3</f>
        <v>131.9</v>
      </c>
      <c r="I144" s="9">
        <f>107.6+24.3</f>
        <v>131.9</v>
      </c>
      <c r="J144" s="335"/>
      <c r="K144" s="9">
        <f>107.6+24.3</f>
        <v>131.9</v>
      </c>
      <c r="L144" s="9">
        <f>107.6+24.3</f>
        <v>131.9</v>
      </c>
      <c r="M144" s="9"/>
      <c r="N144" s="9">
        <f>107.6+24.3</f>
        <v>131.9</v>
      </c>
    </row>
    <row r="145" spans="1:14" x14ac:dyDescent="0.25">
      <c r="A145" s="7"/>
      <c r="B145" s="7"/>
      <c r="C145" s="7" t="s">
        <v>493</v>
      </c>
      <c r="D145" s="7"/>
      <c r="E145" s="108" t="s">
        <v>492</v>
      </c>
      <c r="F145" s="9">
        <f>SUM(F146)</f>
        <v>498.7</v>
      </c>
      <c r="G145" s="9"/>
      <c r="H145" s="9">
        <f>SUM(H146)</f>
        <v>498.7</v>
      </c>
      <c r="I145" s="9">
        <f>SUM(I146)</f>
        <v>485.5</v>
      </c>
      <c r="J145" s="335"/>
      <c r="K145" s="9">
        <f>SUM(K146)</f>
        <v>485.5</v>
      </c>
      <c r="L145" s="9">
        <f>SUM(L146)</f>
        <v>485.5</v>
      </c>
      <c r="M145" s="9"/>
      <c r="N145" s="9">
        <f>SUM(N146)</f>
        <v>485.5</v>
      </c>
    </row>
    <row r="146" spans="1:14" x14ac:dyDescent="0.25">
      <c r="A146" s="7"/>
      <c r="B146" s="7"/>
      <c r="C146" s="7"/>
      <c r="D146" s="7" t="s">
        <v>12</v>
      </c>
      <c r="E146" s="6" t="s">
        <v>11</v>
      </c>
      <c r="F146" s="9">
        <v>498.7</v>
      </c>
      <c r="G146" s="9"/>
      <c r="H146" s="9">
        <v>498.7</v>
      </c>
      <c r="I146" s="9">
        <v>485.5</v>
      </c>
      <c r="J146" s="335"/>
      <c r="K146" s="9">
        <v>485.5</v>
      </c>
      <c r="L146" s="9">
        <v>485.5</v>
      </c>
      <c r="M146" s="9"/>
      <c r="N146" s="9">
        <v>485.5</v>
      </c>
    </row>
    <row r="147" spans="1:14" x14ac:dyDescent="0.25">
      <c r="A147" s="7"/>
      <c r="B147" s="22" t="s">
        <v>491</v>
      </c>
      <c r="C147" s="21"/>
      <c r="D147" s="22"/>
      <c r="E147" s="27" t="s">
        <v>490</v>
      </c>
      <c r="F147" s="26">
        <f>F148</f>
        <v>1082.5</v>
      </c>
      <c r="G147" s="26">
        <f>G148</f>
        <v>-53.95</v>
      </c>
      <c r="H147" s="26">
        <f>H148</f>
        <v>1028.55</v>
      </c>
      <c r="I147" s="26">
        <f>I148</f>
        <v>871.19999999999993</v>
      </c>
      <c r="J147" s="336"/>
      <c r="K147" s="26">
        <f>K148</f>
        <v>871.19999999999993</v>
      </c>
      <c r="L147" s="26">
        <f>L148</f>
        <v>629.19999999999993</v>
      </c>
      <c r="M147" s="26"/>
      <c r="N147" s="26">
        <f>N148</f>
        <v>629.19999999999993</v>
      </c>
    </row>
    <row r="148" spans="1:14" x14ac:dyDescent="0.25">
      <c r="A148" s="7"/>
      <c r="B148" s="22"/>
      <c r="C148" s="21" t="s">
        <v>36</v>
      </c>
      <c r="D148" s="21"/>
      <c r="E148" s="27" t="s">
        <v>35</v>
      </c>
      <c r="F148" s="26">
        <f>F149+F169</f>
        <v>1082.5</v>
      </c>
      <c r="G148" s="26">
        <f>G149+G169</f>
        <v>-53.95</v>
      </c>
      <c r="H148" s="26">
        <f>H149+H169</f>
        <v>1028.55</v>
      </c>
      <c r="I148" s="26">
        <f>I149+I169</f>
        <v>871.19999999999993</v>
      </c>
      <c r="J148" s="336"/>
      <c r="K148" s="26">
        <f>K149+K169</f>
        <v>871.19999999999993</v>
      </c>
      <c r="L148" s="26">
        <f>L149+L169</f>
        <v>629.19999999999993</v>
      </c>
      <c r="M148" s="26"/>
      <c r="N148" s="26">
        <f>N149+N169</f>
        <v>629.19999999999993</v>
      </c>
    </row>
    <row r="149" spans="1:14" ht="25.5" x14ac:dyDescent="0.25">
      <c r="A149" s="33"/>
      <c r="B149" s="33"/>
      <c r="C149" s="34" t="s">
        <v>489</v>
      </c>
      <c r="D149" s="33"/>
      <c r="E149" s="32" t="s">
        <v>488</v>
      </c>
      <c r="F149" s="31">
        <f>F150+F156</f>
        <v>865.3</v>
      </c>
      <c r="G149" s="31">
        <f>G150+G156</f>
        <v>-46.5</v>
      </c>
      <c r="H149" s="31">
        <f>H150+H156</f>
        <v>818.8</v>
      </c>
      <c r="I149" s="31">
        <f>I150+I156</f>
        <v>865.3</v>
      </c>
      <c r="J149" s="332"/>
      <c r="K149" s="31">
        <f>K150+K156</f>
        <v>865.3</v>
      </c>
      <c r="L149" s="31">
        <f>L150+L156</f>
        <v>623.29999999999995</v>
      </c>
      <c r="M149" s="31"/>
      <c r="N149" s="31">
        <f>N150+N156</f>
        <v>623.29999999999995</v>
      </c>
    </row>
    <row r="150" spans="1:14" ht="39" x14ac:dyDescent="0.25">
      <c r="A150" s="30"/>
      <c r="B150" s="30"/>
      <c r="C150" s="30" t="s">
        <v>487</v>
      </c>
      <c r="D150" s="30"/>
      <c r="E150" s="50" t="s">
        <v>725</v>
      </c>
      <c r="F150" s="28">
        <f>F151</f>
        <v>538.19999999999993</v>
      </c>
      <c r="G150" s="28">
        <f>G151</f>
        <v>-1.5</v>
      </c>
      <c r="H150" s="28">
        <f>H151</f>
        <v>536.69999999999993</v>
      </c>
      <c r="I150" s="28">
        <f>I151</f>
        <v>538.19999999999993</v>
      </c>
      <c r="J150" s="333"/>
      <c r="K150" s="28">
        <f>K151</f>
        <v>538.19999999999993</v>
      </c>
      <c r="L150" s="28">
        <f>L151</f>
        <v>296.2</v>
      </c>
      <c r="M150" s="28"/>
      <c r="N150" s="28">
        <f>N151</f>
        <v>296.2</v>
      </c>
    </row>
    <row r="151" spans="1:14" ht="39" x14ac:dyDescent="0.25">
      <c r="A151" s="208"/>
      <c r="B151" s="208"/>
      <c r="C151" s="208" t="s">
        <v>486</v>
      </c>
      <c r="D151" s="216"/>
      <c r="E151" s="209" t="s">
        <v>726</v>
      </c>
      <c r="F151" s="210">
        <f>F152+F154</f>
        <v>538.19999999999993</v>
      </c>
      <c r="G151" s="210">
        <f>G152+G154</f>
        <v>-1.5</v>
      </c>
      <c r="H151" s="210">
        <f>H152+H154</f>
        <v>536.69999999999993</v>
      </c>
      <c r="I151" s="210">
        <f>I152+I154</f>
        <v>538.19999999999993</v>
      </c>
      <c r="J151" s="334"/>
      <c r="K151" s="210">
        <f>K152+K154</f>
        <v>538.19999999999993</v>
      </c>
      <c r="L151" s="210">
        <f>L152+L154</f>
        <v>296.2</v>
      </c>
      <c r="M151" s="210"/>
      <c r="N151" s="210">
        <f>N152+N154</f>
        <v>296.2</v>
      </c>
    </row>
    <row r="152" spans="1:14" ht="39" x14ac:dyDescent="0.25">
      <c r="A152" s="7"/>
      <c r="B152" s="7"/>
      <c r="C152" s="7" t="s">
        <v>485</v>
      </c>
      <c r="D152" s="7"/>
      <c r="E152" s="6" t="s">
        <v>484</v>
      </c>
      <c r="F152" s="9">
        <f>F153</f>
        <v>7.4</v>
      </c>
      <c r="G152" s="9">
        <f>G153</f>
        <v>-1.5</v>
      </c>
      <c r="H152" s="9">
        <f>H153</f>
        <v>5.9</v>
      </c>
      <c r="I152" s="9">
        <f>I153</f>
        <v>7.4</v>
      </c>
      <c r="J152" s="335"/>
      <c r="K152" s="9">
        <f>K153</f>
        <v>7.4</v>
      </c>
      <c r="L152" s="9">
        <f>L153</f>
        <v>7.4</v>
      </c>
      <c r="M152" s="9"/>
      <c r="N152" s="9">
        <f>N153</f>
        <v>7.4</v>
      </c>
    </row>
    <row r="153" spans="1:14" x14ac:dyDescent="0.25">
      <c r="A153" s="7"/>
      <c r="B153" s="7"/>
      <c r="C153" s="7"/>
      <c r="D153" s="7" t="s">
        <v>12</v>
      </c>
      <c r="E153" s="6" t="s">
        <v>11</v>
      </c>
      <c r="F153" s="9">
        <v>7.4</v>
      </c>
      <c r="G153" s="9">
        <v>-1.5</v>
      </c>
      <c r="H153" s="9">
        <f>SUM(F153:G153)</f>
        <v>5.9</v>
      </c>
      <c r="I153" s="9">
        <v>7.4</v>
      </c>
      <c r="J153" s="335"/>
      <c r="K153" s="9">
        <v>7.4</v>
      </c>
      <c r="L153" s="9">
        <v>7.4</v>
      </c>
      <c r="M153" s="9"/>
      <c r="N153" s="9">
        <v>7.4</v>
      </c>
    </row>
    <row r="154" spans="1:14" ht="39" x14ac:dyDescent="0.25">
      <c r="A154" s="7"/>
      <c r="B154" s="7"/>
      <c r="C154" s="7" t="s">
        <v>483</v>
      </c>
      <c r="D154" s="7"/>
      <c r="E154" s="6" t="s">
        <v>482</v>
      </c>
      <c r="F154" s="9">
        <f>F155</f>
        <v>530.79999999999995</v>
      </c>
      <c r="G154" s="9"/>
      <c r="H154" s="9">
        <f>H155</f>
        <v>530.79999999999995</v>
      </c>
      <c r="I154" s="9">
        <f>I155</f>
        <v>530.79999999999995</v>
      </c>
      <c r="J154" s="335"/>
      <c r="K154" s="9">
        <f>K155</f>
        <v>530.79999999999995</v>
      </c>
      <c r="L154" s="9">
        <f>L155</f>
        <v>288.8</v>
      </c>
      <c r="M154" s="9"/>
      <c r="N154" s="9">
        <f>N155</f>
        <v>288.8</v>
      </c>
    </row>
    <row r="155" spans="1:14" x14ac:dyDescent="0.25">
      <c r="A155" s="7"/>
      <c r="B155" s="7"/>
      <c r="C155" s="7"/>
      <c r="D155" s="7" t="s">
        <v>12</v>
      </c>
      <c r="E155" s="6" t="s">
        <v>11</v>
      </c>
      <c r="F155" s="9">
        <v>530.79999999999995</v>
      </c>
      <c r="G155" s="9"/>
      <c r="H155" s="9">
        <v>530.79999999999995</v>
      </c>
      <c r="I155" s="9">
        <v>530.79999999999995</v>
      </c>
      <c r="J155" s="335"/>
      <c r="K155" s="9">
        <v>530.79999999999995</v>
      </c>
      <c r="L155" s="9">
        <v>288.8</v>
      </c>
      <c r="M155" s="9"/>
      <c r="N155" s="9">
        <v>288.8</v>
      </c>
    </row>
    <row r="156" spans="1:14" ht="26.25" x14ac:dyDescent="0.25">
      <c r="A156" s="30"/>
      <c r="B156" s="30"/>
      <c r="C156" s="30" t="s">
        <v>481</v>
      </c>
      <c r="D156" s="30"/>
      <c r="E156" s="50" t="s">
        <v>480</v>
      </c>
      <c r="F156" s="28">
        <f>F157</f>
        <v>327.10000000000002</v>
      </c>
      <c r="G156" s="28">
        <f>G157</f>
        <v>-45</v>
      </c>
      <c r="H156" s="28">
        <f>H157</f>
        <v>282.10000000000002</v>
      </c>
      <c r="I156" s="28">
        <f>I157</f>
        <v>327.10000000000002</v>
      </c>
      <c r="J156" s="333"/>
      <c r="K156" s="28">
        <f>K157</f>
        <v>327.10000000000002</v>
      </c>
      <c r="L156" s="28">
        <f>L157</f>
        <v>327.10000000000002</v>
      </c>
      <c r="M156" s="28"/>
      <c r="N156" s="28">
        <f>N157</f>
        <v>327.10000000000002</v>
      </c>
    </row>
    <row r="157" spans="1:14" ht="26.25" x14ac:dyDescent="0.25">
      <c r="A157" s="208"/>
      <c r="B157" s="208"/>
      <c r="C157" s="208" t="s">
        <v>479</v>
      </c>
      <c r="D157" s="216"/>
      <c r="E157" s="209" t="s">
        <v>478</v>
      </c>
      <c r="F157" s="210">
        <f>F158+F167+F164</f>
        <v>327.10000000000002</v>
      </c>
      <c r="G157" s="210">
        <f>G158+G167+G164</f>
        <v>-45</v>
      </c>
      <c r="H157" s="210">
        <f>H158+H167+H164</f>
        <v>282.10000000000002</v>
      </c>
      <c r="I157" s="210">
        <f>I158+I167+I164</f>
        <v>327.10000000000002</v>
      </c>
      <c r="J157" s="334"/>
      <c r="K157" s="210">
        <f>K158+K167+K164</f>
        <v>327.10000000000002</v>
      </c>
      <c r="L157" s="210">
        <f>L158+L167+L164</f>
        <v>327.10000000000002</v>
      </c>
      <c r="M157" s="210"/>
      <c r="N157" s="210">
        <f>N158+N167+N164</f>
        <v>327.10000000000002</v>
      </c>
    </row>
    <row r="158" spans="1:14" x14ac:dyDescent="0.25">
      <c r="A158" s="8"/>
      <c r="B158" s="8"/>
      <c r="C158" s="7" t="s">
        <v>477</v>
      </c>
      <c r="D158" s="7"/>
      <c r="E158" s="107" t="s">
        <v>745</v>
      </c>
      <c r="F158" s="9">
        <f>F159+F162</f>
        <v>267.60000000000002</v>
      </c>
      <c r="G158" s="9"/>
      <c r="H158" s="9">
        <f>H159+H162</f>
        <v>267.60000000000002</v>
      </c>
      <c r="I158" s="9">
        <f>I159+I162</f>
        <v>267.60000000000002</v>
      </c>
      <c r="J158" s="335"/>
      <c r="K158" s="9">
        <f>K159+K162</f>
        <v>267.60000000000002</v>
      </c>
      <c r="L158" s="9">
        <f>L159+L162</f>
        <v>267.60000000000002</v>
      </c>
      <c r="M158" s="9"/>
      <c r="N158" s="9">
        <f>N159+N162</f>
        <v>267.60000000000002</v>
      </c>
    </row>
    <row r="159" spans="1:14" x14ac:dyDescent="0.25">
      <c r="A159" s="8"/>
      <c r="B159" s="8"/>
      <c r="C159" s="7"/>
      <c r="D159" s="7" t="s">
        <v>2</v>
      </c>
      <c r="E159" s="6" t="s">
        <v>11</v>
      </c>
      <c r="F159" s="9">
        <f>SUM(F160:F161)</f>
        <v>248.5</v>
      </c>
      <c r="G159" s="9"/>
      <c r="H159" s="9">
        <f>SUM(H160:H161)</f>
        <v>248.5</v>
      </c>
      <c r="I159" s="9">
        <f>SUM(I160:I161)</f>
        <v>248.5</v>
      </c>
      <c r="J159" s="335"/>
      <c r="K159" s="9">
        <f>SUM(K160:K161)</f>
        <v>248.5</v>
      </c>
      <c r="L159" s="9">
        <f>SUM(L160:L161)</f>
        <v>248.5</v>
      </c>
      <c r="M159" s="9"/>
      <c r="N159" s="9">
        <f>SUM(N160:N161)</f>
        <v>248.5</v>
      </c>
    </row>
    <row r="160" spans="1:14" x14ac:dyDescent="0.25">
      <c r="A160" s="8"/>
      <c r="B160" s="8"/>
      <c r="C160" s="7"/>
      <c r="D160" s="7"/>
      <c r="E160" s="6" t="s">
        <v>165</v>
      </c>
      <c r="F160" s="9">
        <v>86.1</v>
      </c>
      <c r="G160" s="9"/>
      <c r="H160" s="9">
        <v>86.1</v>
      </c>
      <c r="I160" s="9">
        <v>86.1</v>
      </c>
      <c r="J160" s="335"/>
      <c r="K160" s="9">
        <v>86.1</v>
      </c>
      <c r="L160" s="9">
        <v>86.1</v>
      </c>
      <c r="M160" s="9"/>
      <c r="N160" s="9">
        <v>86.1</v>
      </c>
    </row>
    <row r="161" spans="1:14" x14ac:dyDescent="0.25">
      <c r="A161" s="8"/>
      <c r="B161" s="8"/>
      <c r="C161" s="7"/>
      <c r="D161" s="7"/>
      <c r="E161" s="6" t="s">
        <v>164</v>
      </c>
      <c r="F161" s="9">
        <v>162.4</v>
      </c>
      <c r="G161" s="9"/>
      <c r="H161" s="9">
        <v>162.4</v>
      </c>
      <c r="I161" s="9">
        <v>162.4</v>
      </c>
      <c r="J161" s="335"/>
      <c r="K161" s="9">
        <v>162.4</v>
      </c>
      <c r="L161" s="9">
        <v>162.4</v>
      </c>
      <c r="M161" s="9"/>
      <c r="N161" s="9">
        <v>162.4</v>
      </c>
    </row>
    <row r="162" spans="1:14" x14ac:dyDescent="0.25">
      <c r="A162" s="8"/>
      <c r="B162" s="8"/>
      <c r="C162" s="7"/>
      <c r="D162" s="7" t="s">
        <v>12</v>
      </c>
      <c r="E162" s="6" t="s">
        <v>11</v>
      </c>
      <c r="F162" s="9">
        <f>F163</f>
        <v>19.100000000000001</v>
      </c>
      <c r="G162" s="9"/>
      <c r="H162" s="9">
        <f>H163</f>
        <v>19.100000000000001</v>
      </c>
      <c r="I162" s="9">
        <f>I163</f>
        <v>19.100000000000001</v>
      </c>
      <c r="J162" s="335"/>
      <c r="K162" s="9">
        <f>K163</f>
        <v>19.100000000000001</v>
      </c>
      <c r="L162" s="9">
        <f>L163</f>
        <v>19.100000000000001</v>
      </c>
      <c r="M162" s="9"/>
      <c r="N162" s="9">
        <f>N163</f>
        <v>19.100000000000001</v>
      </c>
    </row>
    <row r="163" spans="1:14" x14ac:dyDescent="0.25">
      <c r="A163" s="8"/>
      <c r="B163" s="8"/>
      <c r="C163" s="7"/>
      <c r="D163" s="7"/>
      <c r="E163" s="6" t="s">
        <v>164</v>
      </c>
      <c r="F163" s="9">
        <v>19.100000000000001</v>
      </c>
      <c r="G163" s="9"/>
      <c r="H163" s="9">
        <v>19.100000000000001</v>
      </c>
      <c r="I163" s="9">
        <v>19.100000000000001</v>
      </c>
      <c r="J163" s="335"/>
      <c r="K163" s="9">
        <v>19.100000000000001</v>
      </c>
      <c r="L163" s="9">
        <v>19.100000000000001</v>
      </c>
      <c r="M163" s="9"/>
      <c r="N163" s="9">
        <v>19.100000000000001</v>
      </c>
    </row>
    <row r="164" spans="1:14" ht="26.25" x14ac:dyDescent="0.25">
      <c r="A164" s="8"/>
      <c r="B164" s="8"/>
      <c r="C164" s="7" t="s">
        <v>476</v>
      </c>
      <c r="D164" s="7"/>
      <c r="E164" s="6" t="s">
        <v>746</v>
      </c>
      <c r="F164" s="5">
        <f>F165+F166</f>
        <v>35.5</v>
      </c>
      <c r="G164" s="5">
        <f>G165+G166</f>
        <v>-32.5</v>
      </c>
      <c r="H164" s="5">
        <f>H165+H166</f>
        <v>3</v>
      </c>
      <c r="I164" s="5">
        <f>I165+I166</f>
        <v>35.5</v>
      </c>
      <c r="J164" s="337"/>
      <c r="K164" s="5">
        <f>K165+K166</f>
        <v>35.5</v>
      </c>
      <c r="L164" s="5">
        <f>L165+L166</f>
        <v>35.5</v>
      </c>
      <c r="M164" s="5"/>
      <c r="N164" s="5">
        <f>N165+N166</f>
        <v>35.5</v>
      </c>
    </row>
    <row r="165" spans="1:14" x14ac:dyDescent="0.25">
      <c r="A165" s="8"/>
      <c r="B165" s="8"/>
      <c r="C165" s="7"/>
      <c r="D165" s="7" t="s">
        <v>12</v>
      </c>
      <c r="E165" s="6" t="s">
        <v>11</v>
      </c>
      <c r="F165" s="5">
        <v>29.5</v>
      </c>
      <c r="G165" s="5">
        <v>-26.5</v>
      </c>
      <c r="H165" s="5">
        <f>SUM(F165:G165)</f>
        <v>3</v>
      </c>
      <c r="I165" s="5">
        <v>29.5</v>
      </c>
      <c r="J165" s="337"/>
      <c r="K165" s="5">
        <v>29.5</v>
      </c>
      <c r="L165" s="5">
        <v>29.5</v>
      </c>
      <c r="M165" s="5"/>
      <c r="N165" s="5">
        <v>29.5</v>
      </c>
    </row>
    <row r="166" spans="1:14" ht="26.25" x14ac:dyDescent="0.25">
      <c r="A166" s="8"/>
      <c r="B166" s="8"/>
      <c r="C166" s="7"/>
      <c r="D166" s="7" t="s">
        <v>57</v>
      </c>
      <c r="E166" s="6" t="s">
        <v>56</v>
      </c>
      <c r="F166" s="5">
        <v>6</v>
      </c>
      <c r="G166" s="5">
        <v>-6</v>
      </c>
      <c r="H166" s="5">
        <f>SUM(F166:G166)</f>
        <v>0</v>
      </c>
      <c r="I166" s="5">
        <v>6</v>
      </c>
      <c r="J166" s="337"/>
      <c r="K166" s="5">
        <v>6</v>
      </c>
      <c r="L166" s="5">
        <v>6</v>
      </c>
      <c r="M166" s="5"/>
      <c r="N166" s="5">
        <v>6</v>
      </c>
    </row>
    <row r="167" spans="1:14" x14ac:dyDescent="0.25">
      <c r="A167" s="8"/>
      <c r="B167" s="8"/>
      <c r="C167" s="7" t="s">
        <v>475</v>
      </c>
      <c r="D167" s="7"/>
      <c r="E167" s="6" t="s">
        <v>474</v>
      </c>
      <c r="F167" s="5">
        <f>F168</f>
        <v>24</v>
      </c>
      <c r="G167" s="5">
        <f>G168</f>
        <v>-12.5</v>
      </c>
      <c r="H167" s="5">
        <f>H168</f>
        <v>11.5</v>
      </c>
      <c r="I167" s="5">
        <f>I168</f>
        <v>24</v>
      </c>
      <c r="J167" s="337"/>
      <c r="K167" s="5">
        <f>K168</f>
        <v>24</v>
      </c>
      <c r="L167" s="5">
        <f>L168</f>
        <v>24</v>
      </c>
      <c r="M167" s="5"/>
      <c r="N167" s="5">
        <f>N168</f>
        <v>24</v>
      </c>
    </row>
    <row r="168" spans="1:14" ht="26.25" x14ac:dyDescent="0.25">
      <c r="A168" s="8"/>
      <c r="B168" s="8"/>
      <c r="C168" s="7"/>
      <c r="D168" s="7" t="s">
        <v>57</v>
      </c>
      <c r="E168" s="6" t="s">
        <v>56</v>
      </c>
      <c r="F168" s="5">
        <v>24</v>
      </c>
      <c r="G168" s="5">
        <v>-12.5</v>
      </c>
      <c r="H168" s="5">
        <f>SUM(F168:G168)</f>
        <v>11.5</v>
      </c>
      <c r="I168" s="5">
        <v>24</v>
      </c>
      <c r="J168" s="337"/>
      <c r="K168" s="5">
        <v>24</v>
      </c>
      <c r="L168" s="5">
        <v>24</v>
      </c>
      <c r="M168" s="5"/>
      <c r="N168" s="5">
        <v>24</v>
      </c>
    </row>
    <row r="169" spans="1:14" ht="38.25" x14ac:dyDescent="0.25">
      <c r="A169" s="33"/>
      <c r="B169" s="33"/>
      <c r="C169" s="34" t="s">
        <v>473</v>
      </c>
      <c r="D169" s="33"/>
      <c r="E169" s="32" t="s">
        <v>472</v>
      </c>
      <c r="F169" s="31">
        <f t="shared" ref="F169:N171" si="26">F170</f>
        <v>217.2</v>
      </c>
      <c r="G169" s="31">
        <f t="shared" si="26"/>
        <v>-7.45</v>
      </c>
      <c r="H169" s="31">
        <f t="shared" si="26"/>
        <v>209.75</v>
      </c>
      <c r="I169" s="31">
        <f t="shared" si="26"/>
        <v>5.9</v>
      </c>
      <c r="J169" s="332"/>
      <c r="K169" s="31">
        <f t="shared" si="26"/>
        <v>5.9</v>
      </c>
      <c r="L169" s="31">
        <f t="shared" si="26"/>
        <v>5.9</v>
      </c>
      <c r="M169" s="31"/>
      <c r="N169" s="31">
        <f t="shared" si="26"/>
        <v>5.9</v>
      </c>
    </row>
    <row r="170" spans="1:14" x14ac:dyDescent="0.25">
      <c r="A170" s="208"/>
      <c r="B170" s="208"/>
      <c r="C170" s="208" t="s">
        <v>471</v>
      </c>
      <c r="D170" s="208"/>
      <c r="E170" s="220" t="s">
        <v>470</v>
      </c>
      <c r="F170" s="210">
        <f t="shared" si="26"/>
        <v>217.2</v>
      </c>
      <c r="G170" s="210">
        <f t="shared" si="26"/>
        <v>-7.45</v>
      </c>
      <c r="H170" s="210">
        <f t="shared" si="26"/>
        <v>209.75</v>
      </c>
      <c r="I170" s="210">
        <f t="shared" si="26"/>
        <v>5.9</v>
      </c>
      <c r="J170" s="334"/>
      <c r="K170" s="210">
        <f t="shared" si="26"/>
        <v>5.9</v>
      </c>
      <c r="L170" s="210">
        <f t="shared" si="26"/>
        <v>5.9</v>
      </c>
      <c r="M170" s="210"/>
      <c r="N170" s="210">
        <f t="shared" si="26"/>
        <v>5.9</v>
      </c>
    </row>
    <row r="171" spans="1:14" x14ac:dyDescent="0.25">
      <c r="A171" s="8"/>
      <c r="B171" s="8"/>
      <c r="C171" s="7" t="s">
        <v>469</v>
      </c>
      <c r="D171" s="7"/>
      <c r="E171" s="106" t="s">
        <v>788</v>
      </c>
      <c r="F171" s="9">
        <f t="shared" si="26"/>
        <v>217.2</v>
      </c>
      <c r="G171" s="9">
        <f t="shared" si="26"/>
        <v>-7.45</v>
      </c>
      <c r="H171" s="9">
        <f t="shared" si="26"/>
        <v>209.75</v>
      </c>
      <c r="I171" s="9">
        <f t="shared" si="26"/>
        <v>5.9</v>
      </c>
      <c r="J171" s="335"/>
      <c r="K171" s="9">
        <f t="shared" si="26"/>
        <v>5.9</v>
      </c>
      <c r="L171" s="9">
        <f t="shared" si="26"/>
        <v>5.9</v>
      </c>
      <c r="M171" s="9"/>
      <c r="N171" s="9">
        <f t="shared" si="26"/>
        <v>5.9</v>
      </c>
    </row>
    <row r="172" spans="1:14" x14ac:dyDescent="0.25">
      <c r="A172" s="8"/>
      <c r="B172" s="8"/>
      <c r="C172" s="7"/>
      <c r="D172" s="7" t="s">
        <v>12</v>
      </c>
      <c r="E172" s="6" t="s">
        <v>11</v>
      </c>
      <c r="F172" s="9">
        <v>217.2</v>
      </c>
      <c r="G172" s="9">
        <v>-7.45</v>
      </c>
      <c r="H172" s="9">
        <f>SUM(F172:G172)</f>
        <v>209.75</v>
      </c>
      <c r="I172" s="9">
        <v>5.9</v>
      </c>
      <c r="J172" s="335"/>
      <c r="K172" s="9">
        <v>5.9</v>
      </c>
      <c r="L172" s="9">
        <v>5.9</v>
      </c>
      <c r="M172" s="9"/>
      <c r="N172" s="9">
        <v>5.9</v>
      </c>
    </row>
    <row r="173" spans="1:14" x14ac:dyDescent="0.25">
      <c r="A173" s="21"/>
      <c r="B173" s="22" t="s">
        <v>468</v>
      </c>
      <c r="C173" s="21"/>
      <c r="D173" s="21"/>
      <c r="E173" s="20" t="s">
        <v>467</v>
      </c>
      <c r="F173" s="26">
        <f t="shared" ref="F173:L173" si="27">F174+F199+F206+F245</f>
        <v>151648.41287999999</v>
      </c>
      <c r="G173" s="26">
        <f t="shared" si="27"/>
        <v>352.22243000000003</v>
      </c>
      <c r="H173" s="26">
        <f t="shared" si="27"/>
        <v>152000.63531000001</v>
      </c>
      <c r="I173" s="26">
        <f t="shared" si="27"/>
        <v>81642.412070000006</v>
      </c>
      <c r="J173" s="26">
        <f t="shared" si="27"/>
        <v>-143.62244000000001</v>
      </c>
      <c r="K173" s="26">
        <f t="shared" si="27"/>
        <v>81498.789630000014</v>
      </c>
      <c r="L173" s="26">
        <f t="shared" si="27"/>
        <v>71270.8</v>
      </c>
      <c r="M173" s="26"/>
      <c r="N173" s="26">
        <f>N174+N199+N206+N245</f>
        <v>71270.8</v>
      </c>
    </row>
    <row r="174" spans="1:14" x14ac:dyDescent="0.25">
      <c r="A174" s="21"/>
      <c r="B174" s="22" t="s">
        <v>466</v>
      </c>
      <c r="C174" s="21"/>
      <c r="D174" s="22"/>
      <c r="E174" s="27" t="s">
        <v>465</v>
      </c>
      <c r="F174" s="26">
        <f>F175+F195</f>
        <v>935.2</v>
      </c>
      <c r="G174" s="26"/>
      <c r="H174" s="26">
        <f>H175+H195</f>
        <v>935.2</v>
      </c>
      <c r="I174" s="26">
        <f>I175+I195</f>
        <v>935.2</v>
      </c>
      <c r="J174" s="336"/>
      <c r="K174" s="26">
        <f>K175+K195</f>
        <v>935.2</v>
      </c>
      <c r="L174" s="26">
        <f>L175+L195</f>
        <v>935.2</v>
      </c>
      <c r="M174" s="26"/>
      <c r="N174" s="26">
        <f>N175+N195</f>
        <v>935.2</v>
      </c>
    </row>
    <row r="175" spans="1:14" x14ac:dyDescent="0.25">
      <c r="A175" s="21"/>
      <c r="B175" s="22"/>
      <c r="C175" s="21" t="s">
        <v>36</v>
      </c>
      <c r="D175" s="21"/>
      <c r="E175" s="27" t="s">
        <v>35</v>
      </c>
      <c r="F175" s="26">
        <f>F176+F190</f>
        <v>378.8</v>
      </c>
      <c r="G175" s="26"/>
      <c r="H175" s="26">
        <f>H176+H190</f>
        <v>378.8</v>
      </c>
      <c r="I175" s="26">
        <f>I176+I190</f>
        <v>378.8</v>
      </c>
      <c r="J175" s="336"/>
      <c r="K175" s="26">
        <f>K176+K190</f>
        <v>378.8</v>
      </c>
      <c r="L175" s="26">
        <f>L176+L190</f>
        <v>378.8</v>
      </c>
      <c r="M175" s="26"/>
      <c r="N175" s="26">
        <f>N176+N190</f>
        <v>378.8</v>
      </c>
    </row>
    <row r="176" spans="1:14" ht="25.5" x14ac:dyDescent="0.25">
      <c r="A176" s="33"/>
      <c r="B176" s="33"/>
      <c r="C176" s="34" t="s">
        <v>405</v>
      </c>
      <c r="D176" s="33"/>
      <c r="E176" s="32" t="s">
        <v>404</v>
      </c>
      <c r="F176" s="31">
        <f>F177</f>
        <v>259.8</v>
      </c>
      <c r="G176" s="31"/>
      <c r="H176" s="31">
        <f>H177</f>
        <v>259.8</v>
      </c>
      <c r="I176" s="31">
        <f>I177</f>
        <v>259.8</v>
      </c>
      <c r="J176" s="332"/>
      <c r="K176" s="31">
        <f>K177</f>
        <v>259.8</v>
      </c>
      <c r="L176" s="31">
        <f>L177</f>
        <v>259.8</v>
      </c>
      <c r="M176" s="31"/>
      <c r="N176" s="31">
        <f>N177</f>
        <v>259.8</v>
      </c>
    </row>
    <row r="177" spans="1:14" ht="26.25" x14ac:dyDescent="0.25">
      <c r="A177" s="30"/>
      <c r="B177" s="30"/>
      <c r="C177" s="30" t="s">
        <v>464</v>
      </c>
      <c r="D177" s="30"/>
      <c r="E177" s="77" t="s">
        <v>463</v>
      </c>
      <c r="F177" s="28">
        <f>F178+F181</f>
        <v>259.8</v>
      </c>
      <c r="G177" s="28"/>
      <c r="H177" s="28">
        <f>H178+H181</f>
        <v>259.8</v>
      </c>
      <c r="I177" s="28">
        <f>I178+I181</f>
        <v>259.8</v>
      </c>
      <c r="J177" s="333"/>
      <c r="K177" s="28">
        <f>K178+K181</f>
        <v>259.8</v>
      </c>
      <c r="L177" s="28">
        <f>L178+L181</f>
        <v>259.8</v>
      </c>
      <c r="M177" s="28"/>
      <c r="N177" s="28">
        <f>N178+N181</f>
        <v>259.8</v>
      </c>
    </row>
    <row r="178" spans="1:14" x14ac:dyDescent="0.25">
      <c r="A178" s="208"/>
      <c r="B178" s="208"/>
      <c r="C178" s="208" t="s">
        <v>462</v>
      </c>
      <c r="D178" s="208"/>
      <c r="E178" s="220" t="s">
        <v>461</v>
      </c>
      <c r="F178" s="210">
        <f t="shared" ref="F178:N179" si="28">F179</f>
        <v>124</v>
      </c>
      <c r="G178" s="210"/>
      <c r="H178" s="210">
        <f t="shared" si="28"/>
        <v>124</v>
      </c>
      <c r="I178" s="210">
        <f t="shared" si="28"/>
        <v>124</v>
      </c>
      <c r="J178" s="334"/>
      <c r="K178" s="210">
        <f t="shared" si="28"/>
        <v>124</v>
      </c>
      <c r="L178" s="210">
        <f t="shared" si="28"/>
        <v>124</v>
      </c>
      <c r="M178" s="210"/>
      <c r="N178" s="210">
        <f t="shared" si="28"/>
        <v>124</v>
      </c>
    </row>
    <row r="179" spans="1:14" x14ac:dyDescent="0.25">
      <c r="A179" s="7"/>
      <c r="B179" s="7"/>
      <c r="C179" s="7" t="s">
        <v>460</v>
      </c>
      <c r="D179" s="7"/>
      <c r="E179" s="95" t="s">
        <v>459</v>
      </c>
      <c r="F179" s="5">
        <f t="shared" si="28"/>
        <v>124</v>
      </c>
      <c r="G179" s="5"/>
      <c r="H179" s="5">
        <f t="shared" si="28"/>
        <v>124</v>
      </c>
      <c r="I179" s="5">
        <f t="shared" si="28"/>
        <v>124</v>
      </c>
      <c r="J179" s="337"/>
      <c r="K179" s="5">
        <f t="shared" si="28"/>
        <v>124</v>
      </c>
      <c r="L179" s="5">
        <f t="shared" si="28"/>
        <v>124</v>
      </c>
      <c r="M179" s="5"/>
      <c r="N179" s="5">
        <f t="shared" si="28"/>
        <v>124</v>
      </c>
    </row>
    <row r="180" spans="1:14" x14ac:dyDescent="0.25">
      <c r="A180" s="7"/>
      <c r="B180" s="7"/>
      <c r="C180" s="7"/>
      <c r="D180" s="7" t="s">
        <v>12</v>
      </c>
      <c r="E180" s="6" t="s">
        <v>11</v>
      </c>
      <c r="F180" s="5">
        <v>124</v>
      </c>
      <c r="G180" s="5"/>
      <c r="H180" s="5">
        <v>124</v>
      </c>
      <c r="I180" s="5">
        <v>124</v>
      </c>
      <c r="J180" s="337"/>
      <c r="K180" s="5">
        <v>124</v>
      </c>
      <c r="L180" s="5">
        <v>124</v>
      </c>
      <c r="M180" s="5"/>
      <c r="N180" s="5">
        <v>124</v>
      </c>
    </row>
    <row r="181" spans="1:14" x14ac:dyDescent="0.25">
      <c r="A181" s="208"/>
      <c r="B181" s="208"/>
      <c r="C181" s="208" t="s">
        <v>458</v>
      </c>
      <c r="D181" s="208"/>
      <c r="E181" s="220" t="s">
        <v>457</v>
      </c>
      <c r="F181" s="210">
        <f>F182+F184+F186+F188</f>
        <v>135.80000000000001</v>
      </c>
      <c r="G181" s="210"/>
      <c r="H181" s="210">
        <f>H182+H184+H186+H188</f>
        <v>135.80000000000001</v>
      </c>
      <c r="I181" s="210">
        <f>I182+I184+I186+I188</f>
        <v>135.80000000000001</v>
      </c>
      <c r="J181" s="334"/>
      <c r="K181" s="210">
        <f>K182+K184+K186+K188</f>
        <v>135.80000000000001</v>
      </c>
      <c r="L181" s="210">
        <f>L182+L184+L186+L188</f>
        <v>135.80000000000001</v>
      </c>
      <c r="M181" s="210"/>
      <c r="N181" s="210">
        <f>N182+N184+N186+N188</f>
        <v>135.80000000000001</v>
      </c>
    </row>
    <row r="182" spans="1:14" ht="26.25" x14ac:dyDescent="0.25">
      <c r="A182" s="8"/>
      <c r="B182" s="8"/>
      <c r="C182" s="7" t="s">
        <v>456</v>
      </c>
      <c r="D182" s="7"/>
      <c r="E182" s="95" t="s">
        <v>455</v>
      </c>
      <c r="F182" s="5">
        <f>F183</f>
        <v>40.4</v>
      </c>
      <c r="G182" s="5"/>
      <c r="H182" s="5">
        <f>H183</f>
        <v>40.4</v>
      </c>
      <c r="I182" s="5">
        <f>I183</f>
        <v>40.4</v>
      </c>
      <c r="J182" s="337"/>
      <c r="K182" s="5">
        <f>K183</f>
        <v>40.4</v>
      </c>
      <c r="L182" s="5">
        <f>L183</f>
        <v>40.4</v>
      </c>
      <c r="M182" s="5"/>
      <c r="N182" s="5">
        <f>N183</f>
        <v>40.4</v>
      </c>
    </row>
    <row r="183" spans="1:14" x14ac:dyDescent="0.25">
      <c r="A183" s="8"/>
      <c r="B183" s="8"/>
      <c r="C183" s="7"/>
      <c r="D183" s="7" t="s">
        <v>12</v>
      </c>
      <c r="E183" s="6" t="s">
        <v>11</v>
      </c>
      <c r="F183" s="5">
        <v>40.4</v>
      </c>
      <c r="G183" s="5"/>
      <c r="H183" s="5">
        <v>40.4</v>
      </c>
      <c r="I183" s="5">
        <v>40.4</v>
      </c>
      <c r="J183" s="337"/>
      <c r="K183" s="5">
        <v>40.4</v>
      </c>
      <c r="L183" s="5">
        <v>40.4</v>
      </c>
      <c r="M183" s="5"/>
      <c r="N183" s="5">
        <v>40.4</v>
      </c>
    </row>
    <row r="184" spans="1:14" x14ac:dyDescent="0.25">
      <c r="A184" s="8"/>
      <c r="B184" s="8"/>
      <c r="C184" s="7" t="s">
        <v>454</v>
      </c>
      <c r="D184" s="7"/>
      <c r="E184" s="95" t="s">
        <v>453</v>
      </c>
      <c r="F184" s="5">
        <f>F185</f>
        <v>40</v>
      </c>
      <c r="G184" s="5"/>
      <c r="H184" s="5">
        <f>H185</f>
        <v>40</v>
      </c>
      <c r="I184" s="5">
        <f>I185</f>
        <v>40</v>
      </c>
      <c r="J184" s="337"/>
      <c r="K184" s="5">
        <f>K185</f>
        <v>40</v>
      </c>
      <c r="L184" s="5">
        <f>L185</f>
        <v>40</v>
      </c>
      <c r="M184" s="5"/>
      <c r="N184" s="5">
        <f>N185</f>
        <v>40</v>
      </c>
    </row>
    <row r="185" spans="1:14" x14ac:dyDescent="0.25">
      <c r="A185" s="8"/>
      <c r="B185" s="8"/>
      <c r="C185" s="7"/>
      <c r="D185" s="7" t="s">
        <v>12</v>
      </c>
      <c r="E185" s="6" t="s">
        <v>11</v>
      </c>
      <c r="F185" s="5">
        <v>40</v>
      </c>
      <c r="G185" s="5"/>
      <c r="H185" s="5">
        <v>40</v>
      </c>
      <c r="I185" s="5">
        <v>40</v>
      </c>
      <c r="J185" s="337"/>
      <c r="K185" s="5">
        <v>40</v>
      </c>
      <c r="L185" s="5">
        <v>40</v>
      </c>
      <c r="M185" s="5"/>
      <c r="N185" s="5">
        <v>40</v>
      </c>
    </row>
    <row r="186" spans="1:14" x14ac:dyDescent="0.25">
      <c r="A186" s="8"/>
      <c r="B186" s="8"/>
      <c r="C186" s="7" t="s">
        <v>452</v>
      </c>
      <c r="D186" s="7"/>
      <c r="E186" s="95" t="s">
        <v>451</v>
      </c>
      <c r="F186" s="5">
        <f>F187</f>
        <v>26.6</v>
      </c>
      <c r="G186" s="5"/>
      <c r="H186" s="5">
        <f>H187</f>
        <v>26.6</v>
      </c>
      <c r="I186" s="5">
        <f>I187</f>
        <v>26.6</v>
      </c>
      <c r="J186" s="337"/>
      <c r="K186" s="5">
        <f>K187</f>
        <v>26.6</v>
      </c>
      <c r="L186" s="5">
        <f>L187</f>
        <v>26.6</v>
      </c>
      <c r="M186" s="5"/>
      <c r="N186" s="5">
        <f>N187</f>
        <v>26.6</v>
      </c>
    </row>
    <row r="187" spans="1:14" x14ac:dyDescent="0.25">
      <c r="A187" s="8"/>
      <c r="B187" s="8"/>
      <c r="C187" s="7"/>
      <c r="D187" s="7" t="s">
        <v>12</v>
      </c>
      <c r="E187" s="6" t="s">
        <v>11</v>
      </c>
      <c r="F187" s="5">
        <v>26.6</v>
      </c>
      <c r="G187" s="5"/>
      <c r="H187" s="5">
        <v>26.6</v>
      </c>
      <c r="I187" s="5">
        <v>26.6</v>
      </c>
      <c r="J187" s="337"/>
      <c r="K187" s="5">
        <v>26.6</v>
      </c>
      <c r="L187" s="5">
        <v>26.6</v>
      </c>
      <c r="M187" s="5"/>
      <c r="N187" s="5">
        <v>26.6</v>
      </c>
    </row>
    <row r="188" spans="1:14" x14ac:dyDescent="0.25">
      <c r="A188" s="8"/>
      <c r="B188" s="8"/>
      <c r="C188" s="7" t="s">
        <v>450</v>
      </c>
      <c r="D188" s="7"/>
      <c r="E188" s="95" t="s">
        <v>449</v>
      </c>
      <c r="F188" s="5">
        <f>F189</f>
        <v>28.8</v>
      </c>
      <c r="G188" s="5"/>
      <c r="H188" s="5">
        <f>H189</f>
        <v>28.8</v>
      </c>
      <c r="I188" s="5">
        <f>I189</f>
        <v>28.8</v>
      </c>
      <c r="J188" s="337"/>
      <c r="K188" s="5">
        <f>K189</f>
        <v>28.8</v>
      </c>
      <c r="L188" s="5">
        <f>L189</f>
        <v>28.8</v>
      </c>
      <c r="M188" s="5"/>
      <c r="N188" s="5">
        <f>N189</f>
        <v>28.8</v>
      </c>
    </row>
    <row r="189" spans="1:14" x14ac:dyDescent="0.25">
      <c r="A189" s="8"/>
      <c r="B189" s="8"/>
      <c r="C189" s="7"/>
      <c r="D189" s="7" t="s">
        <v>12</v>
      </c>
      <c r="E189" s="6" t="s">
        <v>11</v>
      </c>
      <c r="F189" s="5">
        <v>28.8</v>
      </c>
      <c r="G189" s="5"/>
      <c r="H189" s="5">
        <v>28.8</v>
      </c>
      <c r="I189" s="5">
        <v>28.8</v>
      </c>
      <c r="J189" s="337"/>
      <c r="K189" s="5">
        <v>28.8</v>
      </c>
      <c r="L189" s="5">
        <v>28.8</v>
      </c>
      <c r="M189" s="5"/>
      <c r="N189" s="5">
        <v>28.8</v>
      </c>
    </row>
    <row r="190" spans="1:14" ht="25.5" x14ac:dyDescent="0.25">
      <c r="A190" s="33"/>
      <c r="B190" s="33"/>
      <c r="C190" s="34" t="s">
        <v>307</v>
      </c>
      <c r="D190" s="33"/>
      <c r="E190" s="32" t="s">
        <v>306</v>
      </c>
      <c r="F190" s="31">
        <f t="shared" ref="F190:N193" si="29">F191</f>
        <v>119</v>
      </c>
      <c r="G190" s="31"/>
      <c r="H190" s="31">
        <f t="shared" si="29"/>
        <v>119</v>
      </c>
      <c r="I190" s="31">
        <f t="shared" si="29"/>
        <v>119</v>
      </c>
      <c r="J190" s="332"/>
      <c r="K190" s="31">
        <f t="shared" si="29"/>
        <v>119</v>
      </c>
      <c r="L190" s="31">
        <f t="shared" si="29"/>
        <v>119</v>
      </c>
      <c r="M190" s="31"/>
      <c r="N190" s="31">
        <f t="shared" si="29"/>
        <v>119</v>
      </c>
    </row>
    <row r="191" spans="1:14" ht="26.25" x14ac:dyDescent="0.25">
      <c r="A191" s="30"/>
      <c r="B191" s="30"/>
      <c r="C191" s="30" t="s">
        <v>305</v>
      </c>
      <c r="D191" s="30"/>
      <c r="E191" s="77" t="s">
        <v>304</v>
      </c>
      <c r="F191" s="28">
        <f t="shared" si="29"/>
        <v>119</v>
      </c>
      <c r="G191" s="28"/>
      <c r="H191" s="28">
        <f t="shared" si="29"/>
        <v>119</v>
      </c>
      <c r="I191" s="28">
        <f t="shared" si="29"/>
        <v>119</v>
      </c>
      <c r="J191" s="333"/>
      <c r="K191" s="28">
        <f t="shared" si="29"/>
        <v>119</v>
      </c>
      <c r="L191" s="28">
        <f t="shared" si="29"/>
        <v>119</v>
      </c>
      <c r="M191" s="28"/>
      <c r="N191" s="28">
        <f t="shared" si="29"/>
        <v>119</v>
      </c>
    </row>
    <row r="192" spans="1:14" ht="26.25" x14ac:dyDescent="0.25">
      <c r="A192" s="208"/>
      <c r="B192" s="208"/>
      <c r="C192" s="208" t="s">
        <v>448</v>
      </c>
      <c r="D192" s="216"/>
      <c r="E192" s="220" t="s">
        <v>447</v>
      </c>
      <c r="F192" s="210">
        <f t="shared" si="29"/>
        <v>119</v>
      </c>
      <c r="G192" s="210"/>
      <c r="H192" s="210">
        <f t="shared" si="29"/>
        <v>119</v>
      </c>
      <c r="I192" s="210">
        <f t="shared" si="29"/>
        <v>119</v>
      </c>
      <c r="J192" s="334"/>
      <c r="K192" s="210">
        <f t="shared" si="29"/>
        <v>119</v>
      </c>
      <c r="L192" s="210">
        <f t="shared" si="29"/>
        <v>119</v>
      </c>
      <c r="M192" s="210"/>
      <c r="N192" s="210">
        <f t="shared" si="29"/>
        <v>119</v>
      </c>
    </row>
    <row r="193" spans="1:14" ht="25.5" x14ac:dyDescent="0.25">
      <c r="A193" s="8"/>
      <c r="B193" s="8"/>
      <c r="C193" s="52" t="s">
        <v>446</v>
      </c>
      <c r="D193" s="52"/>
      <c r="E193" s="10" t="s">
        <v>445</v>
      </c>
      <c r="F193" s="5">
        <f t="shared" si="29"/>
        <v>119</v>
      </c>
      <c r="G193" s="5"/>
      <c r="H193" s="5">
        <f t="shared" si="29"/>
        <v>119</v>
      </c>
      <c r="I193" s="5">
        <f t="shared" si="29"/>
        <v>119</v>
      </c>
      <c r="J193" s="337"/>
      <c r="K193" s="5">
        <f t="shared" si="29"/>
        <v>119</v>
      </c>
      <c r="L193" s="5">
        <f t="shared" si="29"/>
        <v>119</v>
      </c>
      <c r="M193" s="5"/>
      <c r="N193" s="5">
        <f t="shared" si="29"/>
        <v>119</v>
      </c>
    </row>
    <row r="194" spans="1:14" x14ac:dyDescent="0.25">
      <c r="A194" s="8"/>
      <c r="B194" s="8"/>
      <c r="C194" s="52"/>
      <c r="D194" s="7" t="s">
        <v>12</v>
      </c>
      <c r="E194" s="6" t="s">
        <v>11</v>
      </c>
      <c r="F194" s="5">
        <v>119</v>
      </c>
      <c r="G194" s="5"/>
      <c r="H194" s="5">
        <v>119</v>
      </c>
      <c r="I194" s="5">
        <v>119</v>
      </c>
      <c r="J194" s="337"/>
      <c r="K194" s="5">
        <v>119</v>
      </c>
      <c r="L194" s="5">
        <v>119</v>
      </c>
      <c r="M194" s="5"/>
      <c r="N194" s="5">
        <v>119</v>
      </c>
    </row>
    <row r="195" spans="1:14" x14ac:dyDescent="0.25">
      <c r="A195" s="105"/>
      <c r="B195" s="105"/>
      <c r="C195" s="47" t="s">
        <v>52</v>
      </c>
      <c r="D195" s="46"/>
      <c r="E195" s="104" t="s">
        <v>51</v>
      </c>
      <c r="F195" s="103">
        <f t="shared" ref="F195:N197" si="30">F196</f>
        <v>556.4</v>
      </c>
      <c r="G195" s="103"/>
      <c r="H195" s="103">
        <f t="shared" si="30"/>
        <v>556.4</v>
      </c>
      <c r="I195" s="103">
        <f t="shared" si="30"/>
        <v>556.4</v>
      </c>
      <c r="J195" s="339"/>
      <c r="K195" s="103">
        <f t="shared" si="30"/>
        <v>556.4</v>
      </c>
      <c r="L195" s="103">
        <f t="shared" si="30"/>
        <v>556.4</v>
      </c>
      <c r="M195" s="103"/>
      <c r="N195" s="103">
        <f t="shared" si="30"/>
        <v>556.4</v>
      </c>
    </row>
    <row r="196" spans="1:14" ht="25.5" x14ac:dyDescent="0.25">
      <c r="A196" s="98"/>
      <c r="B196" s="98"/>
      <c r="C196" s="43" t="s">
        <v>16</v>
      </c>
      <c r="D196" s="42"/>
      <c r="E196" s="82" t="s">
        <v>15</v>
      </c>
      <c r="F196" s="102">
        <f t="shared" si="30"/>
        <v>556.4</v>
      </c>
      <c r="G196" s="102"/>
      <c r="H196" s="102">
        <f t="shared" si="30"/>
        <v>556.4</v>
      </c>
      <c r="I196" s="102">
        <f t="shared" si="30"/>
        <v>556.4</v>
      </c>
      <c r="J196" s="348"/>
      <c r="K196" s="102">
        <f t="shared" si="30"/>
        <v>556.4</v>
      </c>
      <c r="L196" s="102">
        <f t="shared" si="30"/>
        <v>556.4</v>
      </c>
      <c r="M196" s="102"/>
      <c r="N196" s="102">
        <f t="shared" si="30"/>
        <v>556.4</v>
      </c>
    </row>
    <row r="197" spans="1:14" ht="25.5" x14ac:dyDescent="0.25">
      <c r="A197" s="8"/>
      <c r="B197" s="8"/>
      <c r="C197" s="7" t="s">
        <v>792</v>
      </c>
      <c r="D197" s="7"/>
      <c r="E197" s="293" t="s">
        <v>821</v>
      </c>
      <c r="F197" s="9">
        <f t="shared" si="30"/>
        <v>556.4</v>
      </c>
      <c r="G197" s="9"/>
      <c r="H197" s="9">
        <f t="shared" si="30"/>
        <v>556.4</v>
      </c>
      <c r="I197" s="9">
        <f t="shared" si="30"/>
        <v>556.4</v>
      </c>
      <c r="J197" s="335"/>
      <c r="K197" s="9">
        <f t="shared" si="30"/>
        <v>556.4</v>
      </c>
      <c r="L197" s="9">
        <f t="shared" si="30"/>
        <v>556.4</v>
      </c>
      <c r="M197" s="9"/>
      <c r="N197" s="9">
        <f t="shared" si="30"/>
        <v>556.4</v>
      </c>
    </row>
    <row r="198" spans="1:14" ht="26.25" x14ac:dyDescent="0.25">
      <c r="A198" s="8"/>
      <c r="B198" s="8"/>
      <c r="C198" s="7"/>
      <c r="D198" s="7" t="s">
        <v>57</v>
      </c>
      <c r="E198" s="6" t="s">
        <v>56</v>
      </c>
      <c r="F198" s="9">
        <v>556.4</v>
      </c>
      <c r="G198" s="9"/>
      <c r="H198" s="9">
        <v>556.4</v>
      </c>
      <c r="I198" s="9">
        <v>556.4</v>
      </c>
      <c r="J198" s="335"/>
      <c r="K198" s="9">
        <v>556.4</v>
      </c>
      <c r="L198" s="9">
        <v>556.4</v>
      </c>
      <c r="M198" s="9"/>
      <c r="N198" s="9">
        <v>556.4</v>
      </c>
    </row>
    <row r="199" spans="1:14" x14ac:dyDescent="0.25">
      <c r="A199" s="21"/>
      <c r="B199" s="22" t="s">
        <v>444</v>
      </c>
      <c r="C199" s="21"/>
      <c r="D199" s="21"/>
      <c r="E199" s="20" t="s">
        <v>443</v>
      </c>
      <c r="F199" s="19">
        <f>F201</f>
        <v>5341.6</v>
      </c>
      <c r="G199" s="19">
        <f>G201</f>
        <v>-102.03700000000001</v>
      </c>
      <c r="H199" s="19">
        <f>H201</f>
        <v>5239.5630000000001</v>
      </c>
      <c r="I199" s="19">
        <f>I201</f>
        <v>5341.6</v>
      </c>
      <c r="J199" s="341"/>
      <c r="K199" s="19">
        <f>K201</f>
        <v>5341.6</v>
      </c>
      <c r="L199" s="19">
        <f>L201</f>
        <v>5341.6</v>
      </c>
      <c r="M199" s="19"/>
      <c r="N199" s="19">
        <f>N201</f>
        <v>5341.6</v>
      </c>
    </row>
    <row r="200" spans="1:14" x14ac:dyDescent="0.25">
      <c r="A200" s="21"/>
      <c r="B200" s="22"/>
      <c r="C200" s="21" t="s">
        <v>36</v>
      </c>
      <c r="D200" s="21"/>
      <c r="E200" s="27" t="s">
        <v>35</v>
      </c>
      <c r="F200" s="19">
        <f t="shared" ref="F200:N204" si="31">F201</f>
        <v>5341.6</v>
      </c>
      <c r="G200" s="19">
        <f t="shared" si="31"/>
        <v>-102.03700000000001</v>
      </c>
      <c r="H200" s="19">
        <f t="shared" si="31"/>
        <v>5239.5630000000001</v>
      </c>
      <c r="I200" s="19">
        <f t="shared" si="31"/>
        <v>5341.6</v>
      </c>
      <c r="J200" s="341"/>
      <c r="K200" s="19">
        <f t="shared" si="31"/>
        <v>5341.6</v>
      </c>
      <c r="L200" s="19">
        <f t="shared" si="31"/>
        <v>5341.6</v>
      </c>
      <c r="M200" s="19"/>
      <c r="N200" s="19">
        <f t="shared" si="31"/>
        <v>5341.6</v>
      </c>
    </row>
    <row r="201" spans="1:14" ht="25.5" x14ac:dyDescent="0.25">
      <c r="A201" s="33"/>
      <c r="B201" s="33"/>
      <c r="C201" s="34" t="s">
        <v>435</v>
      </c>
      <c r="D201" s="33"/>
      <c r="E201" s="32" t="s">
        <v>434</v>
      </c>
      <c r="F201" s="31">
        <f t="shared" si="31"/>
        <v>5341.6</v>
      </c>
      <c r="G201" s="31">
        <f t="shared" si="31"/>
        <v>-102.03700000000001</v>
      </c>
      <c r="H201" s="31">
        <f t="shared" si="31"/>
        <v>5239.5630000000001</v>
      </c>
      <c r="I201" s="31">
        <f t="shared" si="31"/>
        <v>5341.6</v>
      </c>
      <c r="J201" s="332"/>
      <c r="K201" s="31">
        <f t="shared" si="31"/>
        <v>5341.6</v>
      </c>
      <c r="L201" s="31">
        <f t="shared" si="31"/>
        <v>5341.6</v>
      </c>
      <c r="M201" s="31"/>
      <c r="N201" s="31">
        <f t="shared" si="31"/>
        <v>5341.6</v>
      </c>
    </row>
    <row r="202" spans="1:14" ht="26.25" x14ac:dyDescent="0.25">
      <c r="A202" s="30"/>
      <c r="B202" s="30"/>
      <c r="C202" s="30" t="s">
        <v>442</v>
      </c>
      <c r="D202" s="30"/>
      <c r="E202" s="50" t="s">
        <v>441</v>
      </c>
      <c r="F202" s="28">
        <f t="shared" si="31"/>
        <v>5341.6</v>
      </c>
      <c r="G202" s="28">
        <f t="shared" si="31"/>
        <v>-102.03700000000001</v>
      </c>
      <c r="H202" s="28">
        <f t="shared" si="31"/>
        <v>5239.5630000000001</v>
      </c>
      <c r="I202" s="28">
        <f t="shared" si="31"/>
        <v>5341.6</v>
      </c>
      <c r="J202" s="333"/>
      <c r="K202" s="28">
        <f t="shared" si="31"/>
        <v>5341.6</v>
      </c>
      <c r="L202" s="28">
        <f t="shared" si="31"/>
        <v>5341.6</v>
      </c>
      <c r="M202" s="28"/>
      <c r="N202" s="28">
        <f t="shared" si="31"/>
        <v>5341.6</v>
      </c>
    </row>
    <row r="203" spans="1:14" ht="26.25" x14ac:dyDescent="0.25">
      <c r="A203" s="208"/>
      <c r="B203" s="208"/>
      <c r="C203" s="208" t="s">
        <v>440</v>
      </c>
      <c r="D203" s="208"/>
      <c r="E203" s="209" t="s">
        <v>439</v>
      </c>
      <c r="F203" s="210">
        <f t="shared" si="31"/>
        <v>5341.6</v>
      </c>
      <c r="G203" s="210">
        <f t="shared" si="31"/>
        <v>-102.03700000000001</v>
      </c>
      <c r="H203" s="210">
        <f t="shared" si="31"/>
        <v>5239.5630000000001</v>
      </c>
      <c r="I203" s="210">
        <f t="shared" si="31"/>
        <v>5341.6</v>
      </c>
      <c r="J203" s="334"/>
      <c r="K203" s="210">
        <f t="shared" si="31"/>
        <v>5341.6</v>
      </c>
      <c r="L203" s="210">
        <f t="shared" si="31"/>
        <v>5341.6</v>
      </c>
      <c r="M203" s="210"/>
      <c r="N203" s="210">
        <f t="shared" si="31"/>
        <v>5341.6</v>
      </c>
    </row>
    <row r="204" spans="1:14" ht="39" x14ac:dyDescent="0.25">
      <c r="A204" s="8"/>
      <c r="B204" s="8"/>
      <c r="C204" s="7" t="s">
        <v>438</v>
      </c>
      <c r="D204" s="57"/>
      <c r="E204" s="6" t="s">
        <v>640</v>
      </c>
      <c r="F204" s="9">
        <f t="shared" si="31"/>
        <v>5341.6</v>
      </c>
      <c r="G204" s="9">
        <f t="shared" si="31"/>
        <v>-102.03700000000001</v>
      </c>
      <c r="H204" s="9">
        <f t="shared" si="31"/>
        <v>5239.5630000000001</v>
      </c>
      <c r="I204" s="9">
        <f t="shared" si="31"/>
        <v>5341.6</v>
      </c>
      <c r="J204" s="335"/>
      <c r="K204" s="9">
        <f t="shared" si="31"/>
        <v>5341.6</v>
      </c>
      <c r="L204" s="9">
        <f t="shared" si="31"/>
        <v>5341.6</v>
      </c>
      <c r="M204" s="9"/>
      <c r="N204" s="9">
        <f t="shared" si="31"/>
        <v>5341.6</v>
      </c>
    </row>
    <row r="205" spans="1:14" x14ac:dyDescent="0.25">
      <c r="A205" s="8"/>
      <c r="B205" s="8"/>
      <c r="C205" s="7"/>
      <c r="D205" s="7" t="s">
        <v>12</v>
      </c>
      <c r="E205" s="6" t="s">
        <v>11</v>
      </c>
      <c r="F205" s="9">
        <v>5341.6</v>
      </c>
      <c r="G205" s="9">
        <v>-102.03700000000001</v>
      </c>
      <c r="H205" s="9">
        <f>SUM(F205:G205)</f>
        <v>5239.5630000000001</v>
      </c>
      <c r="I205" s="9">
        <v>5341.6</v>
      </c>
      <c r="J205" s="335"/>
      <c r="K205" s="9">
        <v>5341.6</v>
      </c>
      <c r="L205" s="9">
        <v>5341.6</v>
      </c>
      <c r="M205" s="9"/>
      <c r="N205" s="9">
        <v>5341.6</v>
      </c>
    </row>
    <row r="206" spans="1:14" x14ac:dyDescent="0.25">
      <c r="A206" s="36"/>
      <c r="B206" s="22" t="s">
        <v>437</v>
      </c>
      <c r="C206" s="21"/>
      <c r="D206" s="21"/>
      <c r="E206" s="20" t="s">
        <v>436</v>
      </c>
      <c r="F206" s="19">
        <f t="shared" ref="F206:N207" si="32">F207</f>
        <v>127400.46888</v>
      </c>
      <c r="G206" s="19">
        <f t="shared" si="32"/>
        <v>245.65943000000001</v>
      </c>
      <c r="H206" s="19">
        <f t="shared" si="32"/>
        <v>127646.12831000001</v>
      </c>
      <c r="I206" s="19">
        <f t="shared" si="32"/>
        <v>69588.512069999997</v>
      </c>
      <c r="J206" s="19">
        <f t="shared" si="32"/>
        <v>-143.62244000000001</v>
      </c>
      <c r="K206" s="19">
        <f t="shared" si="32"/>
        <v>69444.889630000005</v>
      </c>
      <c r="L206" s="19">
        <f t="shared" si="32"/>
        <v>59618.9</v>
      </c>
      <c r="M206" s="19"/>
      <c r="N206" s="19">
        <f t="shared" si="32"/>
        <v>59618.9</v>
      </c>
    </row>
    <row r="207" spans="1:14" x14ac:dyDescent="0.25">
      <c r="A207" s="36"/>
      <c r="B207" s="22"/>
      <c r="C207" s="21" t="s">
        <v>36</v>
      </c>
      <c r="D207" s="21"/>
      <c r="E207" s="27" t="s">
        <v>35</v>
      </c>
      <c r="F207" s="19">
        <f t="shared" si="32"/>
        <v>127400.46888</v>
      </c>
      <c r="G207" s="19">
        <f t="shared" si="32"/>
        <v>245.65943000000001</v>
      </c>
      <c r="H207" s="19">
        <f t="shared" si="32"/>
        <v>127646.12831000001</v>
      </c>
      <c r="I207" s="19">
        <f t="shared" si="32"/>
        <v>69588.512069999997</v>
      </c>
      <c r="J207" s="19">
        <f t="shared" si="32"/>
        <v>-143.62244000000001</v>
      </c>
      <c r="K207" s="19">
        <f t="shared" si="32"/>
        <v>69444.889630000005</v>
      </c>
      <c r="L207" s="19">
        <f t="shared" si="32"/>
        <v>59618.9</v>
      </c>
      <c r="M207" s="19"/>
      <c r="N207" s="19">
        <f t="shared" si="32"/>
        <v>59618.9</v>
      </c>
    </row>
    <row r="208" spans="1:14" ht="25.5" x14ac:dyDescent="0.25">
      <c r="A208" s="33"/>
      <c r="B208" s="33"/>
      <c r="C208" s="34" t="s">
        <v>435</v>
      </c>
      <c r="D208" s="33"/>
      <c r="E208" s="32" t="s">
        <v>434</v>
      </c>
      <c r="F208" s="31">
        <f t="shared" ref="F208:L208" si="33">F209+F238</f>
        <v>127400.46888</v>
      </c>
      <c r="G208" s="31">
        <f t="shared" si="33"/>
        <v>245.65943000000001</v>
      </c>
      <c r="H208" s="31">
        <f t="shared" si="33"/>
        <v>127646.12831000001</v>
      </c>
      <c r="I208" s="31">
        <f t="shared" si="33"/>
        <v>69588.512069999997</v>
      </c>
      <c r="J208" s="31">
        <f t="shared" si="33"/>
        <v>-143.62244000000001</v>
      </c>
      <c r="K208" s="31">
        <f t="shared" si="33"/>
        <v>69444.889630000005</v>
      </c>
      <c r="L208" s="31">
        <f t="shared" si="33"/>
        <v>59618.9</v>
      </c>
      <c r="M208" s="31"/>
      <c r="N208" s="31">
        <f>N209+N238</f>
        <v>59618.9</v>
      </c>
    </row>
    <row r="209" spans="1:14" ht="26.25" x14ac:dyDescent="0.25">
      <c r="A209" s="30"/>
      <c r="B209" s="30"/>
      <c r="C209" s="30" t="s">
        <v>433</v>
      </c>
      <c r="D209" s="30"/>
      <c r="E209" s="50" t="s">
        <v>432</v>
      </c>
      <c r="F209" s="28">
        <f>F210+F215+F220+F229+F232</f>
        <v>126469.56888000001</v>
      </c>
      <c r="G209" s="28">
        <f>G210+G215+G220+G229+G232</f>
        <v>176.68718000000001</v>
      </c>
      <c r="H209" s="28">
        <f t="shared" ref="H209:N209" si="34">H210+H215+H220+H229+H232</f>
        <v>126646.25606000001</v>
      </c>
      <c r="I209" s="28">
        <f t="shared" si="34"/>
        <v>69288.112070000003</v>
      </c>
      <c r="J209" s="28">
        <f t="shared" si="34"/>
        <v>-143.62244000000001</v>
      </c>
      <c r="K209" s="28">
        <f t="shared" si="34"/>
        <v>69144.489630000011</v>
      </c>
      <c r="L209" s="28">
        <f t="shared" si="34"/>
        <v>59618.9</v>
      </c>
      <c r="M209" s="28"/>
      <c r="N209" s="28">
        <f t="shared" si="34"/>
        <v>59618.9</v>
      </c>
    </row>
    <row r="210" spans="1:14" ht="26.25" x14ac:dyDescent="0.25">
      <c r="A210" s="208"/>
      <c r="B210" s="208"/>
      <c r="C210" s="208" t="s">
        <v>431</v>
      </c>
      <c r="D210" s="208"/>
      <c r="E210" s="209" t="s">
        <v>885</v>
      </c>
      <c r="F210" s="210">
        <f>F211+F213</f>
        <v>542.79999999999995</v>
      </c>
      <c r="G210" s="210">
        <f>G211+G213</f>
        <v>-3.3</v>
      </c>
      <c r="H210" s="210">
        <f t="shared" ref="H210:N210" si="35">H211+H213</f>
        <v>539.5</v>
      </c>
      <c r="I210" s="210">
        <f t="shared" si="35"/>
        <v>542.79999999999995</v>
      </c>
      <c r="J210" s="210"/>
      <c r="K210" s="210">
        <f t="shared" si="35"/>
        <v>542.79999999999995</v>
      </c>
      <c r="L210" s="210">
        <f t="shared" si="35"/>
        <v>542.79999999999995</v>
      </c>
      <c r="M210" s="210"/>
      <c r="N210" s="210">
        <f t="shared" si="35"/>
        <v>542.79999999999995</v>
      </c>
    </row>
    <row r="211" spans="1:14" ht="26.25" x14ac:dyDescent="0.25">
      <c r="A211" s="7"/>
      <c r="B211" s="7"/>
      <c r="C211" s="7" t="s">
        <v>819</v>
      </c>
      <c r="D211" s="57"/>
      <c r="E211" s="6" t="s">
        <v>430</v>
      </c>
      <c r="F211" s="9">
        <f>SUM(F212)</f>
        <v>3.3</v>
      </c>
      <c r="G211" s="9">
        <f>SUM(G212)</f>
        <v>-3.3</v>
      </c>
      <c r="H211" s="9">
        <f>SUM(H212)</f>
        <v>0</v>
      </c>
      <c r="I211" s="9">
        <f>SUM(I212)</f>
        <v>542.79999999999995</v>
      </c>
      <c r="J211" s="335"/>
      <c r="K211" s="9">
        <f>SUM(K212)</f>
        <v>542.79999999999995</v>
      </c>
      <c r="L211" s="9">
        <f>SUM(L212)</f>
        <v>542.79999999999995</v>
      </c>
      <c r="M211" s="9"/>
      <c r="N211" s="9">
        <f>SUM(N212)</f>
        <v>542.79999999999995</v>
      </c>
    </row>
    <row r="212" spans="1:14" x14ac:dyDescent="0.25">
      <c r="A212" s="7"/>
      <c r="B212" s="7"/>
      <c r="C212" s="7"/>
      <c r="D212" s="7" t="s">
        <v>12</v>
      </c>
      <c r="E212" s="6" t="s">
        <v>11</v>
      </c>
      <c r="F212" s="9">
        <v>3.3</v>
      </c>
      <c r="G212" s="9">
        <v>-3.3</v>
      </c>
      <c r="H212" s="9">
        <v>0</v>
      </c>
      <c r="I212" s="9">
        <v>542.79999999999995</v>
      </c>
      <c r="J212" s="335"/>
      <c r="K212" s="9">
        <v>542.79999999999995</v>
      </c>
      <c r="L212" s="9">
        <v>542.79999999999995</v>
      </c>
      <c r="M212" s="9"/>
      <c r="N212" s="9">
        <v>542.79999999999995</v>
      </c>
    </row>
    <row r="213" spans="1:14" x14ac:dyDescent="0.25">
      <c r="A213" s="7"/>
      <c r="B213" s="7"/>
      <c r="C213" s="7" t="s">
        <v>884</v>
      </c>
      <c r="D213" s="57"/>
      <c r="E213" s="6" t="s">
        <v>883</v>
      </c>
      <c r="F213" s="9">
        <f>SUM(F214)</f>
        <v>539.5</v>
      </c>
      <c r="G213" s="9"/>
      <c r="H213" s="9">
        <f>SUM(H214)</f>
        <v>539.5</v>
      </c>
      <c r="I213" s="9">
        <f>SUM(I214)</f>
        <v>0</v>
      </c>
      <c r="J213" s="335"/>
      <c r="K213" s="9">
        <f>SUM(K214)</f>
        <v>0</v>
      </c>
      <c r="L213" s="9">
        <f>SUM(L214)</f>
        <v>0</v>
      </c>
      <c r="M213" s="9"/>
      <c r="N213" s="9">
        <f>SUM(N214)</f>
        <v>0</v>
      </c>
    </row>
    <row r="214" spans="1:14" x14ac:dyDescent="0.25">
      <c r="A214" s="7"/>
      <c r="B214" s="7"/>
      <c r="C214" s="7"/>
      <c r="D214" s="7" t="s">
        <v>12</v>
      </c>
      <c r="E214" s="6" t="s">
        <v>11</v>
      </c>
      <c r="F214" s="9">
        <v>539.5</v>
      </c>
      <c r="G214" s="9"/>
      <c r="H214" s="9">
        <v>539.5</v>
      </c>
      <c r="I214" s="9">
        <v>0</v>
      </c>
      <c r="J214" s="335"/>
      <c r="K214" s="9">
        <v>0</v>
      </c>
      <c r="L214" s="9">
        <v>0</v>
      </c>
      <c r="M214" s="9"/>
      <c r="N214" s="9">
        <v>0</v>
      </c>
    </row>
    <row r="215" spans="1:14" x14ac:dyDescent="0.25">
      <c r="A215" s="208"/>
      <c r="B215" s="208"/>
      <c r="C215" s="208" t="s">
        <v>429</v>
      </c>
      <c r="D215" s="208"/>
      <c r="E215" s="209" t="s">
        <v>428</v>
      </c>
      <c r="F215" s="210">
        <f t="shared" ref="F215:L215" si="36">F216+F218</f>
        <v>285</v>
      </c>
      <c r="G215" s="210">
        <f t="shared" si="36"/>
        <v>-85</v>
      </c>
      <c r="H215" s="210">
        <f t="shared" si="36"/>
        <v>200</v>
      </c>
      <c r="I215" s="210">
        <f t="shared" si="36"/>
        <v>4800</v>
      </c>
      <c r="J215" s="210">
        <f t="shared" si="36"/>
        <v>0</v>
      </c>
      <c r="K215" s="210">
        <f t="shared" si="36"/>
        <v>4800</v>
      </c>
      <c r="L215" s="210">
        <f t="shared" si="36"/>
        <v>0</v>
      </c>
      <c r="M215" s="210"/>
      <c r="N215" s="210">
        <f>N216+N218</f>
        <v>0</v>
      </c>
    </row>
    <row r="216" spans="1:14" ht="26.25" x14ac:dyDescent="0.25">
      <c r="A216" s="7"/>
      <c r="B216" s="7"/>
      <c r="C216" s="7" t="s">
        <v>818</v>
      </c>
      <c r="D216" s="57"/>
      <c r="E216" s="6" t="s">
        <v>609</v>
      </c>
      <c r="F216" s="9">
        <f>F217</f>
        <v>285</v>
      </c>
      <c r="G216" s="9">
        <f>G217</f>
        <v>-85</v>
      </c>
      <c r="H216" s="9">
        <f>H217</f>
        <v>200</v>
      </c>
      <c r="I216" s="9">
        <f>SUM(I217)</f>
        <v>0</v>
      </c>
      <c r="J216" s="335"/>
      <c r="K216" s="9">
        <f>SUM(K217)</f>
        <v>0</v>
      </c>
      <c r="L216" s="9">
        <f>SUM(L217)</f>
        <v>0</v>
      </c>
      <c r="M216" s="9"/>
      <c r="N216" s="9">
        <f>SUM(N217)</f>
        <v>0</v>
      </c>
    </row>
    <row r="217" spans="1:14" x14ac:dyDescent="0.25">
      <c r="A217" s="7"/>
      <c r="B217" s="7"/>
      <c r="C217" s="7"/>
      <c r="D217" s="7" t="s">
        <v>12</v>
      </c>
      <c r="E217" s="6" t="s">
        <v>11</v>
      </c>
      <c r="F217" s="9">
        <v>285</v>
      </c>
      <c r="G217" s="9">
        <v>-85</v>
      </c>
      <c r="H217" s="9">
        <v>200</v>
      </c>
      <c r="I217" s="9">
        <v>0</v>
      </c>
      <c r="J217" s="335"/>
      <c r="K217" s="9">
        <v>0</v>
      </c>
      <c r="L217" s="9">
        <v>0</v>
      </c>
      <c r="M217" s="9"/>
      <c r="N217" s="9">
        <v>0</v>
      </c>
    </row>
    <row r="218" spans="1:14" ht="26.25" x14ac:dyDescent="0.25">
      <c r="A218" s="7"/>
      <c r="B218" s="7"/>
      <c r="C218" s="7" t="s">
        <v>888</v>
      </c>
      <c r="D218" s="57"/>
      <c r="E218" s="6" t="s">
        <v>889</v>
      </c>
      <c r="F218" s="9">
        <f>F219</f>
        <v>0</v>
      </c>
      <c r="G218" s="9"/>
      <c r="H218" s="9">
        <f>H219</f>
        <v>0</v>
      </c>
      <c r="I218" s="9">
        <f>I219</f>
        <v>4800</v>
      </c>
      <c r="J218" s="9"/>
      <c r="K218" s="9">
        <f>SUM(K219)</f>
        <v>4800</v>
      </c>
      <c r="L218" s="9">
        <f>SUM(L219)</f>
        <v>0</v>
      </c>
      <c r="M218" s="9"/>
      <c r="N218" s="9">
        <f>SUM(N219)</f>
        <v>0</v>
      </c>
    </row>
    <row r="219" spans="1:14" x14ac:dyDescent="0.25">
      <c r="A219" s="7"/>
      <c r="B219" s="7"/>
      <c r="C219" s="7"/>
      <c r="D219" s="7" t="s">
        <v>12</v>
      </c>
      <c r="E219" s="6" t="s">
        <v>11</v>
      </c>
      <c r="F219" s="9">
        <v>0</v>
      </c>
      <c r="G219" s="9"/>
      <c r="H219" s="9">
        <v>0</v>
      </c>
      <c r="I219" s="9">
        <v>4800</v>
      </c>
      <c r="J219" s="335"/>
      <c r="K219" s="9">
        <v>4800</v>
      </c>
      <c r="L219" s="9">
        <v>0</v>
      </c>
      <c r="M219" s="9"/>
      <c r="N219" s="9">
        <v>0</v>
      </c>
    </row>
    <row r="220" spans="1:14" ht="26.25" x14ac:dyDescent="0.25">
      <c r="A220" s="208"/>
      <c r="B220" s="208"/>
      <c r="C220" s="208" t="s">
        <v>427</v>
      </c>
      <c r="D220" s="208"/>
      <c r="E220" s="209" t="s">
        <v>426</v>
      </c>
      <c r="F220" s="210">
        <f t="shared" ref="F220:L220" si="37">F221+F225+F227</f>
        <v>43526.311170000001</v>
      </c>
      <c r="G220" s="210">
        <f t="shared" si="37"/>
        <v>121.36475</v>
      </c>
      <c r="H220" s="210">
        <f t="shared" si="37"/>
        <v>43647.675919999994</v>
      </c>
      <c r="I220" s="210">
        <f t="shared" si="37"/>
        <v>30506.400000000001</v>
      </c>
      <c r="J220" s="210">
        <f t="shared" si="37"/>
        <v>0</v>
      </c>
      <c r="K220" s="210">
        <f t="shared" si="37"/>
        <v>30506.400000000001</v>
      </c>
      <c r="L220" s="210">
        <f t="shared" si="37"/>
        <v>27092.2</v>
      </c>
      <c r="M220" s="210"/>
      <c r="N220" s="210">
        <f>N221+N225+N227</f>
        <v>27092.2</v>
      </c>
    </row>
    <row r="221" spans="1:14" x14ac:dyDescent="0.25">
      <c r="A221" s="7"/>
      <c r="B221" s="7"/>
      <c r="C221" s="7" t="s">
        <v>813</v>
      </c>
      <c r="D221" s="57"/>
      <c r="E221" s="6" t="s">
        <v>425</v>
      </c>
      <c r="F221" s="9">
        <f>F223+F224</f>
        <v>29030.11117</v>
      </c>
      <c r="G221" s="9">
        <f>G223+G224</f>
        <v>-7.4671799999999999</v>
      </c>
      <c r="H221" s="9">
        <f>H223+H224</f>
        <v>29022.643989999997</v>
      </c>
      <c r="I221" s="9">
        <f>I223+I224</f>
        <v>27092.2</v>
      </c>
      <c r="J221" s="335"/>
      <c r="K221" s="9">
        <f>K223+K224</f>
        <v>27092.2</v>
      </c>
      <c r="L221" s="9">
        <f>L223+L224</f>
        <v>27092.2</v>
      </c>
      <c r="M221" s="9"/>
      <c r="N221" s="9">
        <f>N223+N224</f>
        <v>27092.2</v>
      </c>
    </row>
    <row r="222" spans="1:14" x14ac:dyDescent="0.25">
      <c r="A222" s="7"/>
      <c r="B222" s="7"/>
      <c r="C222" s="7"/>
      <c r="D222" s="7" t="s">
        <v>12</v>
      </c>
      <c r="E222" s="6" t="s">
        <v>11</v>
      </c>
      <c r="F222" s="9">
        <f>SUM(F223+F224)</f>
        <v>29030.11117</v>
      </c>
      <c r="G222" s="9">
        <f>SUM(G223+G224)</f>
        <v>-7.4671799999999999</v>
      </c>
      <c r="H222" s="9">
        <f>SUM(H223+H224)</f>
        <v>29022.643989999997</v>
      </c>
      <c r="I222" s="9">
        <f>SUM(I223+I224)</f>
        <v>27092.2</v>
      </c>
      <c r="J222" s="335"/>
      <c r="K222" s="9">
        <f>SUM(K223+K224)</f>
        <v>27092.2</v>
      </c>
      <c r="L222" s="9">
        <f>SUM(L223+L224)</f>
        <v>27092.2</v>
      </c>
      <c r="M222" s="9"/>
      <c r="N222" s="9">
        <f>SUM(N223+N224)</f>
        <v>27092.2</v>
      </c>
    </row>
    <row r="223" spans="1:14" x14ac:dyDescent="0.25">
      <c r="A223" s="7"/>
      <c r="B223" s="7"/>
      <c r="C223" s="7"/>
      <c r="D223" s="7"/>
      <c r="E223" s="6" t="s">
        <v>234</v>
      </c>
      <c r="F223" s="9">
        <v>26127.1</v>
      </c>
      <c r="G223" s="9"/>
      <c r="H223" s="9">
        <v>26127.1</v>
      </c>
      <c r="I223" s="9">
        <v>24383</v>
      </c>
      <c r="J223" s="335"/>
      <c r="K223" s="9">
        <v>24383</v>
      </c>
      <c r="L223" s="9">
        <v>24383</v>
      </c>
      <c r="M223" s="9"/>
      <c r="N223" s="9">
        <v>24383</v>
      </c>
    </row>
    <row r="224" spans="1:14" x14ac:dyDescent="0.25">
      <c r="A224" s="7"/>
      <c r="B224" s="7"/>
      <c r="C224" s="7"/>
      <c r="D224" s="7"/>
      <c r="E224" s="6" t="s">
        <v>106</v>
      </c>
      <c r="F224" s="9">
        <v>2903.0111700000002</v>
      </c>
      <c r="G224" s="261">
        <v>-7.4671799999999999</v>
      </c>
      <c r="H224" s="9">
        <f>SUM(F224:G224)</f>
        <v>2895.5439900000001</v>
      </c>
      <c r="I224" s="9">
        <v>2709.2</v>
      </c>
      <c r="J224" s="335"/>
      <c r="K224" s="9">
        <v>2709.2</v>
      </c>
      <c r="L224" s="9">
        <v>2709.2</v>
      </c>
      <c r="M224" s="9"/>
      <c r="N224" s="9">
        <v>2709.2</v>
      </c>
    </row>
    <row r="225" spans="1:14" x14ac:dyDescent="0.25">
      <c r="A225" s="7"/>
      <c r="B225" s="7"/>
      <c r="C225" s="7" t="s">
        <v>817</v>
      </c>
      <c r="D225" s="57"/>
      <c r="E225" s="6" t="s">
        <v>424</v>
      </c>
      <c r="F225" s="9">
        <f>F226</f>
        <v>4858.5</v>
      </c>
      <c r="G225" s="9"/>
      <c r="H225" s="9">
        <f>H226</f>
        <v>4858.5</v>
      </c>
      <c r="I225" s="9">
        <f>I226</f>
        <v>2214.1999999999998</v>
      </c>
      <c r="J225" s="9">
        <f>J226</f>
        <v>0</v>
      </c>
      <c r="K225" s="9">
        <f>K226</f>
        <v>2214.1999999999998</v>
      </c>
      <c r="L225" s="9">
        <f>L226</f>
        <v>0</v>
      </c>
      <c r="M225" s="9"/>
      <c r="N225" s="9">
        <f>N226</f>
        <v>0</v>
      </c>
    </row>
    <row r="226" spans="1:14" x14ac:dyDescent="0.25">
      <c r="A226" s="7"/>
      <c r="B226" s="7"/>
      <c r="C226" s="7"/>
      <c r="D226" s="7" t="s">
        <v>12</v>
      </c>
      <c r="E226" s="6" t="s">
        <v>11</v>
      </c>
      <c r="F226" s="9">
        <f>4060.9+797.6</f>
        <v>4858.5</v>
      </c>
      <c r="G226" s="9"/>
      <c r="H226" s="9">
        <f>4060.9+797.6</f>
        <v>4858.5</v>
      </c>
      <c r="I226" s="9">
        <v>2214.1999999999998</v>
      </c>
      <c r="J226" s="335"/>
      <c r="K226" s="9">
        <f>488.3+1200+525.9</f>
        <v>2214.1999999999998</v>
      </c>
      <c r="L226" s="9">
        <v>0</v>
      </c>
      <c r="M226" s="9"/>
      <c r="N226" s="9">
        <v>0</v>
      </c>
    </row>
    <row r="227" spans="1:14" x14ac:dyDescent="0.25">
      <c r="A227" s="7"/>
      <c r="B227" s="7"/>
      <c r="C227" s="7" t="s">
        <v>816</v>
      </c>
      <c r="D227" s="57"/>
      <c r="E227" s="6" t="s">
        <v>423</v>
      </c>
      <c r="F227" s="9">
        <f t="shared" ref="F227:L227" si="38">F228</f>
        <v>9637.6999999999989</v>
      </c>
      <c r="G227" s="9">
        <f t="shared" si="38"/>
        <v>128.83193</v>
      </c>
      <c r="H227" s="9">
        <f t="shared" si="38"/>
        <v>9766.5319299999992</v>
      </c>
      <c r="I227" s="9">
        <f t="shared" si="38"/>
        <v>1200</v>
      </c>
      <c r="J227" s="9">
        <f t="shared" si="38"/>
        <v>0</v>
      </c>
      <c r="K227" s="9">
        <f t="shared" si="38"/>
        <v>1200</v>
      </c>
      <c r="L227" s="9">
        <f t="shared" si="38"/>
        <v>0</v>
      </c>
      <c r="M227" s="9"/>
      <c r="N227" s="9">
        <f>N228</f>
        <v>0</v>
      </c>
    </row>
    <row r="228" spans="1:14" x14ac:dyDescent="0.25">
      <c r="A228" s="91"/>
      <c r="B228" s="91"/>
      <c r="C228" s="91"/>
      <c r="D228" s="7" t="s">
        <v>12</v>
      </c>
      <c r="E228" s="6" t="s">
        <v>11</v>
      </c>
      <c r="F228" s="9">
        <f>8354.4+1283.3</f>
        <v>9637.6999999999989</v>
      </c>
      <c r="G228" s="261">
        <f>102.037+85-58.20507</f>
        <v>128.83193</v>
      </c>
      <c r="H228" s="9">
        <f>SUM(F228:G228)</f>
        <v>9766.5319299999992</v>
      </c>
      <c r="I228" s="9">
        <v>1200</v>
      </c>
      <c r="J228" s="335"/>
      <c r="K228" s="9">
        <v>1200</v>
      </c>
      <c r="L228" s="9">
        <v>0</v>
      </c>
      <c r="M228" s="9"/>
      <c r="N228" s="9">
        <v>0</v>
      </c>
    </row>
    <row r="229" spans="1:14" x14ac:dyDescent="0.25">
      <c r="A229" s="208"/>
      <c r="B229" s="208"/>
      <c r="C229" s="208" t="s">
        <v>422</v>
      </c>
      <c r="D229" s="208"/>
      <c r="E229" s="209" t="s">
        <v>421</v>
      </c>
      <c r="F229" s="210">
        <f t="shared" ref="F229:N230" si="39">F230</f>
        <v>31983.9</v>
      </c>
      <c r="G229" s="210"/>
      <c r="H229" s="210">
        <f t="shared" si="39"/>
        <v>31983.9</v>
      </c>
      <c r="I229" s="210">
        <f t="shared" si="39"/>
        <v>31983.9</v>
      </c>
      <c r="J229" s="334"/>
      <c r="K229" s="210">
        <f t="shared" si="39"/>
        <v>31983.9</v>
      </c>
      <c r="L229" s="210">
        <f t="shared" si="39"/>
        <v>31983.9</v>
      </c>
      <c r="M229" s="210"/>
      <c r="N229" s="210">
        <f t="shared" si="39"/>
        <v>31983.9</v>
      </c>
    </row>
    <row r="230" spans="1:14" ht="26.25" x14ac:dyDescent="0.25">
      <c r="A230" s="7"/>
      <c r="B230" s="7"/>
      <c r="C230" s="7" t="s">
        <v>815</v>
      </c>
      <c r="D230" s="57"/>
      <c r="E230" s="6" t="s">
        <v>420</v>
      </c>
      <c r="F230" s="9">
        <f t="shared" si="39"/>
        <v>31983.9</v>
      </c>
      <c r="G230" s="9"/>
      <c r="H230" s="9">
        <f t="shared" si="39"/>
        <v>31983.9</v>
      </c>
      <c r="I230" s="9">
        <f t="shared" si="39"/>
        <v>31983.9</v>
      </c>
      <c r="J230" s="335"/>
      <c r="K230" s="9">
        <f t="shared" si="39"/>
        <v>31983.9</v>
      </c>
      <c r="L230" s="9">
        <f t="shared" si="39"/>
        <v>31983.9</v>
      </c>
      <c r="M230" s="9"/>
      <c r="N230" s="9">
        <f t="shared" si="39"/>
        <v>31983.9</v>
      </c>
    </row>
    <row r="231" spans="1:14" x14ac:dyDescent="0.25">
      <c r="A231" s="7"/>
      <c r="B231" s="7"/>
      <c r="C231" s="7"/>
      <c r="D231" s="7" t="s">
        <v>12</v>
      </c>
      <c r="E231" s="6" t="s">
        <v>11</v>
      </c>
      <c r="F231" s="9">
        <v>31983.9</v>
      </c>
      <c r="G231" s="9"/>
      <c r="H231" s="9">
        <v>31983.9</v>
      </c>
      <c r="I231" s="9">
        <v>31983.9</v>
      </c>
      <c r="J231" s="335"/>
      <c r="K231" s="9">
        <v>31983.9</v>
      </c>
      <c r="L231" s="9">
        <v>31983.9</v>
      </c>
      <c r="M231" s="9"/>
      <c r="N231" s="9">
        <v>31983.9</v>
      </c>
    </row>
    <row r="232" spans="1:14" ht="26.25" x14ac:dyDescent="0.25">
      <c r="A232" s="208"/>
      <c r="B232" s="208"/>
      <c r="C232" s="208" t="s">
        <v>851</v>
      </c>
      <c r="D232" s="208"/>
      <c r="E232" s="209" t="s">
        <v>419</v>
      </c>
      <c r="F232" s="210">
        <f t="shared" ref="F232:K233" si="40">F233</f>
        <v>50131.557710000001</v>
      </c>
      <c r="G232" s="210">
        <f t="shared" si="40"/>
        <v>143.62243000000001</v>
      </c>
      <c r="H232" s="210">
        <f t="shared" si="40"/>
        <v>50275.180140000004</v>
      </c>
      <c r="I232" s="210">
        <f t="shared" si="40"/>
        <v>1455.01207</v>
      </c>
      <c r="J232" s="210">
        <f t="shared" si="40"/>
        <v>-143.62244000000001</v>
      </c>
      <c r="K232" s="210">
        <f t="shared" si="40"/>
        <v>1311.3896299999999</v>
      </c>
      <c r="L232" s="210">
        <v>0</v>
      </c>
      <c r="M232" s="210"/>
      <c r="N232" s="210">
        <v>0</v>
      </c>
    </row>
    <row r="233" spans="1:14" x14ac:dyDescent="0.25">
      <c r="A233" s="7"/>
      <c r="B233" s="7"/>
      <c r="C233" s="7" t="s">
        <v>852</v>
      </c>
      <c r="D233" s="7"/>
      <c r="E233" s="6" t="s">
        <v>418</v>
      </c>
      <c r="F233" s="9">
        <f t="shared" si="40"/>
        <v>50131.557710000001</v>
      </c>
      <c r="G233" s="9">
        <f t="shared" si="40"/>
        <v>143.62243000000001</v>
      </c>
      <c r="H233" s="9">
        <f t="shared" si="40"/>
        <v>50275.180140000004</v>
      </c>
      <c r="I233" s="9">
        <f t="shared" si="40"/>
        <v>1455.01207</v>
      </c>
      <c r="J233" s="9">
        <f t="shared" si="40"/>
        <v>-143.62244000000001</v>
      </c>
      <c r="K233" s="9">
        <f t="shared" si="40"/>
        <v>1311.3896299999999</v>
      </c>
      <c r="L233" s="9">
        <v>0</v>
      </c>
      <c r="M233" s="9"/>
      <c r="N233" s="9">
        <v>0</v>
      </c>
    </row>
    <row r="234" spans="1:14" x14ac:dyDescent="0.25">
      <c r="A234" s="7"/>
      <c r="B234" s="7"/>
      <c r="C234" s="7"/>
      <c r="D234" s="7" t="s">
        <v>12</v>
      </c>
      <c r="E234" s="6" t="s">
        <v>11</v>
      </c>
      <c r="F234" s="9">
        <f t="shared" ref="F234:K234" si="41">F235+F236+F237</f>
        <v>50131.557710000001</v>
      </c>
      <c r="G234" s="9">
        <f t="shared" si="41"/>
        <v>143.62243000000001</v>
      </c>
      <c r="H234" s="9">
        <f t="shared" si="41"/>
        <v>50275.180140000004</v>
      </c>
      <c r="I234" s="9">
        <f t="shared" si="41"/>
        <v>1455.01207</v>
      </c>
      <c r="J234" s="9">
        <f t="shared" si="41"/>
        <v>-143.62244000000001</v>
      </c>
      <c r="K234" s="9">
        <f t="shared" si="41"/>
        <v>1311.3896299999999</v>
      </c>
      <c r="L234" s="9">
        <v>0</v>
      </c>
      <c r="M234" s="9"/>
      <c r="N234" s="9">
        <v>0</v>
      </c>
    </row>
    <row r="235" spans="1:14" x14ac:dyDescent="0.25">
      <c r="A235" s="7"/>
      <c r="B235" s="7"/>
      <c r="C235" s="7"/>
      <c r="D235" s="7"/>
      <c r="E235" s="6" t="s">
        <v>115</v>
      </c>
      <c r="F235" s="9">
        <v>47403.956680000003</v>
      </c>
      <c r="G235" s="9"/>
      <c r="H235" s="9">
        <v>47403.956680000003</v>
      </c>
      <c r="I235" s="9">
        <v>0</v>
      </c>
      <c r="J235" s="9"/>
      <c r="K235" s="9">
        <v>0</v>
      </c>
      <c r="L235" s="9">
        <v>0</v>
      </c>
      <c r="M235" s="9"/>
      <c r="N235" s="9">
        <v>0</v>
      </c>
    </row>
    <row r="236" spans="1:14" x14ac:dyDescent="0.25">
      <c r="A236" s="7"/>
      <c r="B236" s="7"/>
      <c r="C236" s="7"/>
      <c r="D236" s="7"/>
      <c r="E236" s="6" t="s">
        <v>114</v>
      </c>
      <c r="F236" s="9">
        <v>2494.9450700000002</v>
      </c>
      <c r="G236" s="9"/>
      <c r="H236" s="9">
        <v>2494.9450700000002</v>
      </c>
      <c r="I236" s="9">
        <v>0</v>
      </c>
      <c r="J236" s="9"/>
      <c r="K236" s="9">
        <v>0</v>
      </c>
      <c r="L236" s="9">
        <v>0</v>
      </c>
      <c r="M236" s="9"/>
      <c r="N236" s="9">
        <v>0</v>
      </c>
    </row>
    <row r="237" spans="1:14" x14ac:dyDescent="0.25">
      <c r="A237" s="7"/>
      <c r="B237" s="7"/>
      <c r="C237" s="7"/>
      <c r="D237" s="7"/>
      <c r="E237" s="6" t="s">
        <v>106</v>
      </c>
      <c r="F237" s="9">
        <f>250.74825-18.09229</f>
        <v>232.65596000000002</v>
      </c>
      <c r="G237" s="261">
        <v>143.62243000000001</v>
      </c>
      <c r="H237" s="9">
        <f>SUM(F237:G237)</f>
        <v>376.27839000000006</v>
      </c>
      <c r="I237" s="9">
        <f>1327.7805+127.23157</f>
        <v>1455.01207</v>
      </c>
      <c r="J237" s="261">
        <v>-143.62244000000001</v>
      </c>
      <c r="K237" s="9">
        <f>SUM(I237:J237)</f>
        <v>1311.3896299999999</v>
      </c>
      <c r="L237" s="9">
        <v>0</v>
      </c>
      <c r="M237" s="9"/>
      <c r="N237" s="9">
        <v>0</v>
      </c>
    </row>
    <row r="238" spans="1:14" ht="26.25" x14ac:dyDescent="0.25">
      <c r="A238" s="30"/>
      <c r="B238" s="30"/>
      <c r="C238" s="30" t="s">
        <v>417</v>
      </c>
      <c r="D238" s="30"/>
      <c r="E238" s="50" t="s">
        <v>416</v>
      </c>
      <c r="F238" s="28">
        <f>F239+F242</f>
        <v>930.90000000000009</v>
      </c>
      <c r="G238" s="28">
        <f>G239+G242</f>
        <v>68.972250000000003</v>
      </c>
      <c r="H238" s="28">
        <f t="shared" ref="H238:N238" si="42">H239+H242</f>
        <v>999.87225000000012</v>
      </c>
      <c r="I238" s="28">
        <f t="shared" si="42"/>
        <v>300.39999999999998</v>
      </c>
      <c r="J238" s="28"/>
      <c r="K238" s="28">
        <f t="shared" si="42"/>
        <v>300.39999999999998</v>
      </c>
      <c r="L238" s="28">
        <f t="shared" si="42"/>
        <v>0</v>
      </c>
      <c r="M238" s="28"/>
      <c r="N238" s="28">
        <f t="shared" si="42"/>
        <v>0</v>
      </c>
    </row>
    <row r="239" spans="1:14" ht="26.25" x14ac:dyDescent="0.25">
      <c r="A239" s="208"/>
      <c r="B239" s="208"/>
      <c r="C239" s="208" t="s">
        <v>415</v>
      </c>
      <c r="D239" s="208"/>
      <c r="E239" s="222" t="s">
        <v>414</v>
      </c>
      <c r="F239" s="210">
        <f t="shared" ref="F239:N240" si="43">F240</f>
        <v>898.2</v>
      </c>
      <c r="G239" s="210">
        <f t="shared" si="43"/>
        <v>68.972250000000003</v>
      </c>
      <c r="H239" s="210">
        <f t="shared" si="43"/>
        <v>967.17225000000008</v>
      </c>
      <c r="I239" s="210">
        <f t="shared" si="43"/>
        <v>0</v>
      </c>
      <c r="J239" s="334"/>
      <c r="K239" s="210">
        <f t="shared" si="43"/>
        <v>0</v>
      </c>
      <c r="L239" s="210">
        <f t="shared" si="43"/>
        <v>0</v>
      </c>
      <c r="M239" s="210"/>
      <c r="N239" s="210">
        <f t="shared" si="43"/>
        <v>0</v>
      </c>
    </row>
    <row r="240" spans="1:14" ht="26.25" x14ac:dyDescent="0.25">
      <c r="A240" s="8"/>
      <c r="B240" s="8"/>
      <c r="C240" s="7" t="s">
        <v>814</v>
      </c>
      <c r="D240" s="7"/>
      <c r="E240" s="94" t="s">
        <v>413</v>
      </c>
      <c r="F240" s="9">
        <f t="shared" si="43"/>
        <v>898.2</v>
      </c>
      <c r="G240" s="9">
        <f t="shared" si="43"/>
        <v>68.972250000000003</v>
      </c>
      <c r="H240" s="9">
        <f t="shared" si="43"/>
        <v>967.17225000000008</v>
      </c>
      <c r="I240" s="9">
        <f t="shared" si="43"/>
        <v>0</v>
      </c>
      <c r="J240" s="335"/>
      <c r="K240" s="9">
        <f t="shared" si="43"/>
        <v>0</v>
      </c>
      <c r="L240" s="9">
        <f t="shared" si="43"/>
        <v>0</v>
      </c>
      <c r="M240" s="9"/>
      <c r="N240" s="9">
        <f t="shared" si="43"/>
        <v>0</v>
      </c>
    </row>
    <row r="241" spans="1:14" x14ac:dyDescent="0.25">
      <c r="A241" s="8"/>
      <c r="B241" s="8"/>
      <c r="C241" s="7"/>
      <c r="D241" s="7" t="s">
        <v>12</v>
      </c>
      <c r="E241" s="6" t="s">
        <v>11</v>
      </c>
      <c r="F241" s="9">
        <v>898.2</v>
      </c>
      <c r="G241" s="261">
        <v>68.972250000000003</v>
      </c>
      <c r="H241" s="9">
        <f>SUM(F241:G241)</f>
        <v>967.17225000000008</v>
      </c>
      <c r="I241" s="9">
        <v>0</v>
      </c>
      <c r="J241" s="335"/>
      <c r="K241" s="9">
        <v>0</v>
      </c>
      <c r="L241" s="9">
        <v>0</v>
      </c>
      <c r="M241" s="9"/>
      <c r="N241" s="9">
        <v>0</v>
      </c>
    </row>
    <row r="242" spans="1:14" ht="26.25" x14ac:dyDescent="0.25">
      <c r="A242" s="208"/>
      <c r="B242" s="208"/>
      <c r="C242" s="208" t="s">
        <v>848</v>
      </c>
      <c r="D242" s="208"/>
      <c r="E242" s="222" t="s">
        <v>849</v>
      </c>
      <c r="F242" s="221">
        <f>F243</f>
        <v>32.700000000000003</v>
      </c>
      <c r="G242" s="221"/>
      <c r="H242" s="221">
        <f>H243</f>
        <v>32.700000000000003</v>
      </c>
      <c r="I242" s="359">
        <f>I243</f>
        <v>300.39999999999998</v>
      </c>
      <c r="J242" s="359"/>
      <c r="K242" s="359">
        <f>K243</f>
        <v>300.39999999999998</v>
      </c>
      <c r="L242" s="221">
        <v>0</v>
      </c>
      <c r="M242" s="221"/>
      <c r="N242" s="221">
        <v>0</v>
      </c>
    </row>
    <row r="243" spans="1:14" ht="26.25" x14ac:dyDescent="0.25">
      <c r="A243" s="358"/>
      <c r="B243" s="358"/>
      <c r="C243" s="318" t="s">
        <v>931</v>
      </c>
      <c r="D243" s="318"/>
      <c r="E243" s="323" t="s">
        <v>850</v>
      </c>
      <c r="F243" s="344">
        <f>F244</f>
        <v>32.700000000000003</v>
      </c>
      <c r="G243" s="344"/>
      <c r="H243" s="344">
        <f>H244</f>
        <v>32.700000000000003</v>
      </c>
      <c r="I243" s="344">
        <f>I244</f>
        <v>300.39999999999998</v>
      </c>
      <c r="J243" s="344"/>
      <c r="K243" s="344">
        <f>K244</f>
        <v>300.39999999999998</v>
      </c>
      <c r="L243" s="335">
        <v>0</v>
      </c>
      <c r="M243" s="335"/>
      <c r="N243" s="335">
        <v>0</v>
      </c>
    </row>
    <row r="244" spans="1:14" x14ac:dyDescent="0.25">
      <c r="A244" s="358"/>
      <c r="B244" s="358"/>
      <c r="C244" s="318"/>
      <c r="D244" s="7" t="s">
        <v>12</v>
      </c>
      <c r="E244" s="6" t="s">
        <v>11</v>
      </c>
      <c r="F244" s="344">
        <v>32.700000000000003</v>
      </c>
      <c r="G244" s="344"/>
      <c r="H244" s="344">
        <v>32.700000000000003</v>
      </c>
      <c r="I244" s="344">
        <v>300.39999999999998</v>
      </c>
      <c r="J244" s="344"/>
      <c r="K244" s="344">
        <v>300.39999999999998</v>
      </c>
      <c r="L244" s="335">
        <v>0</v>
      </c>
      <c r="M244" s="335"/>
      <c r="N244" s="335">
        <v>0</v>
      </c>
    </row>
    <row r="245" spans="1:14" x14ac:dyDescent="0.25">
      <c r="A245" s="8"/>
      <c r="B245" s="22" t="s">
        <v>412</v>
      </c>
      <c r="C245" s="36"/>
      <c r="D245" s="36"/>
      <c r="E245" s="20" t="s">
        <v>411</v>
      </c>
      <c r="F245" s="26">
        <f>F246+F282</f>
        <v>17971.144</v>
      </c>
      <c r="G245" s="26">
        <f>G246+G282</f>
        <v>208.6</v>
      </c>
      <c r="H245" s="26">
        <f>H246+H282</f>
        <v>18179.743999999999</v>
      </c>
      <c r="I245" s="26">
        <f>I246+I282</f>
        <v>5777.1</v>
      </c>
      <c r="J245" s="336"/>
      <c r="K245" s="26">
        <f>K246+K282</f>
        <v>5777.1</v>
      </c>
      <c r="L245" s="26">
        <f>L246+L282</f>
        <v>5375.1</v>
      </c>
      <c r="M245" s="26"/>
      <c r="N245" s="26">
        <f>N246+N282</f>
        <v>5375.1</v>
      </c>
    </row>
    <row r="246" spans="1:14" x14ac:dyDescent="0.25">
      <c r="A246" s="8"/>
      <c r="B246" s="22"/>
      <c r="C246" s="21" t="s">
        <v>36</v>
      </c>
      <c r="D246" s="21"/>
      <c r="E246" s="27" t="s">
        <v>35</v>
      </c>
      <c r="F246" s="26">
        <f>F247+F256+F270</f>
        <v>14673.444</v>
      </c>
      <c r="G246" s="26">
        <f>G247+G256+G270</f>
        <v>208.6</v>
      </c>
      <c r="H246" s="26">
        <f>H247+H256+H270</f>
        <v>14882.043999999998</v>
      </c>
      <c r="I246" s="26">
        <f>I247+I256+I270</f>
        <v>2412.9</v>
      </c>
      <c r="J246" s="336"/>
      <c r="K246" s="26">
        <f>K247+K256+K270</f>
        <v>2412.9</v>
      </c>
      <c r="L246" s="26">
        <f>L247+L256+L270</f>
        <v>2010.9</v>
      </c>
      <c r="M246" s="26"/>
      <c r="N246" s="26">
        <f>N247+N256+N270</f>
        <v>2010.9</v>
      </c>
    </row>
    <row r="247" spans="1:14" s="101" customFormat="1" ht="25.5" x14ac:dyDescent="0.25">
      <c r="A247" s="33"/>
      <c r="B247" s="33"/>
      <c r="C247" s="34" t="s">
        <v>285</v>
      </c>
      <c r="D247" s="33"/>
      <c r="E247" s="32" t="s">
        <v>284</v>
      </c>
      <c r="F247" s="31">
        <f>F248+F253</f>
        <v>6013.8</v>
      </c>
      <c r="G247" s="31">
        <f>G248+G253</f>
        <v>208.6</v>
      </c>
      <c r="H247" s="31">
        <f>H248+H253</f>
        <v>6222.4</v>
      </c>
      <c r="I247" s="31">
        <f>I248+I253</f>
        <v>1323.7</v>
      </c>
      <c r="J247" s="332"/>
      <c r="K247" s="31">
        <f>K248+K253</f>
        <v>1323.7</v>
      </c>
      <c r="L247" s="31">
        <f>L248+L253</f>
        <v>1323.7</v>
      </c>
      <c r="M247" s="31"/>
      <c r="N247" s="31">
        <f>N248+N253</f>
        <v>1323.7</v>
      </c>
    </row>
    <row r="248" spans="1:14" ht="26.25" x14ac:dyDescent="0.25">
      <c r="A248" s="208"/>
      <c r="B248" s="208"/>
      <c r="C248" s="208" t="s">
        <v>283</v>
      </c>
      <c r="D248" s="208"/>
      <c r="E248" s="209" t="s">
        <v>282</v>
      </c>
      <c r="F248" s="210">
        <f>F249+F252</f>
        <v>1370.6000000000001</v>
      </c>
      <c r="G248" s="210">
        <f>G249+G251</f>
        <v>208.6</v>
      </c>
      <c r="H248" s="210">
        <f>H249+H251</f>
        <v>1579.2</v>
      </c>
      <c r="I248" s="210">
        <f t="shared" ref="F248:N251" si="44">I249</f>
        <v>1323.7</v>
      </c>
      <c r="J248" s="334"/>
      <c r="K248" s="210">
        <f t="shared" si="44"/>
        <v>1323.7</v>
      </c>
      <c r="L248" s="210">
        <f t="shared" si="44"/>
        <v>1323.7</v>
      </c>
      <c r="M248" s="210"/>
      <c r="N248" s="210">
        <f t="shared" si="44"/>
        <v>1323.7</v>
      </c>
    </row>
    <row r="249" spans="1:14" ht="38.25" x14ac:dyDescent="0.25">
      <c r="A249" s="8"/>
      <c r="B249" s="8"/>
      <c r="C249" s="7" t="s">
        <v>410</v>
      </c>
      <c r="D249" s="7"/>
      <c r="E249" s="100" t="s">
        <v>720</v>
      </c>
      <c r="F249" s="9">
        <f t="shared" si="44"/>
        <v>1370.6000000000001</v>
      </c>
      <c r="G249" s="9"/>
      <c r="H249" s="9">
        <f t="shared" si="44"/>
        <v>1370.6000000000001</v>
      </c>
      <c r="I249" s="9">
        <f t="shared" si="44"/>
        <v>1323.7</v>
      </c>
      <c r="J249" s="335"/>
      <c r="K249" s="9">
        <f t="shared" si="44"/>
        <v>1323.7</v>
      </c>
      <c r="L249" s="9">
        <f t="shared" si="44"/>
        <v>1323.7</v>
      </c>
      <c r="M249" s="9"/>
      <c r="N249" s="9">
        <f t="shared" si="44"/>
        <v>1323.7</v>
      </c>
    </row>
    <row r="250" spans="1:14" x14ac:dyDescent="0.25">
      <c r="A250" s="8"/>
      <c r="B250" s="8"/>
      <c r="C250" s="7"/>
      <c r="D250" s="7" t="s">
        <v>12</v>
      </c>
      <c r="E250" s="6" t="s">
        <v>11</v>
      </c>
      <c r="F250" s="9">
        <v>1370.6000000000001</v>
      </c>
      <c r="G250" s="9"/>
      <c r="H250" s="9">
        <f>SUM(F250:G250)</f>
        <v>1370.6000000000001</v>
      </c>
      <c r="I250" s="9">
        <v>1323.7</v>
      </c>
      <c r="J250" s="335"/>
      <c r="K250" s="9">
        <v>1323.7</v>
      </c>
      <c r="L250" s="9">
        <v>1323.7</v>
      </c>
      <c r="M250" s="9"/>
      <c r="N250" s="9">
        <v>1323.7</v>
      </c>
    </row>
    <row r="251" spans="1:14" x14ac:dyDescent="0.25">
      <c r="A251" s="8"/>
      <c r="B251" s="8"/>
      <c r="C251" s="7" t="s">
        <v>934</v>
      </c>
      <c r="D251" s="7"/>
      <c r="E251" s="6" t="s">
        <v>935</v>
      </c>
      <c r="F251" s="9">
        <f t="shared" si="44"/>
        <v>0</v>
      </c>
      <c r="G251" s="9">
        <f t="shared" si="44"/>
        <v>208.6</v>
      </c>
      <c r="H251" s="9">
        <f t="shared" si="44"/>
        <v>208.6</v>
      </c>
      <c r="I251" s="9">
        <f t="shared" si="44"/>
        <v>0</v>
      </c>
      <c r="J251" s="335"/>
      <c r="K251" s="9">
        <f t="shared" si="44"/>
        <v>0</v>
      </c>
      <c r="L251" s="9">
        <f t="shared" si="44"/>
        <v>0</v>
      </c>
      <c r="M251" s="9"/>
      <c r="N251" s="9">
        <f t="shared" si="44"/>
        <v>0</v>
      </c>
    </row>
    <row r="252" spans="1:14" x14ac:dyDescent="0.25">
      <c r="A252" s="455"/>
      <c r="B252" s="455"/>
      <c r="C252" s="454"/>
      <c r="D252" s="454" t="s">
        <v>79</v>
      </c>
      <c r="E252" s="6" t="s">
        <v>78</v>
      </c>
      <c r="F252" s="456">
        <v>0</v>
      </c>
      <c r="G252" s="456">
        <v>208.6</v>
      </c>
      <c r="H252" s="456">
        <v>208.6</v>
      </c>
      <c r="I252" s="456"/>
      <c r="J252" s="456"/>
      <c r="K252" s="456"/>
      <c r="L252" s="456"/>
      <c r="M252" s="456"/>
      <c r="N252" s="456"/>
    </row>
    <row r="253" spans="1:14" ht="26.25" x14ac:dyDescent="0.25">
      <c r="A253" s="212"/>
      <c r="B253" s="212"/>
      <c r="C253" s="208" t="s">
        <v>409</v>
      </c>
      <c r="D253" s="208"/>
      <c r="E253" s="209" t="s">
        <v>408</v>
      </c>
      <c r="F253" s="210">
        <f t="shared" ref="F253:N254" si="45">F254</f>
        <v>4643.2</v>
      </c>
      <c r="G253" s="210"/>
      <c r="H253" s="210">
        <f t="shared" si="45"/>
        <v>4643.2</v>
      </c>
      <c r="I253" s="210">
        <f t="shared" si="45"/>
        <v>0</v>
      </c>
      <c r="J253" s="334"/>
      <c r="K253" s="210">
        <f t="shared" si="45"/>
        <v>0</v>
      </c>
      <c r="L253" s="210">
        <f t="shared" si="45"/>
        <v>0</v>
      </c>
      <c r="M253" s="210"/>
      <c r="N253" s="210">
        <f t="shared" si="45"/>
        <v>0</v>
      </c>
    </row>
    <row r="254" spans="1:14" x14ac:dyDescent="0.25">
      <c r="A254" s="8"/>
      <c r="B254" s="8"/>
      <c r="C254" s="7" t="s">
        <v>407</v>
      </c>
      <c r="D254" s="7"/>
      <c r="E254" s="76" t="s">
        <v>406</v>
      </c>
      <c r="F254" s="9">
        <f t="shared" si="45"/>
        <v>4643.2</v>
      </c>
      <c r="G254" s="9"/>
      <c r="H254" s="9">
        <f t="shared" si="45"/>
        <v>4643.2</v>
      </c>
      <c r="I254" s="9">
        <f t="shared" si="45"/>
        <v>0</v>
      </c>
      <c r="J254" s="335"/>
      <c r="K254" s="9">
        <f t="shared" si="45"/>
        <v>0</v>
      </c>
      <c r="L254" s="9">
        <f t="shared" si="45"/>
        <v>0</v>
      </c>
      <c r="M254" s="9"/>
      <c r="N254" s="9">
        <f t="shared" si="45"/>
        <v>0</v>
      </c>
    </row>
    <row r="255" spans="1:14" ht="26.25" x14ac:dyDescent="0.25">
      <c r="A255" s="8"/>
      <c r="B255" s="8"/>
      <c r="C255" s="7"/>
      <c r="D255" s="7" t="s">
        <v>272</v>
      </c>
      <c r="E255" s="6" t="s">
        <v>271</v>
      </c>
      <c r="F255" s="5">
        <v>4643.2</v>
      </c>
      <c r="G255" s="5"/>
      <c r="H255" s="5">
        <v>4643.2</v>
      </c>
      <c r="I255" s="5">
        <v>0</v>
      </c>
      <c r="J255" s="337"/>
      <c r="K255" s="5">
        <v>0</v>
      </c>
      <c r="L255" s="5">
        <v>0</v>
      </c>
      <c r="M255" s="5"/>
      <c r="N255" s="5">
        <v>0</v>
      </c>
    </row>
    <row r="256" spans="1:14" ht="25.5" x14ac:dyDescent="0.25">
      <c r="A256" s="33"/>
      <c r="B256" s="33"/>
      <c r="C256" s="34" t="s">
        <v>405</v>
      </c>
      <c r="D256" s="33"/>
      <c r="E256" s="32" t="s">
        <v>404</v>
      </c>
      <c r="F256" s="31">
        <f>F257</f>
        <v>117.2</v>
      </c>
      <c r="G256" s="31"/>
      <c r="H256" s="31">
        <f>H257</f>
        <v>117.2</v>
      </c>
      <c r="I256" s="31">
        <f>I257</f>
        <v>49.2</v>
      </c>
      <c r="J256" s="332"/>
      <c r="K256" s="31">
        <f>K257</f>
        <v>49.2</v>
      </c>
      <c r="L256" s="31">
        <f>L257</f>
        <v>49.2</v>
      </c>
      <c r="M256" s="31"/>
      <c r="N256" s="31">
        <f>N257</f>
        <v>49.2</v>
      </c>
    </row>
    <row r="257" spans="1:14" ht="26.25" x14ac:dyDescent="0.25">
      <c r="A257" s="30"/>
      <c r="B257" s="30"/>
      <c r="C257" s="30" t="s">
        <v>403</v>
      </c>
      <c r="D257" s="30"/>
      <c r="E257" s="77" t="s">
        <v>402</v>
      </c>
      <c r="F257" s="28">
        <f>F258+F263+F266</f>
        <v>117.2</v>
      </c>
      <c r="G257" s="28"/>
      <c r="H257" s="28">
        <f>H258+H263+H266</f>
        <v>117.2</v>
      </c>
      <c r="I257" s="28">
        <f>I258</f>
        <v>49.2</v>
      </c>
      <c r="J257" s="333"/>
      <c r="K257" s="28">
        <f>K258</f>
        <v>49.2</v>
      </c>
      <c r="L257" s="28">
        <f>L258</f>
        <v>49.2</v>
      </c>
      <c r="M257" s="28"/>
      <c r="N257" s="28">
        <f>N258</f>
        <v>49.2</v>
      </c>
    </row>
    <row r="258" spans="1:14" ht="26.25" x14ac:dyDescent="0.25">
      <c r="A258" s="208"/>
      <c r="B258" s="208"/>
      <c r="C258" s="208" t="s">
        <v>401</v>
      </c>
      <c r="D258" s="216"/>
      <c r="E258" s="220" t="s">
        <v>400</v>
      </c>
      <c r="F258" s="210">
        <f>F259+F261</f>
        <v>49.2</v>
      </c>
      <c r="G258" s="210"/>
      <c r="H258" s="210">
        <f>H259+H261</f>
        <v>49.2</v>
      </c>
      <c r="I258" s="210">
        <f>I259+I261</f>
        <v>49.2</v>
      </c>
      <c r="J258" s="334"/>
      <c r="K258" s="210">
        <f>K259+K261</f>
        <v>49.2</v>
      </c>
      <c r="L258" s="210">
        <f>L259+L261</f>
        <v>49.2</v>
      </c>
      <c r="M258" s="210"/>
      <c r="N258" s="210">
        <f>N259+N261</f>
        <v>49.2</v>
      </c>
    </row>
    <row r="259" spans="1:14" x14ac:dyDescent="0.25">
      <c r="A259" s="57"/>
      <c r="B259" s="57"/>
      <c r="C259" s="7" t="s">
        <v>399</v>
      </c>
      <c r="D259" s="7"/>
      <c r="E259" s="95" t="s">
        <v>398</v>
      </c>
      <c r="F259" s="9">
        <f>F260</f>
        <v>19.2</v>
      </c>
      <c r="G259" s="9"/>
      <c r="H259" s="9">
        <f>H260</f>
        <v>19.2</v>
      </c>
      <c r="I259" s="9">
        <f>I260</f>
        <v>19.2</v>
      </c>
      <c r="J259" s="335"/>
      <c r="K259" s="9">
        <f>K260</f>
        <v>19.2</v>
      </c>
      <c r="L259" s="9">
        <f>L260</f>
        <v>19.2</v>
      </c>
      <c r="M259" s="9"/>
      <c r="N259" s="9">
        <f>N260</f>
        <v>19.2</v>
      </c>
    </row>
    <row r="260" spans="1:14" x14ac:dyDescent="0.25">
      <c r="A260" s="57"/>
      <c r="B260" s="57"/>
      <c r="C260" s="7"/>
      <c r="D260" s="7" t="s">
        <v>12</v>
      </c>
      <c r="E260" s="6" t="s">
        <v>11</v>
      </c>
      <c r="F260" s="9">
        <v>19.2</v>
      </c>
      <c r="G260" s="9"/>
      <c r="H260" s="9">
        <v>19.2</v>
      </c>
      <c r="I260" s="9">
        <v>19.2</v>
      </c>
      <c r="J260" s="335"/>
      <c r="K260" s="9">
        <v>19.2</v>
      </c>
      <c r="L260" s="9">
        <v>19.2</v>
      </c>
      <c r="M260" s="9"/>
      <c r="N260" s="9">
        <v>19.2</v>
      </c>
    </row>
    <row r="261" spans="1:14" x14ac:dyDescent="0.25">
      <c r="A261" s="57"/>
      <c r="B261" s="57"/>
      <c r="C261" s="7" t="s">
        <v>397</v>
      </c>
      <c r="D261" s="7"/>
      <c r="E261" s="95" t="s">
        <v>396</v>
      </c>
      <c r="F261" s="9">
        <f>F262</f>
        <v>30</v>
      </c>
      <c r="G261" s="9"/>
      <c r="H261" s="9">
        <f>H262</f>
        <v>30</v>
      </c>
      <c r="I261" s="9">
        <f>I262</f>
        <v>30</v>
      </c>
      <c r="J261" s="335"/>
      <c r="K261" s="9">
        <f>K262</f>
        <v>30</v>
      </c>
      <c r="L261" s="9">
        <f>L262</f>
        <v>30</v>
      </c>
      <c r="M261" s="9"/>
      <c r="N261" s="9">
        <f>N262</f>
        <v>30</v>
      </c>
    </row>
    <row r="262" spans="1:14" x14ac:dyDescent="0.25">
      <c r="A262" s="57"/>
      <c r="B262" s="57"/>
      <c r="C262" s="7"/>
      <c r="D262" s="7" t="s">
        <v>12</v>
      </c>
      <c r="E262" s="6" t="s">
        <v>11</v>
      </c>
      <c r="F262" s="9">
        <v>30</v>
      </c>
      <c r="G262" s="9"/>
      <c r="H262" s="9">
        <v>30</v>
      </c>
      <c r="I262" s="9">
        <v>30</v>
      </c>
      <c r="J262" s="335"/>
      <c r="K262" s="9">
        <v>30</v>
      </c>
      <c r="L262" s="9">
        <v>30</v>
      </c>
      <c r="M262" s="9"/>
      <c r="N262" s="9">
        <v>30</v>
      </c>
    </row>
    <row r="263" spans="1:14" ht="26.25" x14ac:dyDescent="0.25">
      <c r="A263" s="208"/>
      <c r="B263" s="208"/>
      <c r="C263" s="208" t="s">
        <v>594</v>
      </c>
      <c r="D263" s="208"/>
      <c r="E263" s="209" t="s">
        <v>595</v>
      </c>
      <c r="F263" s="264">
        <f t="shared" ref="F263:H264" si="46">F264</f>
        <v>15.202809999999999</v>
      </c>
      <c r="G263" s="264"/>
      <c r="H263" s="264">
        <f t="shared" si="46"/>
        <v>15.202809999999999</v>
      </c>
      <c r="I263" s="210">
        <v>0</v>
      </c>
      <c r="J263" s="334"/>
      <c r="K263" s="210">
        <v>0</v>
      </c>
      <c r="L263" s="210">
        <v>0</v>
      </c>
      <c r="M263" s="210"/>
      <c r="N263" s="210">
        <v>0</v>
      </c>
    </row>
    <row r="264" spans="1:14" ht="26.25" x14ac:dyDescent="0.25">
      <c r="A264" s="57"/>
      <c r="B264" s="57"/>
      <c r="C264" s="7" t="s">
        <v>727</v>
      </c>
      <c r="D264" s="7"/>
      <c r="E264" s="6" t="s">
        <v>596</v>
      </c>
      <c r="F264" s="265">
        <f t="shared" si="46"/>
        <v>15.202809999999999</v>
      </c>
      <c r="G264" s="265"/>
      <c r="H264" s="265">
        <f t="shared" si="46"/>
        <v>15.202809999999999</v>
      </c>
      <c r="I264" s="9">
        <v>0</v>
      </c>
      <c r="J264" s="335"/>
      <c r="K264" s="9">
        <v>0</v>
      </c>
      <c r="L264" s="9">
        <v>0</v>
      </c>
      <c r="M264" s="9"/>
      <c r="N264" s="9">
        <v>0</v>
      </c>
    </row>
    <row r="265" spans="1:14" x14ac:dyDescent="0.25">
      <c r="A265" s="57"/>
      <c r="B265" s="57"/>
      <c r="C265" s="7"/>
      <c r="D265" s="7" t="s">
        <v>12</v>
      </c>
      <c r="E265" s="6" t="s">
        <v>11</v>
      </c>
      <c r="F265" s="266">
        <v>15.202809999999999</v>
      </c>
      <c r="G265" s="266"/>
      <c r="H265" s="266">
        <f>SUM(F265:G265)</f>
        <v>15.202809999999999</v>
      </c>
      <c r="I265" s="9">
        <v>0</v>
      </c>
      <c r="J265" s="335"/>
      <c r="K265" s="9">
        <v>0</v>
      </c>
      <c r="L265" s="9">
        <v>0</v>
      </c>
      <c r="M265" s="9"/>
      <c r="N265" s="9">
        <v>0</v>
      </c>
    </row>
    <row r="266" spans="1:14" x14ac:dyDescent="0.25">
      <c r="A266" s="208"/>
      <c r="B266" s="208"/>
      <c r="C266" s="208" t="s">
        <v>838</v>
      </c>
      <c r="D266" s="208"/>
      <c r="E266" s="209" t="s">
        <v>839</v>
      </c>
      <c r="F266" s="264">
        <f>F267</f>
        <v>52.797190000000001</v>
      </c>
      <c r="G266" s="264"/>
      <c r="H266" s="264">
        <f>H267</f>
        <v>52.797190000000001</v>
      </c>
      <c r="I266" s="210">
        <v>0</v>
      </c>
      <c r="J266" s="334"/>
      <c r="K266" s="210">
        <v>0</v>
      </c>
      <c r="L266" s="210">
        <v>0</v>
      </c>
      <c r="M266" s="210"/>
      <c r="N266" s="210">
        <v>0</v>
      </c>
    </row>
    <row r="267" spans="1:14" x14ac:dyDescent="0.25">
      <c r="A267" s="57"/>
      <c r="B267" s="57"/>
      <c r="C267" s="318" t="s">
        <v>840</v>
      </c>
      <c r="D267" s="318"/>
      <c r="E267" s="321" t="s">
        <v>841</v>
      </c>
      <c r="F267" s="265">
        <f>F268</f>
        <v>52.797190000000001</v>
      </c>
      <c r="G267" s="265"/>
      <c r="H267" s="265">
        <f>H268</f>
        <v>52.797190000000001</v>
      </c>
      <c r="I267" s="9">
        <v>0</v>
      </c>
      <c r="J267" s="335"/>
      <c r="K267" s="9">
        <v>0</v>
      </c>
      <c r="L267" s="9">
        <v>0</v>
      </c>
      <c r="M267" s="9"/>
      <c r="N267" s="9">
        <v>0</v>
      </c>
    </row>
    <row r="268" spans="1:14" x14ac:dyDescent="0.25">
      <c r="A268" s="57"/>
      <c r="B268" s="57"/>
      <c r="C268" s="318"/>
      <c r="D268" s="7" t="s">
        <v>12</v>
      </c>
      <c r="E268" s="6" t="s">
        <v>11</v>
      </c>
      <c r="F268" s="266">
        <v>52.797190000000001</v>
      </c>
      <c r="G268" s="266"/>
      <c r="H268" s="266">
        <v>52.797190000000001</v>
      </c>
      <c r="I268" s="9">
        <v>0</v>
      </c>
      <c r="J268" s="335"/>
      <c r="K268" s="9">
        <v>0</v>
      </c>
      <c r="L268" s="9">
        <v>0</v>
      </c>
      <c r="M268" s="9"/>
      <c r="N268" s="9">
        <v>0</v>
      </c>
    </row>
    <row r="269" spans="1:14" x14ac:dyDescent="0.25">
      <c r="A269" s="326"/>
      <c r="B269" s="326"/>
      <c r="C269" s="318"/>
      <c r="D269" s="318"/>
      <c r="E269" s="94" t="s">
        <v>326</v>
      </c>
      <c r="F269" s="356">
        <v>52.797190000000001</v>
      </c>
      <c r="G269" s="266"/>
      <c r="H269" s="266">
        <v>52.797190000000001</v>
      </c>
      <c r="I269" s="335"/>
      <c r="J269" s="335"/>
      <c r="K269" s="335"/>
      <c r="L269" s="335"/>
      <c r="M269" s="335"/>
      <c r="N269" s="335"/>
    </row>
    <row r="270" spans="1:14" ht="25.5" x14ac:dyDescent="0.25">
      <c r="A270" s="33"/>
      <c r="B270" s="33"/>
      <c r="C270" s="34" t="s">
        <v>395</v>
      </c>
      <c r="D270" s="33"/>
      <c r="E270" s="32" t="s">
        <v>394</v>
      </c>
      <c r="F270" s="31">
        <f>F271+F278</f>
        <v>8542.4439999999995</v>
      </c>
      <c r="G270" s="31"/>
      <c r="H270" s="31">
        <f>H271+H278</f>
        <v>8542.4439999999995</v>
      </c>
      <c r="I270" s="31">
        <f>I271+I278</f>
        <v>1040</v>
      </c>
      <c r="J270" s="332"/>
      <c r="K270" s="31">
        <f>K271+K278</f>
        <v>1040</v>
      </c>
      <c r="L270" s="31">
        <f>L271+L278</f>
        <v>638</v>
      </c>
      <c r="M270" s="31"/>
      <c r="N270" s="31">
        <f>N271+N278</f>
        <v>638</v>
      </c>
    </row>
    <row r="271" spans="1:14" x14ac:dyDescent="0.25">
      <c r="A271" s="208"/>
      <c r="B271" s="208"/>
      <c r="C271" s="208" t="s">
        <v>393</v>
      </c>
      <c r="D271" s="216"/>
      <c r="E271" s="209" t="s">
        <v>392</v>
      </c>
      <c r="F271" s="210">
        <f>F272+F274</f>
        <v>7959.1440000000002</v>
      </c>
      <c r="G271" s="210"/>
      <c r="H271" s="210">
        <f>H272+H274</f>
        <v>7959.1440000000002</v>
      </c>
      <c r="I271" s="210">
        <f>I272+I274</f>
        <v>1040</v>
      </c>
      <c r="J271" s="334"/>
      <c r="K271" s="210">
        <f>K272+K274</f>
        <v>1040</v>
      </c>
      <c r="L271" s="210">
        <f>L272+L274</f>
        <v>638</v>
      </c>
      <c r="M271" s="210"/>
      <c r="N271" s="210">
        <f>N272+N274</f>
        <v>638</v>
      </c>
    </row>
    <row r="272" spans="1:14" x14ac:dyDescent="0.25">
      <c r="A272" s="7"/>
      <c r="B272" s="7"/>
      <c r="C272" s="7" t="s">
        <v>391</v>
      </c>
      <c r="D272" s="7"/>
      <c r="E272" s="6" t="s">
        <v>390</v>
      </c>
      <c r="F272" s="9">
        <f>F273</f>
        <v>315.60000000000002</v>
      </c>
      <c r="G272" s="9"/>
      <c r="H272" s="9">
        <f>H273</f>
        <v>315.60000000000002</v>
      </c>
      <c r="I272" s="9">
        <f>I273</f>
        <v>154</v>
      </c>
      <c r="J272" s="335"/>
      <c r="K272" s="9">
        <f>K273</f>
        <v>154</v>
      </c>
      <c r="L272" s="9">
        <f>L273</f>
        <v>231</v>
      </c>
      <c r="M272" s="9"/>
      <c r="N272" s="9">
        <f>N273</f>
        <v>231</v>
      </c>
    </row>
    <row r="273" spans="1:14" x14ac:dyDescent="0.25">
      <c r="A273" s="7"/>
      <c r="B273" s="7"/>
      <c r="C273" s="7"/>
      <c r="D273" s="7" t="s">
        <v>12</v>
      </c>
      <c r="E273" s="6" t="s">
        <v>11</v>
      </c>
      <c r="F273" s="9">
        <v>315.60000000000002</v>
      </c>
      <c r="G273" s="9"/>
      <c r="H273" s="9">
        <v>315.60000000000002</v>
      </c>
      <c r="I273" s="9">
        <v>154</v>
      </c>
      <c r="J273" s="335"/>
      <c r="K273" s="9">
        <v>154</v>
      </c>
      <c r="L273" s="9">
        <v>231</v>
      </c>
      <c r="M273" s="9"/>
      <c r="N273" s="9">
        <v>231</v>
      </c>
    </row>
    <row r="274" spans="1:14" ht="18.75" customHeight="1" x14ac:dyDescent="0.25">
      <c r="A274" s="7"/>
      <c r="B274" s="7"/>
      <c r="C274" s="7" t="s">
        <v>389</v>
      </c>
      <c r="D274" s="7"/>
      <c r="E274" s="10" t="s">
        <v>388</v>
      </c>
      <c r="F274" s="9">
        <f>F275</f>
        <v>7643.5439999999999</v>
      </c>
      <c r="G274" s="9"/>
      <c r="H274" s="9">
        <f>H275</f>
        <v>7643.5439999999999</v>
      </c>
      <c r="I274" s="9">
        <f>I276+I277</f>
        <v>886</v>
      </c>
      <c r="J274" s="335"/>
      <c r="K274" s="9">
        <f>K276+K277</f>
        <v>886</v>
      </c>
      <c r="L274" s="9">
        <f>L276+L277</f>
        <v>407</v>
      </c>
      <c r="M274" s="9"/>
      <c r="N274" s="9">
        <f>N276+N277</f>
        <v>407</v>
      </c>
    </row>
    <row r="275" spans="1:14" x14ac:dyDescent="0.25">
      <c r="A275" s="7"/>
      <c r="B275" s="7"/>
      <c r="C275" s="7"/>
      <c r="D275" s="7" t="s">
        <v>12</v>
      </c>
      <c r="E275" s="6" t="s">
        <v>11</v>
      </c>
      <c r="F275" s="9">
        <f>F276+F277</f>
        <v>7643.5439999999999</v>
      </c>
      <c r="G275" s="9"/>
      <c r="H275" s="9">
        <f>H276+H277</f>
        <v>7643.5439999999999</v>
      </c>
      <c r="I275" s="9">
        <f>I276+I277</f>
        <v>886</v>
      </c>
      <c r="J275" s="335"/>
      <c r="K275" s="9">
        <f>K276+K277</f>
        <v>886</v>
      </c>
      <c r="L275" s="9">
        <f>L276+L277</f>
        <v>407</v>
      </c>
      <c r="M275" s="9"/>
      <c r="N275" s="9">
        <f>N276+N277</f>
        <v>407</v>
      </c>
    </row>
    <row r="276" spans="1:14" x14ac:dyDescent="0.25">
      <c r="A276" s="7"/>
      <c r="B276" s="7"/>
      <c r="C276" s="7"/>
      <c r="D276" s="7"/>
      <c r="E276" s="94" t="s">
        <v>333</v>
      </c>
      <c r="F276" s="263">
        <v>6267.7060799999999</v>
      </c>
      <c r="G276" s="263"/>
      <c r="H276" s="263">
        <v>6267.7060799999999</v>
      </c>
      <c r="I276" s="9">
        <v>0</v>
      </c>
      <c r="J276" s="335"/>
      <c r="K276" s="9">
        <v>0</v>
      </c>
      <c r="L276" s="9">
        <v>0</v>
      </c>
      <c r="M276" s="9"/>
      <c r="N276" s="9">
        <v>0</v>
      </c>
    </row>
    <row r="277" spans="1:14" x14ac:dyDescent="0.25">
      <c r="A277" s="7"/>
      <c r="B277" s="7"/>
      <c r="C277" s="7"/>
      <c r="D277" s="7"/>
      <c r="E277" s="6" t="s">
        <v>370</v>
      </c>
      <c r="F277" s="263">
        <v>1375.8379199999999</v>
      </c>
      <c r="G277" s="263"/>
      <c r="H277" s="263">
        <v>1375.8379199999999</v>
      </c>
      <c r="I277" s="9">
        <v>886</v>
      </c>
      <c r="J277" s="335"/>
      <c r="K277" s="9">
        <v>886</v>
      </c>
      <c r="L277" s="9">
        <v>407</v>
      </c>
      <c r="M277" s="9"/>
      <c r="N277" s="9">
        <v>407</v>
      </c>
    </row>
    <row r="278" spans="1:14" ht="39" x14ac:dyDescent="0.25">
      <c r="A278" s="208"/>
      <c r="B278" s="208"/>
      <c r="C278" s="208" t="s">
        <v>387</v>
      </c>
      <c r="D278" s="216"/>
      <c r="E278" s="209" t="s">
        <v>386</v>
      </c>
      <c r="F278" s="210">
        <f>F279</f>
        <v>583.29999999999995</v>
      </c>
      <c r="G278" s="210"/>
      <c r="H278" s="210">
        <f>H279</f>
        <v>583.29999999999995</v>
      </c>
      <c r="I278" s="210">
        <f>I279</f>
        <v>0</v>
      </c>
      <c r="J278" s="334"/>
      <c r="K278" s="210">
        <f>K279</f>
        <v>0</v>
      </c>
      <c r="L278" s="210">
        <f>L279</f>
        <v>0</v>
      </c>
      <c r="M278" s="210"/>
      <c r="N278" s="210">
        <f>N279</f>
        <v>0</v>
      </c>
    </row>
    <row r="279" spans="1:14" ht="26.25" x14ac:dyDescent="0.25">
      <c r="A279" s="8"/>
      <c r="B279" s="8"/>
      <c r="C279" s="7" t="s">
        <v>385</v>
      </c>
      <c r="D279" s="7"/>
      <c r="E279" s="6" t="s">
        <v>384</v>
      </c>
      <c r="F279" s="9">
        <f>F280</f>
        <v>583.29999999999995</v>
      </c>
      <c r="G279" s="9"/>
      <c r="H279" s="9">
        <f>H280</f>
        <v>583.29999999999995</v>
      </c>
      <c r="I279" s="9">
        <v>0</v>
      </c>
      <c r="J279" s="335"/>
      <c r="K279" s="9">
        <v>0</v>
      </c>
      <c r="L279" s="9">
        <v>0</v>
      </c>
      <c r="M279" s="9"/>
      <c r="N279" s="9">
        <v>0</v>
      </c>
    </row>
    <row r="280" spans="1:14" x14ac:dyDescent="0.25">
      <c r="A280" s="8"/>
      <c r="B280" s="8"/>
      <c r="C280" s="7"/>
      <c r="D280" s="7" t="s">
        <v>12</v>
      </c>
      <c r="E280" s="6" t="s">
        <v>11</v>
      </c>
      <c r="F280" s="9">
        <v>583.29999999999995</v>
      </c>
      <c r="G280" s="9"/>
      <c r="H280" s="9">
        <v>583.29999999999995</v>
      </c>
      <c r="I280" s="9">
        <v>0</v>
      </c>
      <c r="J280" s="335"/>
      <c r="K280" s="9">
        <v>0</v>
      </c>
      <c r="L280" s="9">
        <v>0</v>
      </c>
      <c r="M280" s="9"/>
      <c r="N280" s="9">
        <v>0</v>
      </c>
    </row>
    <row r="281" spans="1:14" x14ac:dyDescent="0.25">
      <c r="A281" s="25"/>
      <c r="B281" s="25"/>
      <c r="C281" s="18" t="s">
        <v>52</v>
      </c>
      <c r="D281" s="99"/>
      <c r="E281" s="17" t="s">
        <v>51</v>
      </c>
      <c r="F281" s="16">
        <f t="shared" ref="F281:N282" si="47">F282</f>
        <v>3297.7</v>
      </c>
      <c r="G281" s="16"/>
      <c r="H281" s="16">
        <f t="shared" si="47"/>
        <v>3297.7</v>
      </c>
      <c r="I281" s="16">
        <f t="shared" si="47"/>
        <v>3364.2</v>
      </c>
      <c r="J281" s="345"/>
      <c r="K281" s="16">
        <f t="shared" si="47"/>
        <v>3364.2</v>
      </c>
      <c r="L281" s="16">
        <f t="shared" si="47"/>
        <v>3364.2</v>
      </c>
      <c r="M281" s="16"/>
      <c r="N281" s="16">
        <f t="shared" si="47"/>
        <v>3364.2</v>
      </c>
    </row>
    <row r="282" spans="1:14" s="72" customFormat="1" ht="25.5" x14ac:dyDescent="0.25">
      <c r="A282" s="98"/>
      <c r="B282" s="98"/>
      <c r="C282" s="43" t="s">
        <v>16</v>
      </c>
      <c r="D282" s="42"/>
      <c r="E282" s="82" t="s">
        <v>15</v>
      </c>
      <c r="F282" s="13">
        <f t="shared" si="47"/>
        <v>3297.7</v>
      </c>
      <c r="G282" s="13"/>
      <c r="H282" s="13">
        <f t="shared" si="47"/>
        <v>3297.7</v>
      </c>
      <c r="I282" s="13">
        <f t="shared" si="47"/>
        <v>3364.2</v>
      </c>
      <c r="J282" s="346"/>
      <c r="K282" s="13">
        <f t="shared" si="47"/>
        <v>3364.2</v>
      </c>
      <c r="L282" s="13">
        <f t="shared" si="47"/>
        <v>3364.2</v>
      </c>
      <c r="M282" s="13"/>
      <c r="N282" s="13">
        <f t="shared" si="47"/>
        <v>3364.2</v>
      </c>
    </row>
    <row r="283" spans="1:14" ht="26.25" x14ac:dyDescent="0.25">
      <c r="A283" s="8"/>
      <c r="B283" s="8"/>
      <c r="C283" s="7" t="s">
        <v>383</v>
      </c>
      <c r="D283" s="7"/>
      <c r="E283" s="6" t="s">
        <v>382</v>
      </c>
      <c r="F283" s="9">
        <f>F284+F285+F286</f>
        <v>3297.7</v>
      </c>
      <c r="G283" s="9"/>
      <c r="H283" s="9">
        <f>H284+H285+H286</f>
        <v>3297.7</v>
      </c>
      <c r="I283" s="9">
        <f>I284+I285+I286</f>
        <v>3364.2</v>
      </c>
      <c r="J283" s="335"/>
      <c r="K283" s="9">
        <f>K284+K285+K286</f>
        <v>3364.2</v>
      </c>
      <c r="L283" s="9">
        <f>L284+L285+L286</f>
        <v>3364.2</v>
      </c>
      <c r="M283" s="9"/>
      <c r="N283" s="9">
        <f>N284+N285+N286</f>
        <v>3364.2</v>
      </c>
    </row>
    <row r="284" spans="1:14" ht="39" x14ac:dyDescent="0.25">
      <c r="A284" s="8"/>
      <c r="B284" s="8"/>
      <c r="C284" s="57"/>
      <c r="D284" s="7" t="s">
        <v>2</v>
      </c>
      <c r="E284" s="6" t="s">
        <v>1</v>
      </c>
      <c r="F284" s="9">
        <v>3141.1</v>
      </c>
      <c r="G284" s="9"/>
      <c r="H284" s="9">
        <v>3141.1</v>
      </c>
      <c r="I284" s="9">
        <v>3262.2</v>
      </c>
      <c r="J284" s="335"/>
      <c r="K284" s="9">
        <v>3262.2</v>
      </c>
      <c r="L284" s="9">
        <v>3262.2</v>
      </c>
      <c r="M284" s="9"/>
      <c r="N284" s="9">
        <v>3262.2</v>
      </c>
    </row>
    <row r="285" spans="1:14" x14ac:dyDescent="0.25">
      <c r="A285" s="8"/>
      <c r="B285" s="8"/>
      <c r="C285" s="57"/>
      <c r="D285" s="7" t="s">
        <v>12</v>
      </c>
      <c r="E285" s="6" t="s">
        <v>11</v>
      </c>
      <c r="F285" s="9">
        <v>154.4</v>
      </c>
      <c r="G285" s="9"/>
      <c r="H285" s="9">
        <f>99.8+54.6</f>
        <v>154.4</v>
      </c>
      <c r="I285" s="9">
        <v>99.8</v>
      </c>
      <c r="J285" s="335"/>
      <c r="K285" s="9">
        <v>99.8</v>
      </c>
      <c r="L285" s="9">
        <v>99.8</v>
      </c>
      <c r="M285" s="9"/>
      <c r="N285" s="9">
        <v>99.8</v>
      </c>
    </row>
    <row r="286" spans="1:14" x14ac:dyDescent="0.25">
      <c r="A286" s="8"/>
      <c r="B286" s="8"/>
      <c r="C286" s="57"/>
      <c r="D286" s="52" t="s">
        <v>22</v>
      </c>
      <c r="E286" s="53" t="s">
        <v>21</v>
      </c>
      <c r="F286" s="9">
        <v>2.2000000000000002</v>
      </c>
      <c r="G286" s="9"/>
      <c r="H286" s="9">
        <v>2.2000000000000002</v>
      </c>
      <c r="I286" s="9">
        <v>2.2000000000000002</v>
      </c>
      <c r="J286" s="335"/>
      <c r="K286" s="9">
        <v>2.2000000000000002</v>
      </c>
      <c r="L286" s="9">
        <v>2.2000000000000002</v>
      </c>
      <c r="M286" s="9"/>
      <c r="N286" s="9">
        <v>2.2000000000000002</v>
      </c>
    </row>
    <row r="287" spans="1:14" x14ac:dyDescent="0.25">
      <c r="A287" s="21"/>
      <c r="B287" s="22" t="s">
        <v>381</v>
      </c>
      <c r="C287" s="21"/>
      <c r="D287" s="21"/>
      <c r="E287" s="20" t="s">
        <v>380</v>
      </c>
      <c r="F287" s="26">
        <f t="shared" ref="F287:N287" si="48">F288+F316+F353</f>
        <v>81604.026149999991</v>
      </c>
      <c r="G287" s="26">
        <f t="shared" si="48"/>
        <v>1789.8</v>
      </c>
      <c r="H287" s="26">
        <f t="shared" si="48"/>
        <v>83393.826149999994</v>
      </c>
      <c r="I287" s="26">
        <f t="shared" si="48"/>
        <v>36135.212239999993</v>
      </c>
      <c r="J287" s="26">
        <f t="shared" si="48"/>
        <v>0</v>
      </c>
      <c r="K287" s="26">
        <f t="shared" si="48"/>
        <v>36135.212239999993</v>
      </c>
      <c r="L287" s="26">
        <f t="shared" si="48"/>
        <v>39911.569640000002</v>
      </c>
      <c r="M287" s="26">
        <f t="shared" si="48"/>
        <v>0</v>
      </c>
      <c r="N287" s="26">
        <f t="shared" si="48"/>
        <v>39911.569640000002</v>
      </c>
    </row>
    <row r="288" spans="1:14" x14ac:dyDescent="0.25">
      <c r="A288" s="21"/>
      <c r="B288" s="22" t="s">
        <v>379</v>
      </c>
      <c r="C288" s="21"/>
      <c r="D288" s="21"/>
      <c r="E288" s="20" t="s">
        <v>378</v>
      </c>
      <c r="F288" s="26">
        <f>F289</f>
        <v>3097.72552</v>
      </c>
      <c r="G288" s="26"/>
      <c r="H288" s="26">
        <f t="shared" ref="H288:N288" si="49">H289</f>
        <v>3097.72552</v>
      </c>
      <c r="I288" s="26">
        <f t="shared" si="49"/>
        <v>467.52511999999996</v>
      </c>
      <c r="J288" s="26">
        <f t="shared" si="49"/>
        <v>0</v>
      </c>
      <c r="K288" s="26">
        <f t="shared" si="49"/>
        <v>467.52511999999996</v>
      </c>
      <c r="L288" s="26">
        <f t="shared" si="49"/>
        <v>4272.4094700000005</v>
      </c>
      <c r="M288" s="26">
        <f t="shared" si="49"/>
        <v>0</v>
      </c>
      <c r="N288" s="26">
        <f t="shared" si="49"/>
        <v>4272.4094700000005</v>
      </c>
    </row>
    <row r="289" spans="1:14" x14ac:dyDescent="0.25">
      <c r="A289" s="21"/>
      <c r="B289" s="22"/>
      <c r="C289" s="21" t="s">
        <v>36</v>
      </c>
      <c r="D289" s="21"/>
      <c r="E289" s="27" t="s">
        <v>35</v>
      </c>
      <c r="F289" s="26">
        <f>F296+F310+F290</f>
        <v>3097.72552</v>
      </c>
      <c r="G289" s="26"/>
      <c r="H289" s="26">
        <f>H296+H310+H290</f>
        <v>3097.72552</v>
      </c>
      <c r="I289" s="26">
        <f>I296+I310+I290</f>
        <v>467.52511999999996</v>
      </c>
      <c r="J289" s="26">
        <f>J296+J310+J290</f>
        <v>0</v>
      </c>
      <c r="K289" s="26">
        <f>K296+K310+K290</f>
        <v>467.52511999999996</v>
      </c>
      <c r="L289" s="26">
        <f>L296+L310</f>
        <v>4272.4094700000005</v>
      </c>
      <c r="M289" s="26">
        <f>M296+M310</f>
        <v>0</v>
      </c>
      <c r="N289" s="26">
        <f>N296+N310</f>
        <v>4272.4094700000005</v>
      </c>
    </row>
    <row r="290" spans="1:14" ht="25.5" x14ac:dyDescent="0.25">
      <c r="A290" s="34"/>
      <c r="B290" s="33"/>
      <c r="C290" s="34" t="s">
        <v>268</v>
      </c>
      <c r="D290" s="33"/>
      <c r="E290" s="32" t="s">
        <v>267</v>
      </c>
      <c r="F290" s="31">
        <f t="shared" ref="F290:K292" si="50">F291</f>
        <v>0</v>
      </c>
      <c r="G290" s="31"/>
      <c r="H290" s="31">
        <f t="shared" si="50"/>
        <v>0</v>
      </c>
      <c r="I290" s="31">
        <f t="shared" si="50"/>
        <v>2.24472</v>
      </c>
      <c r="J290" s="332"/>
      <c r="K290" s="31">
        <f t="shared" si="50"/>
        <v>2.24472</v>
      </c>
      <c r="L290" s="31">
        <v>0</v>
      </c>
      <c r="M290" s="31"/>
      <c r="N290" s="31">
        <v>0</v>
      </c>
    </row>
    <row r="291" spans="1:14" ht="26.25" x14ac:dyDescent="0.25">
      <c r="A291" s="208"/>
      <c r="B291" s="208"/>
      <c r="C291" s="208" t="s">
        <v>616</v>
      </c>
      <c r="D291" s="208"/>
      <c r="E291" s="209" t="s">
        <v>617</v>
      </c>
      <c r="F291" s="210">
        <f t="shared" si="50"/>
        <v>0</v>
      </c>
      <c r="G291" s="210"/>
      <c r="H291" s="210">
        <f t="shared" si="50"/>
        <v>0</v>
      </c>
      <c r="I291" s="210">
        <f t="shared" si="50"/>
        <v>2.24472</v>
      </c>
      <c r="J291" s="334"/>
      <c r="K291" s="210">
        <f t="shared" si="50"/>
        <v>2.24472</v>
      </c>
      <c r="L291" s="210">
        <v>0</v>
      </c>
      <c r="M291" s="210"/>
      <c r="N291" s="210">
        <v>0</v>
      </c>
    </row>
    <row r="292" spans="1:14" ht="26.25" x14ac:dyDescent="0.25">
      <c r="A292" s="21"/>
      <c r="B292" s="22"/>
      <c r="C292" s="7" t="s">
        <v>614</v>
      </c>
      <c r="D292" s="7"/>
      <c r="E292" s="6" t="s">
        <v>615</v>
      </c>
      <c r="F292" s="26">
        <f t="shared" si="50"/>
        <v>0</v>
      </c>
      <c r="G292" s="26"/>
      <c r="H292" s="26">
        <f t="shared" si="50"/>
        <v>0</v>
      </c>
      <c r="I292" s="26">
        <f t="shared" si="50"/>
        <v>2.24472</v>
      </c>
      <c r="J292" s="336"/>
      <c r="K292" s="26">
        <f t="shared" si="50"/>
        <v>2.24472</v>
      </c>
      <c r="L292" s="26">
        <v>0</v>
      </c>
      <c r="M292" s="26"/>
      <c r="N292" s="26">
        <v>0</v>
      </c>
    </row>
    <row r="293" spans="1:14" ht="26.25" x14ac:dyDescent="0.25">
      <c r="A293" s="21"/>
      <c r="B293" s="22"/>
      <c r="C293" s="7"/>
      <c r="D293" s="7" t="s">
        <v>272</v>
      </c>
      <c r="E293" s="6" t="s">
        <v>271</v>
      </c>
      <c r="F293" s="26">
        <f>F294+F295</f>
        <v>0</v>
      </c>
      <c r="G293" s="26"/>
      <c r="H293" s="26">
        <f>H294+H295</f>
        <v>0</v>
      </c>
      <c r="I293" s="26">
        <f>I294+I295</f>
        <v>2.24472</v>
      </c>
      <c r="J293" s="336"/>
      <c r="K293" s="26">
        <f>K294+K295</f>
        <v>2.24472</v>
      </c>
      <c r="L293" s="26">
        <v>0</v>
      </c>
      <c r="M293" s="26"/>
      <c r="N293" s="26">
        <v>0</v>
      </c>
    </row>
    <row r="294" spans="1:14" x14ac:dyDescent="0.25">
      <c r="A294" s="21"/>
      <c r="B294" s="22"/>
      <c r="C294" s="21"/>
      <c r="D294" s="21"/>
      <c r="E294" s="94" t="s">
        <v>326</v>
      </c>
      <c r="F294" s="262">
        <v>0</v>
      </c>
      <c r="G294" s="262"/>
      <c r="H294" s="262">
        <v>0</v>
      </c>
      <c r="I294" s="262">
        <v>2.24472</v>
      </c>
      <c r="J294" s="347"/>
      <c r="K294" s="262">
        <v>2.24472</v>
      </c>
      <c r="L294" s="26">
        <v>0</v>
      </c>
      <c r="M294" s="26"/>
      <c r="N294" s="26">
        <v>0</v>
      </c>
    </row>
    <row r="295" spans="1:14" x14ac:dyDescent="0.25">
      <c r="A295" s="21"/>
      <c r="B295" s="22"/>
      <c r="C295" s="21"/>
      <c r="D295" s="21"/>
      <c r="E295" s="94" t="s">
        <v>613</v>
      </c>
      <c r="F295" s="262">
        <v>0</v>
      </c>
      <c r="G295" s="262"/>
      <c r="H295" s="262">
        <v>0</v>
      </c>
      <c r="I295" s="26">
        <v>0</v>
      </c>
      <c r="J295" s="336"/>
      <c r="K295" s="26">
        <v>0</v>
      </c>
      <c r="L295" s="26">
        <v>0</v>
      </c>
      <c r="M295" s="26"/>
      <c r="N295" s="26">
        <v>0</v>
      </c>
    </row>
    <row r="296" spans="1:14" ht="25.5" x14ac:dyDescent="0.25">
      <c r="A296" s="34"/>
      <c r="B296" s="33"/>
      <c r="C296" s="34" t="s">
        <v>285</v>
      </c>
      <c r="D296" s="33"/>
      <c r="E296" s="32" t="s">
        <v>284</v>
      </c>
      <c r="F296" s="31">
        <f>F297</f>
        <v>3097.72552</v>
      </c>
      <c r="G296" s="31"/>
      <c r="H296" s="31">
        <f>H297</f>
        <v>3097.72552</v>
      </c>
      <c r="I296" s="31">
        <f>I297</f>
        <v>229.22756999999999</v>
      </c>
      <c r="J296" s="332"/>
      <c r="K296" s="31">
        <f>K297</f>
        <v>229.22756999999999</v>
      </c>
      <c r="L296" s="31">
        <f>L297</f>
        <v>3003.9</v>
      </c>
      <c r="M296" s="31"/>
      <c r="N296" s="31">
        <f>N297</f>
        <v>3003.9</v>
      </c>
    </row>
    <row r="297" spans="1:14" ht="26.25" x14ac:dyDescent="0.25">
      <c r="A297" s="208"/>
      <c r="B297" s="208"/>
      <c r="C297" s="208" t="s">
        <v>283</v>
      </c>
      <c r="D297" s="208"/>
      <c r="E297" s="209" t="s">
        <v>282</v>
      </c>
      <c r="F297" s="210">
        <f>F298+F302+F306+F300+F304</f>
        <v>3097.72552</v>
      </c>
      <c r="G297" s="210"/>
      <c r="H297" s="210">
        <f>H298+H302+H306+H300+H304</f>
        <v>3097.72552</v>
      </c>
      <c r="I297" s="210">
        <f>I298+I302+I306+I300+I304</f>
        <v>229.22756999999999</v>
      </c>
      <c r="J297" s="334"/>
      <c r="K297" s="210">
        <f>K298+K302+K306+K300+K304</f>
        <v>229.22756999999999</v>
      </c>
      <c r="L297" s="210">
        <f>L298+L302+L306+L300+L304</f>
        <v>3003.9</v>
      </c>
      <c r="M297" s="210"/>
      <c r="N297" s="210">
        <f>N298+N302+N306+N300+N304</f>
        <v>3003.9</v>
      </c>
    </row>
    <row r="298" spans="1:14" ht="39" x14ac:dyDescent="0.25">
      <c r="A298" s="8"/>
      <c r="B298" s="8"/>
      <c r="C298" s="7" t="s">
        <v>377</v>
      </c>
      <c r="D298" s="7"/>
      <c r="E298" s="76" t="s">
        <v>376</v>
      </c>
      <c r="F298" s="9">
        <f>F299</f>
        <v>110.6</v>
      </c>
      <c r="G298" s="9"/>
      <c r="H298" s="9">
        <f>H299</f>
        <v>110.6</v>
      </c>
      <c r="I298" s="9">
        <f>I299</f>
        <v>110.6</v>
      </c>
      <c r="J298" s="335"/>
      <c r="K298" s="9">
        <f>K299</f>
        <v>110.6</v>
      </c>
      <c r="L298" s="9">
        <f>L299</f>
        <v>110.6</v>
      </c>
      <c r="M298" s="9"/>
      <c r="N298" s="9">
        <f>N299</f>
        <v>110.6</v>
      </c>
    </row>
    <row r="299" spans="1:14" x14ac:dyDescent="0.25">
      <c r="A299" s="8"/>
      <c r="B299" s="8"/>
      <c r="C299" s="7"/>
      <c r="D299" s="7" t="s">
        <v>12</v>
      </c>
      <c r="E299" s="6" t="s">
        <v>11</v>
      </c>
      <c r="F299" s="9">
        <v>110.6</v>
      </c>
      <c r="G299" s="9"/>
      <c r="H299" s="9">
        <v>110.6</v>
      </c>
      <c r="I299" s="9">
        <v>110.6</v>
      </c>
      <c r="J299" s="335"/>
      <c r="K299" s="9">
        <v>110.6</v>
      </c>
      <c r="L299" s="9">
        <v>110.6</v>
      </c>
      <c r="M299" s="9"/>
      <c r="N299" s="9">
        <v>110.6</v>
      </c>
    </row>
    <row r="300" spans="1:14" ht="26.25" x14ac:dyDescent="0.25">
      <c r="A300" s="8"/>
      <c r="B300" s="8"/>
      <c r="C300" s="7" t="s">
        <v>281</v>
      </c>
      <c r="D300" s="7"/>
      <c r="E300" s="76" t="s">
        <v>280</v>
      </c>
      <c r="F300" s="9">
        <f>F301</f>
        <v>2368.4</v>
      </c>
      <c r="G300" s="9"/>
      <c r="H300" s="9">
        <f>H301</f>
        <v>2368.4</v>
      </c>
      <c r="I300" s="9">
        <f>I301</f>
        <v>0</v>
      </c>
      <c r="J300" s="335"/>
      <c r="K300" s="9">
        <f>K301</f>
        <v>0</v>
      </c>
      <c r="L300" s="9">
        <f>L301</f>
        <v>2368.4</v>
      </c>
      <c r="M300" s="9"/>
      <c r="N300" s="9">
        <f>N301</f>
        <v>2368.4</v>
      </c>
    </row>
    <row r="301" spans="1:14" x14ac:dyDescent="0.25">
      <c r="A301" s="8"/>
      <c r="B301" s="8"/>
      <c r="C301" s="7"/>
      <c r="D301" s="7" t="s">
        <v>12</v>
      </c>
      <c r="E301" s="6" t="s">
        <v>11</v>
      </c>
      <c r="F301" s="9">
        <v>2368.4</v>
      </c>
      <c r="G301" s="9"/>
      <c r="H301" s="9">
        <v>2368.4</v>
      </c>
      <c r="I301" s="9">
        <v>0</v>
      </c>
      <c r="J301" s="335"/>
      <c r="K301" s="9">
        <v>0</v>
      </c>
      <c r="L301" s="9">
        <v>2368.4</v>
      </c>
      <c r="M301" s="9"/>
      <c r="N301" s="9">
        <v>2368.4</v>
      </c>
    </row>
    <row r="302" spans="1:14" ht="26.25" x14ac:dyDescent="0.25">
      <c r="A302" s="8"/>
      <c r="B302" s="8"/>
      <c r="C302" s="7" t="s">
        <v>375</v>
      </c>
      <c r="D302" s="7"/>
      <c r="E302" s="6" t="s">
        <v>374</v>
      </c>
      <c r="F302" s="9">
        <f>F303</f>
        <v>35.299999999999997</v>
      </c>
      <c r="G302" s="9"/>
      <c r="H302" s="9">
        <f>H303</f>
        <v>35.299999999999997</v>
      </c>
      <c r="I302" s="9">
        <f>I303</f>
        <v>35.299999999999997</v>
      </c>
      <c r="J302" s="335"/>
      <c r="K302" s="9">
        <f>K303</f>
        <v>35.299999999999997</v>
      </c>
      <c r="L302" s="9">
        <f>L303</f>
        <v>35.299999999999997</v>
      </c>
      <c r="M302" s="9"/>
      <c r="N302" s="9">
        <f>N303</f>
        <v>35.299999999999997</v>
      </c>
    </row>
    <row r="303" spans="1:14" x14ac:dyDescent="0.25">
      <c r="A303" s="8"/>
      <c r="B303" s="8"/>
      <c r="C303" s="7"/>
      <c r="D303" s="7" t="s">
        <v>12</v>
      </c>
      <c r="E303" s="6" t="s">
        <v>11</v>
      </c>
      <c r="F303" s="9">
        <v>35.299999999999997</v>
      </c>
      <c r="G303" s="9"/>
      <c r="H303" s="9">
        <v>35.299999999999997</v>
      </c>
      <c r="I303" s="9">
        <v>35.299999999999997</v>
      </c>
      <c r="J303" s="335"/>
      <c r="K303" s="9">
        <v>35.299999999999997</v>
      </c>
      <c r="L303" s="9">
        <v>35.299999999999997</v>
      </c>
      <c r="M303" s="9"/>
      <c r="N303" s="9">
        <v>35.299999999999997</v>
      </c>
    </row>
    <row r="304" spans="1:14" ht="26.25" x14ac:dyDescent="0.25">
      <c r="A304" s="8"/>
      <c r="B304" s="8"/>
      <c r="C304" s="7" t="s">
        <v>589</v>
      </c>
      <c r="D304" s="7"/>
      <c r="E304" s="6" t="s">
        <v>590</v>
      </c>
      <c r="F304" s="9">
        <f>F305</f>
        <v>489.6</v>
      </c>
      <c r="G304" s="9"/>
      <c r="H304" s="9">
        <f>H305</f>
        <v>489.6</v>
      </c>
      <c r="I304" s="9">
        <f>I305</f>
        <v>0</v>
      </c>
      <c r="J304" s="335"/>
      <c r="K304" s="9">
        <f>K305</f>
        <v>0</v>
      </c>
      <c r="L304" s="9">
        <f>L305</f>
        <v>489.6</v>
      </c>
      <c r="M304" s="9"/>
      <c r="N304" s="9">
        <f>N305</f>
        <v>489.6</v>
      </c>
    </row>
    <row r="305" spans="1:14" x14ac:dyDescent="0.25">
      <c r="A305" s="8"/>
      <c r="B305" s="8"/>
      <c r="C305" s="7"/>
      <c r="D305" s="7" t="s">
        <v>12</v>
      </c>
      <c r="E305" s="6" t="s">
        <v>11</v>
      </c>
      <c r="F305" s="9">
        <v>489.6</v>
      </c>
      <c r="G305" s="9"/>
      <c r="H305" s="9">
        <v>489.6</v>
      </c>
      <c r="I305" s="9">
        <v>0</v>
      </c>
      <c r="J305" s="335"/>
      <c r="K305" s="9">
        <v>0</v>
      </c>
      <c r="L305" s="9">
        <v>489.6</v>
      </c>
      <c r="M305" s="9"/>
      <c r="N305" s="9">
        <v>489.6</v>
      </c>
    </row>
    <row r="306" spans="1:14" ht="26.25" x14ac:dyDescent="0.25">
      <c r="A306" s="8"/>
      <c r="B306" s="8"/>
      <c r="C306" s="7" t="s">
        <v>373</v>
      </c>
      <c r="D306" s="7"/>
      <c r="E306" s="6" t="s">
        <v>372</v>
      </c>
      <c r="F306" s="9">
        <f>F307</f>
        <v>93.825519999999997</v>
      </c>
      <c r="G306" s="9"/>
      <c r="H306" s="9">
        <f>H307</f>
        <v>93.825519999999997</v>
      </c>
      <c r="I306" s="9">
        <f>I307</f>
        <v>83.327570000000009</v>
      </c>
      <c r="J306" s="335"/>
      <c r="K306" s="9">
        <f>K307</f>
        <v>83.327570000000009</v>
      </c>
      <c r="L306" s="9">
        <v>0</v>
      </c>
      <c r="M306" s="9"/>
      <c r="N306" s="9">
        <v>0</v>
      </c>
    </row>
    <row r="307" spans="1:14" x14ac:dyDescent="0.25">
      <c r="A307" s="8"/>
      <c r="B307" s="8"/>
      <c r="C307" s="7"/>
      <c r="D307" s="7" t="s">
        <v>12</v>
      </c>
      <c r="E307" s="6" t="s">
        <v>11</v>
      </c>
      <c r="F307" s="9">
        <f>F308+F309</f>
        <v>93.825519999999997</v>
      </c>
      <c r="G307" s="9"/>
      <c r="H307" s="9">
        <f>H308+H309</f>
        <v>93.825519999999997</v>
      </c>
      <c r="I307" s="9">
        <f>I308+I309</f>
        <v>83.327570000000009</v>
      </c>
      <c r="J307" s="335"/>
      <c r="K307" s="9">
        <f>K308+K309</f>
        <v>83.327570000000009</v>
      </c>
      <c r="L307" s="9">
        <v>0</v>
      </c>
      <c r="M307" s="9"/>
      <c r="N307" s="9">
        <v>0</v>
      </c>
    </row>
    <row r="308" spans="1:14" x14ac:dyDescent="0.25">
      <c r="A308" s="8"/>
      <c r="B308" s="8"/>
      <c r="C308" s="7"/>
      <c r="D308" s="7"/>
      <c r="E308" s="6" t="s">
        <v>371</v>
      </c>
      <c r="F308" s="9">
        <v>91.948999999999998</v>
      </c>
      <c r="G308" s="9"/>
      <c r="H308" s="9">
        <v>91.948999999999998</v>
      </c>
      <c r="I308" s="9">
        <v>81.661000000000001</v>
      </c>
      <c r="J308" s="335"/>
      <c r="K308" s="9">
        <v>81.661000000000001</v>
      </c>
      <c r="L308" s="9">
        <v>0</v>
      </c>
      <c r="M308" s="9"/>
      <c r="N308" s="9">
        <v>0</v>
      </c>
    </row>
    <row r="309" spans="1:14" x14ac:dyDescent="0.25">
      <c r="A309" s="8"/>
      <c r="B309" s="8"/>
      <c r="C309" s="7"/>
      <c r="D309" s="7"/>
      <c r="E309" s="6" t="s">
        <v>370</v>
      </c>
      <c r="F309" s="9">
        <v>1.87652</v>
      </c>
      <c r="G309" s="9"/>
      <c r="H309" s="9">
        <v>1.87652</v>
      </c>
      <c r="I309" s="9">
        <v>1.6665700000000001</v>
      </c>
      <c r="J309" s="335"/>
      <c r="K309" s="9">
        <v>1.6665700000000001</v>
      </c>
      <c r="L309" s="9">
        <v>0</v>
      </c>
      <c r="M309" s="9"/>
      <c r="N309" s="9">
        <v>0</v>
      </c>
    </row>
    <row r="310" spans="1:14" ht="25.5" x14ac:dyDescent="0.25">
      <c r="A310" s="34"/>
      <c r="B310" s="33"/>
      <c r="C310" s="34" t="s">
        <v>369</v>
      </c>
      <c r="D310" s="33"/>
      <c r="E310" s="32" t="s">
        <v>368</v>
      </c>
      <c r="F310" s="31">
        <f>F311</f>
        <v>0</v>
      </c>
      <c r="G310" s="31"/>
      <c r="H310" s="31">
        <f t="shared" ref="H310:J312" si="51">H311</f>
        <v>0</v>
      </c>
      <c r="I310" s="31">
        <f t="shared" si="51"/>
        <v>236.05282999999997</v>
      </c>
      <c r="J310" s="31">
        <f t="shared" si="51"/>
        <v>0</v>
      </c>
      <c r="K310" s="31">
        <f t="shared" ref="K310:M314" si="52">K311</f>
        <v>236.05282999999997</v>
      </c>
      <c r="L310" s="31">
        <f t="shared" si="52"/>
        <v>1268.50947</v>
      </c>
      <c r="M310" s="31">
        <f t="shared" si="52"/>
        <v>0</v>
      </c>
      <c r="N310" s="31">
        <f>N311</f>
        <v>1268.50947</v>
      </c>
    </row>
    <row r="311" spans="1:14" ht="39" x14ac:dyDescent="0.25">
      <c r="A311" s="30"/>
      <c r="B311" s="30"/>
      <c r="C311" s="30" t="s">
        <v>367</v>
      </c>
      <c r="D311" s="97"/>
      <c r="E311" s="50" t="s">
        <v>366</v>
      </c>
      <c r="F311" s="28">
        <f>F312</f>
        <v>0</v>
      </c>
      <c r="G311" s="28"/>
      <c r="H311" s="28">
        <f t="shared" si="51"/>
        <v>0</v>
      </c>
      <c r="I311" s="28">
        <f t="shared" si="51"/>
        <v>236.05282999999997</v>
      </c>
      <c r="J311" s="28">
        <f t="shared" si="51"/>
        <v>0</v>
      </c>
      <c r="K311" s="28">
        <f t="shared" si="52"/>
        <v>236.05282999999997</v>
      </c>
      <c r="L311" s="28">
        <f t="shared" si="52"/>
        <v>1268.50947</v>
      </c>
      <c r="M311" s="28">
        <f t="shared" si="52"/>
        <v>0</v>
      </c>
      <c r="N311" s="28">
        <f>N312</f>
        <v>1268.50947</v>
      </c>
    </row>
    <row r="312" spans="1:14" ht="39" x14ac:dyDescent="0.25">
      <c r="A312" s="208"/>
      <c r="B312" s="208"/>
      <c r="C312" s="208" t="s">
        <v>365</v>
      </c>
      <c r="D312" s="216"/>
      <c r="E312" s="209" t="s">
        <v>364</v>
      </c>
      <c r="F312" s="221">
        <f>F313</f>
        <v>0</v>
      </c>
      <c r="G312" s="221"/>
      <c r="H312" s="221">
        <f t="shared" si="51"/>
        <v>0</v>
      </c>
      <c r="I312" s="221">
        <f t="shared" si="51"/>
        <v>236.05282999999997</v>
      </c>
      <c r="J312" s="221">
        <f t="shared" si="51"/>
        <v>0</v>
      </c>
      <c r="K312" s="221">
        <f t="shared" si="52"/>
        <v>236.05282999999997</v>
      </c>
      <c r="L312" s="221">
        <f t="shared" si="52"/>
        <v>1268.50947</v>
      </c>
      <c r="M312" s="221">
        <f t="shared" si="52"/>
        <v>0</v>
      </c>
      <c r="N312" s="221">
        <f>N313</f>
        <v>1268.50947</v>
      </c>
    </row>
    <row r="313" spans="1:14" ht="26.25" x14ac:dyDescent="0.25">
      <c r="A313" s="8"/>
      <c r="B313" s="8"/>
      <c r="C313" s="131" t="s">
        <v>608</v>
      </c>
      <c r="D313" s="7"/>
      <c r="E313" s="195" t="s">
        <v>790</v>
      </c>
      <c r="F313" s="9">
        <v>0</v>
      </c>
      <c r="G313" s="9"/>
      <c r="H313" s="9">
        <v>0</v>
      </c>
      <c r="I313" s="9">
        <f>I314</f>
        <v>236.05282999999997</v>
      </c>
      <c r="J313" s="9">
        <f>J314</f>
        <v>0</v>
      </c>
      <c r="K313" s="9">
        <f t="shared" si="52"/>
        <v>236.05282999999997</v>
      </c>
      <c r="L313" s="9">
        <f t="shared" si="52"/>
        <v>1268.50947</v>
      </c>
      <c r="M313" s="9">
        <f t="shared" si="52"/>
        <v>0</v>
      </c>
      <c r="N313" s="9">
        <f>N314</f>
        <v>1268.50947</v>
      </c>
    </row>
    <row r="314" spans="1:14" ht="26.25" x14ac:dyDescent="0.25">
      <c r="A314" s="8"/>
      <c r="B314" s="8"/>
      <c r="C314" s="7"/>
      <c r="D314" s="7" t="s">
        <v>272</v>
      </c>
      <c r="E314" s="6" t="s">
        <v>271</v>
      </c>
      <c r="F314" s="9">
        <v>0</v>
      </c>
      <c r="G314" s="9"/>
      <c r="H314" s="9">
        <v>0</v>
      </c>
      <c r="I314" s="9">
        <f>I315</f>
        <v>236.05282999999997</v>
      </c>
      <c r="J314" s="335">
        <f>J315</f>
        <v>0</v>
      </c>
      <c r="K314" s="9">
        <f t="shared" si="52"/>
        <v>236.05282999999997</v>
      </c>
      <c r="L314" s="9">
        <f t="shared" si="52"/>
        <v>1268.50947</v>
      </c>
      <c r="M314" s="9">
        <f t="shared" si="52"/>
        <v>0</v>
      </c>
      <c r="N314" s="9">
        <f>N315</f>
        <v>1268.50947</v>
      </c>
    </row>
    <row r="315" spans="1:14" x14ac:dyDescent="0.25">
      <c r="A315" s="8"/>
      <c r="B315" s="8"/>
      <c r="C315" s="7"/>
      <c r="D315" s="7"/>
      <c r="E315" s="94" t="s">
        <v>164</v>
      </c>
      <c r="F315" s="9">
        <v>0</v>
      </c>
      <c r="G315" s="9"/>
      <c r="H315" s="9">
        <v>0</v>
      </c>
      <c r="I315" s="261">
        <v>236.05282999999997</v>
      </c>
      <c r="J315" s="344"/>
      <c r="K315" s="261">
        <f>194.59908+41.45375</f>
        <v>236.05282999999997</v>
      </c>
      <c r="L315" s="261">
        <v>1268.50947</v>
      </c>
      <c r="M315" s="261"/>
      <c r="N315" s="261">
        <f>993.109+275.40047</f>
        <v>1268.50947</v>
      </c>
    </row>
    <row r="316" spans="1:14" x14ac:dyDescent="0.25">
      <c r="A316" s="21"/>
      <c r="B316" s="22" t="s">
        <v>363</v>
      </c>
      <c r="C316" s="21"/>
      <c r="D316" s="21"/>
      <c r="E316" s="20" t="s">
        <v>362</v>
      </c>
      <c r="F316" s="26">
        <f>F317+F344</f>
        <v>32549.029309999998</v>
      </c>
      <c r="G316" s="26">
        <f>G317+G344</f>
        <v>1518.7982199999999</v>
      </c>
      <c r="H316" s="26">
        <f>H317+H344</f>
        <v>34067.827529999995</v>
      </c>
      <c r="I316" s="26">
        <f>I317+I344</f>
        <v>2477.6</v>
      </c>
      <c r="J316" s="336"/>
      <c r="K316" s="26">
        <f>K317+K344</f>
        <v>2477.6</v>
      </c>
      <c r="L316" s="26">
        <f>L317+L344</f>
        <v>3993.1</v>
      </c>
      <c r="M316" s="26"/>
      <c r="N316" s="26">
        <f>N317+N344</f>
        <v>3993.1</v>
      </c>
    </row>
    <row r="317" spans="1:14" x14ac:dyDescent="0.25">
      <c r="A317" s="21"/>
      <c r="B317" s="52"/>
      <c r="C317" s="21" t="s">
        <v>36</v>
      </c>
      <c r="D317" s="21"/>
      <c r="E317" s="27" t="s">
        <v>35</v>
      </c>
      <c r="F317" s="26">
        <f>F318</f>
        <v>23272.029309999998</v>
      </c>
      <c r="G317" s="26">
        <f>G318</f>
        <v>-23.001779999999989</v>
      </c>
      <c r="H317" s="26">
        <f>H318</f>
        <v>23249.027529999999</v>
      </c>
      <c r="I317" s="26">
        <f>I318</f>
        <v>2477.6</v>
      </c>
      <c r="J317" s="336"/>
      <c r="K317" s="26">
        <f>K318</f>
        <v>2477.6</v>
      </c>
      <c r="L317" s="26">
        <f>L318</f>
        <v>3993.1</v>
      </c>
      <c r="M317" s="26"/>
      <c r="N317" s="26">
        <f>N318</f>
        <v>3993.1</v>
      </c>
    </row>
    <row r="318" spans="1:14" ht="25.5" x14ac:dyDescent="0.25">
      <c r="A318" s="34"/>
      <c r="B318" s="33"/>
      <c r="C318" s="34" t="s">
        <v>307</v>
      </c>
      <c r="D318" s="33"/>
      <c r="E318" s="32" t="s">
        <v>306</v>
      </c>
      <c r="F318" s="31">
        <f>F319+F323</f>
        <v>23272.029309999998</v>
      </c>
      <c r="G318" s="31">
        <f>G319+G323</f>
        <v>-23.001779999999989</v>
      </c>
      <c r="H318" s="31">
        <f>H319+H323</f>
        <v>23249.027529999999</v>
      </c>
      <c r="I318" s="31">
        <f>I319+I323</f>
        <v>2477.6</v>
      </c>
      <c r="J318" s="332"/>
      <c r="K318" s="31">
        <f>K319+K323</f>
        <v>2477.6</v>
      </c>
      <c r="L318" s="31">
        <f>L319+L323</f>
        <v>3993.1</v>
      </c>
      <c r="M318" s="31"/>
      <c r="N318" s="31">
        <f>N319+N323</f>
        <v>3993.1</v>
      </c>
    </row>
    <row r="319" spans="1:14" ht="26.25" x14ac:dyDescent="0.25">
      <c r="A319" s="30"/>
      <c r="B319" s="30"/>
      <c r="C319" s="30" t="s">
        <v>305</v>
      </c>
      <c r="D319" s="30"/>
      <c r="E319" s="77" t="s">
        <v>304</v>
      </c>
      <c r="F319" s="28">
        <f t="shared" ref="F319:N320" si="53">F320</f>
        <v>648.5</v>
      </c>
      <c r="G319" s="28"/>
      <c r="H319" s="28">
        <f t="shared" si="53"/>
        <v>648.5</v>
      </c>
      <c r="I319" s="28">
        <f t="shared" si="53"/>
        <v>154</v>
      </c>
      <c r="J319" s="333"/>
      <c r="K319" s="28">
        <f t="shared" si="53"/>
        <v>154</v>
      </c>
      <c r="L319" s="28">
        <f t="shared" si="53"/>
        <v>0</v>
      </c>
      <c r="M319" s="28"/>
      <c r="N319" s="28">
        <f t="shared" si="53"/>
        <v>0</v>
      </c>
    </row>
    <row r="320" spans="1:14" x14ac:dyDescent="0.25">
      <c r="A320" s="208"/>
      <c r="B320" s="208"/>
      <c r="C320" s="208" t="s">
        <v>303</v>
      </c>
      <c r="D320" s="216"/>
      <c r="E320" s="220" t="s">
        <v>302</v>
      </c>
      <c r="F320" s="210">
        <f t="shared" si="53"/>
        <v>648.5</v>
      </c>
      <c r="G320" s="210"/>
      <c r="H320" s="210">
        <f t="shared" si="53"/>
        <v>648.5</v>
      </c>
      <c r="I320" s="210">
        <f t="shared" si="53"/>
        <v>154</v>
      </c>
      <c r="J320" s="334"/>
      <c r="K320" s="210">
        <f t="shared" si="53"/>
        <v>154</v>
      </c>
      <c r="L320" s="210">
        <f t="shared" si="53"/>
        <v>0</v>
      </c>
      <c r="M320" s="210"/>
      <c r="N320" s="210">
        <f t="shared" si="53"/>
        <v>0</v>
      </c>
    </row>
    <row r="321" spans="1:14" x14ac:dyDescent="0.25">
      <c r="A321" s="8"/>
      <c r="B321" s="8"/>
      <c r="C321" s="7" t="s">
        <v>361</v>
      </c>
      <c r="D321" s="69"/>
      <c r="E321" s="12" t="s">
        <v>360</v>
      </c>
      <c r="F321" s="5">
        <f>F322</f>
        <v>648.5</v>
      </c>
      <c r="G321" s="5"/>
      <c r="H321" s="5">
        <f>H322</f>
        <v>648.5</v>
      </c>
      <c r="I321" s="5">
        <f>I322</f>
        <v>154</v>
      </c>
      <c r="J321" s="337"/>
      <c r="K321" s="5">
        <f>K322</f>
        <v>154</v>
      </c>
      <c r="L321" s="5">
        <v>0</v>
      </c>
      <c r="M321" s="5"/>
      <c r="N321" s="5">
        <v>0</v>
      </c>
    </row>
    <row r="322" spans="1:14" x14ac:dyDescent="0.25">
      <c r="A322" s="8"/>
      <c r="B322" s="8"/>
      <c r="C322" s="7"/>
      <c r="D322" s="7" t="s">
        <v>12</v>
      </c>
      <c r="E322" s="6" t="s">
        <v>11</v>
      </c>
      <c r="F322" s="5">
        <v>648.5</v>
      </c>
      <c r="G322" s="5"/>
      <c r="H322" s="5">
        <v>648.5</v>
      </c>
      <c r="I322" s="5">
        <v>154</v>
      </c>
      <c r="J322" s="337"/>
      <c r="K322" s="5">
        <v>154</v>
      </c>
      <c r="L322" s="5">
        <v>0</v>
      </c>
      <c r="M322" s="5"/>
      <c r="N322" s="5">
        <v>0</v>
      </c>
    </row>
    <row r="323" spans="1:14" ht="26.25" x14ac:dyDescent="0.25">
      <c r="A323" s="30"/>
      <c r="B323" s="30"/>
      <c r="C323" s="30" t="s">
        <v>359</v>
      </c>
      <c r="D323" s="30"/>
      <c r="E323" s="77" t="s">
        <v>358</v>
      </c>
      <c r="F323" s="28">
        <f>F324+F339</f>
        <v>22623.529309999998</v>
      </c>
      <c r="G323" s="28">
        <f>G324+G339</f>
        <v>-23.001779999999989</v>
      </c>
      <c r="H323" s="28">
        <f t="shared" ref="H323:N323" si="54">H324+H339</f>
        <v>22600.527529999999</v>
      </c>
      <c r="I323" s="28">
        <f t="shared" si="54"/>
        <v>2323.6</v>
      </c>
      <c r="J323" s="28"/>
      <c r="K323" s="28">
        <f t="shared" si="54"/>
        <v>2323.6</v>
      </c>
      <c r="L323" s="28">
        <f t="shared" si="54"/>
        <v>3993.1</v>
      </c>
      <c r="M323" s="28"/>
      <c r="N323" s="28">
        <f t="shared" si="54"/>
        <v>3993.1</v>
      </c>
    </row>
    <row r="324" spans="1:14" ht="40.5" customHeight="1" x14ac:dyDescent="0.25">
      <c r="A324" s="208"/>
      <c r="B324" s="208"/>
      <c r="C324" s="208" t="s">
        <v>357</v>
      </c>
      <c r="D324" s="208"/>
      <c r="E324" s="220" t="s">
        <v>356</v>
      </c>
      <c r="F324" s="210">
        <f>F327+F329+F325+F331+F333+F335+F337</f>
        <v>14101.8</v>
      </c>
      <c r="G324" s="210">
        <f>G327+G329+G325+G331+G333+G335+G337</f>
        <v>-23.001779999999989</v>
      </c>
      <c r="H324" s="210">
        <f t="shared" ref="H324:N324" si="55">H327+H329+H325+H331+H333+H335+H337</f>
        <v>14078.798220000001</v>
      </c>
      <c r="I324" s="210">
        <f t="shared" si="55"/>
        <v>2323.6</v>
      </c>
      <c r="J324" s="210"/>
      <c r="K324" s="210">
        <f t="shared" si="55"/>
        <v>2323.6</v>
      </c>
      <c r="L324" s="210">
        <f t="shared" si="55"/>
        <v>3993.1</v>
      </c>
      <c r="M324" s="210"/>
      <c r="N324" s="210">
        <f t="shared" si="55"/>
        <v>3993.1</v>
      </c>
    </row>
    <row r="325" spans="1:14" x14ac:dyDescent="0.25">
      <c r="A325" s="57"/>
      <c r="B325" s="57"/>
      <c r="C325" s="52" t="s">
        <v>355</v>
      </c>
      <c r="D325" s="81"/>
      <c r="E325" s="10" t="s">
        <v>354</v>
      </c>
      <c r="F325" s="9">
        <f>F326</f>
        <v>120</v>
      </c>
      <c r="G325" s="9">
        <f>G326</f>
        <v>-120</v>
      </c>
      <c r="H325" s="9">
        <f>H326</f>
        <v>0</v>
      </c>
      <c r="I325" s="9">
        <v>0</v>
      </c>
      <c r="J325" s="335"/>
      <c r="K325" s="9">
        <v>0</v>
      </c>
      <c r="L325" s="9">
        <v>0</v>
      </c>
      <c r="M325" s="9"/>
      <c r="N325" s="9">
        <v>0</v>
      </c>
    </row>
    <row r="326" spans="1:14" x14ac:dyDescent="0.25">
      <c r="A326" s="57"/>
      <c r="B326" s="57"/>
      <c r="C326" s="52"/>
      <c r="D326" s="7" t="s">
        <v>12</v>
      </c>
      <c r="E326" s="6" t="s">
        <v>11</v>
      </c>
      <c r="F326" s="9">
        <v>120</v>
      </c>
      <c r="G326" s="9">
        <v>-120</v>
      </c>
      <c r="H326" s="9">
        <v>0</v>
      </c>
      <c r="I326" s="9">
        <v>0</v>
      </c>
      <c r="J326" s="335"/>
      <c r="K326" s="9">
        <v>0</v>
      </c>
      <c r="L326" s="9">
        <v>0</v>
      </c>
      <c r="M326" s="9"/>
      <c r="N326" s="9">
        <v>0</v>
      </c>
    </row>
    <row r="327" spans="1:14" x14ac:dyDescent="0.25">
      <c r="A327" s="7"/>
      <c r="B327" s="7"/>
      <c r="C327" s="7" t="s">
        <v>353</v>
      </c>
      <c r="D327" s="7"/>
      <c r="E327" s="12" t="s">
        <v>352</v>
      </c>
      <c r="F327" s="5">
        <f>F328</f>
        <v>2304.9</v>
      </c>
      <c r="G327" s="5">
        <f>G328</f>
        <v>381.62563</v>
      </c>
      <c r="H327" s="5">
        <f>H328</f>
        <v>2686.5256300000001</v>
      </c>
      <c r="I327" s="5">
        <f>I328</f>
        <v>2323.6</v>
      </c>
      <c r="J327" s="337"/>
      <c r="K327" s="5">
        <f>K328</f>
        <v>2323.6</v>
      </c>
      <c r="L327" s="5">
        <f>L328</f>
        <v>3993.1</v>
      </c>
      <c r="M327" s="5"/>
      <c r="N327" s="5">
        <f>N328</f>
        <v>3993.1</v>
      </c>
    </row>
    <row r="328" spans="1:14" x14ac:dyDescent="0.25">
      <c r="A328" s="57"/>
      <c r="B328" s="57"/>
      <c r="C328" s="57"/>
      <c r="D328" s="7" t="s">
        <v>12</v>
      </c>
      <c r="E328" s="6" t="s">
        <v>11</v>
      </c>
      <c r="F328" s="5">
        <v>2304.9</v>
      </c>
      <c r="G328" s="261">
        <v>381.62563</v>
      </c>
      <c r="H328" s="5">
        <f>SUM(F328:G328)</f>
        <v>2686.5256300000001</v>
      </c>
      <c r="I328" s="5">
        <v>2323.6</v>
      </c>
      <c r="J328" s="337"/>
      <c r="K328" s="5">
        <v>2323.6</v>
      </c>
      <c r="L328" s="5">
        <v>3993.1</v>
      </c>
      <c r="M328" s="5"/>
      <c r="N328" s="5">
        <v>3993.1</v>
      </c>
    </row>
    <row r="329" spans="1:14" ht="26.25" x14ac:dyDescent="0.25">
      <c r="A329" s="7"/>
      <c r="B329" s="7"/>
      <c r="C329" s="7" t="s">
        <v>351</v>
      </c>
      <c r="D329" s="7"/>
      <c r="E329" s="6" t="s">
        <v>350</v>
      </c>
      <c r="F329" s="9">
        <f>F330</f>
        <v>507.3</v>
      </c>
      <c r="G329" s="9">
        <f>G330</f>
        <v>-228.63499999999999</v>
      </c>
      <c r="H329" s="9">
        <f>H330</f>
        <v>278.66500000000002</v>
      </c>
      <c r="I329" s="9">
        <f>I330</f>
        <v>0</v>
      </c>
      <c r="J329" s="335"/>
      <c r="K329" s="9">
        <f>K330</f>
        <v>0</v>
      </c>
      <c r="L329" s="9">
        <f>L330</f>
        <v>0</v>
      </c>
      <c r="M329" s="9"/>
      <c r="N329" s="9">
        <f>N330</f>
        <v>0</v>
      </c>
    </row>
    <row r="330" spans="1:14" x14ac:dyDescent="0.25">
      <c r="A330" s="7"/>
      <c r="B330" s="7"/>
      <c r="C330" s="7"/>
      <c r="D330" s="7" t="s">
        <v>12</v>
      </c>
      <c r="E330" s="6" t="s">
        <v>11</v>
      </c>
      <c r="F330" s="9">
        <v>507.3</v>
      </c>
      <c r="G330" s="261">
        <v>-228.63499999999999</v>
      </c>
      <c r="H330" s="9">
        <f>SUM(F330:G330)</f>
        <v>278.66500000000002</v>
      </c>
      <c r="I330" s="9">
        <v>0</v>
      </c>
      <c r="J330" s="335"/>
      <c r="K330" s="9">
        <v>0</v>
      </c>
      <c r="L330" s="9">
        <v>0</v>
      </c>
      <c r="M330" s="9"/>
      <c r="N330" s="9">
        <v>0</v>
      </c>
    </row>
    <row r="331" spans="1:14" ht="39" x14ac:dyDescent="0.25">
      <c r="A331" s="7"/>
      <c r="B331" s="7"/>
      <c r="C331" s="69" t="s">
        <v>348</v>
      </c>
      <c r="D331" s="69"/>
      <c r="E331" s="6" t="s">
        <v>833</v>
      </c>
      <c r="F331" s="5">
        <f>F332</f>
        <v>160.5</v>
      </c>
      <c r="G331" s="5">
        <f>G332</f>
        <v>-55.99241</v>
      </c>
      <c r="H331" s="5">
        <f>H332</f>
        <v>104.50758999999999</v>
      </c>
      <c r="I331" s="5">
        <v>0</v>
      </c>
      <c r="J331" s="337"/>
      <c r="K331" s="5">
        <v>0</v>
      </c>
      <c r="L331" s="9">
        <v>0</v>
      </c>
      <c r="M331" s="9"/>
      <c r="N331" s="9">
        <v>0</v>
      </c>
    </row>
    <row r="332" spans="1:14" x14ac:dyDescent="0.25">
      <c r="A332" s="7"/>
      <c r="B332" s="7"/>
      <c r="C332" s="69"/>
      <c r="D332" s="69" t="s">
        <v>12</v>
      </c>
      <c r="E332" s="12" t="s">
        <v>11</v>
      </c>
      <c r="F332" s="5">
        <v>160.5</v>
      </c>
      <c r="G332" s="261">
        <v>-55.99241</v>
      </c>
      <c r="H332" s="5">
        <f>SUM(F332:G332)</f>
        <v>104.50758999999999</v>
      </c>
      <c r="I332" s="5">
        <v>0</v>
      </c>
      <c r="J332" s="337"/>
      <c r="K332" s="5">
        <v>0</v>
      </c>
      <c r="L332" s="9">
        <v>0</v>
      </c>
      <c r="M332" s="9"/>
      <c r="N332" s="9">
        <v>0</v>
      </c>
    </row>
    <row r="333" spans="1:14" x14ac:dyDescent="0.25">
      <c r="A333" s="7"/>
      <c r="B333" s="7"/>
      <c r="C333" s="7" t="s">
        <v>731</v>
      </c>
      <c r="D333" s="52"/>
      <c r="E333" s="10" t="s">
        <v>347</v>
      </c>
      <c r="F333" s="9">
        <f>F334</f>
        <v>685.6</v>
      </c>
      <c r="G333" s="9"/>
      <c r="H333" s="9">
        <f>H334</f>
        <v>685.6</v>
      </c>
      <c r="I333" s="9">
        <f>I334</f>
        <v>0</v>
      </c>
      <c r="J333" s="335"/>
      <c r="K333" s="9">
        <f>K334</f>
        <v>0</v>
      </c>
      <c r="L333" s="9">
        <f>L334</f>
        <v>0</v>
      </c>
      <c r="M333" s="9"/>
      <c r="N333" s="9">
        <f>N334</f>
        <v>0</v>
      </c>
    </row>
    <row r="334" spans="1:14" x14ac:dyDescent="0.25">
      <c r="A334" s="7"/>
      <c r="B334" s="7"/>
      <c r="C334" s="7"/>
      <c r="D334" s="7" t="s">
        <v>12</v>
      </c>
      <c r="E334" s="6" t="s">
        <v>11</v>
      </c>
      <c r="F334" s="9">
        <v>685.6</v>
      </c>
      <c r="G334" s="9"/>
      <c r="H334" s="9">
        <v>685.6</v>
      </c>
      <c r="I334" s="9">
        <v>0</v>
      </c>
      <c r="J334" s="335"/>
      <c r="K334" s="9">
        <v>0</v>
      </c>
      <c r="L334" s="9">
        <v>0</v>
      </c>
      <c r="M334" s="9"/>
      <c r="N334" s="9">
        <v>0</v>
      </c>
    </row>
    <row r="335" spans="1:14" x14ac:dyDescent="0.25">
      <c r="A335" s="7"/>
      <c r="B335" s="7"/>
      <c r="C335" s="7" t="s">
        <v>732</v>
      </c>
      <c r="D335" s="91"/>
      <c r="E335" s="95" t="s">
        <v>346</v>
      </c>
      <c r="F335" s="9">
        <f>F336</f>
        <v>9723.5</v>
      </c>
      <c r="G335" s="9"/>
      <c r="H335" s="9">
        <f>H336</f>
        <v>9723.5</v>
      </c>
      <c r="I335" s="9">
        <f>I336</f>
        <v>0</v>
      </c>
      <c r="J335" s="335"/>
      <c r="K335" s="9">
        <f>K336</f>
        <v>0</v>
      </c>
      <c r="L335" s="9">
        <v>0</v>
      </c>
      <c r="M335" s="9"/>
      <c r="N335" s="9">
        <v>0</v>
      </c>
    </row>
    <row r="336" spans="1:14" x14ac:dyDescent="0.25">
      <c r="A336" s="7"/>
      <c r="B336" s="7"/>
      <c r="C336" s="7"/>
      <c r="D336" s="7" t="s">
        <v>12</v>
      </c>
      <c r="E336" s="6" t="s">
        <v>11</v>
      </c>
      <c r="F336" s="9">
        <f>8219+1504.5</f>
        <v>9723.5</v>
      </c>
      <c r="G336" s="9"/>
      <c r="H336" s="9">
        <f>8219+1504.5</f>
        <v>9723.5</v>
      </c>
      <c r="I336" s="9">
        <v>0</v>
      </c>
      <c r="J336" s="335"/>
      <c r="K336" s="9">
        <v>0</v>
      </c>
      <c r="L336" s="9">
        <v>0</v>
      </c>
      <c r="M336" s="9"/>
      <c r="N336" s="9">
        <v>0</v>
      </c>
    </row>
    <row r="337" spans="1:14" x14ac:dyDescent="0.25">
      <c r="A337" s="7"/>
      <c r="B337" s="7"/>
      <c r="C337" s="7" t="s">
        <v>733</v>
      </c>
      <c r="D337" s="7"/>
      <c r="E337" s="6" t="s">
        <v>737</v>
      </c>
      <c r="F337" s="9">
        <f>F338</f>
        <v>599.99999999999977</v>
      </c>
      <c r="G337" s="9">
        <f>G338</f>
        <v>0</v>
      </c>
      <c r="H337" s="9">
        <f>H338</f>
        <v>599.99999999999977</v>
      </c>
      <c r="I337" s="9">
        <v>0</v>
      </c>
      <c r="J337" s="335"/>
      <c r="K337" s="9">
        <v>0</v>
      </c>
      <c r="L337" s="9">
        <v>0</v>
      </c>
      <c r="M337" s="9"/>
      <c r="N337" s="9">
        <v>0</v>
      </c>
    </row>
    <row r="338" spans="1:14" x14ac:dyDescent="0.25">
      <c r="A338" s="7"/>
      <c r="B338" s="7"/>
      <c r="C338" s="7"/>
      <c r="D338" s="7" t="s">
        <v>12</v>
      </c>
      <c r="E338" s="6" t="s">
        <v>11</v>
      </c>
      <c r="F338" s="9">
        <v>599.99999999999977</v>
      </c>
      <c r="G338" s="9"/>
      <c r="H338" s="9">
        <f>2099.2-1499.2</f>
        <v>599.99999999999977</v>
      </c>
      <c r="I338" s="9">
        <v>0</v>
      </c>
      <c r="J338" s="335"/>
      <c r="K338" s="9">
        <v>0</v>
      </c>
      <c r="L338" s="9">
        <v>0</v>
      </c>
      <c r="M338" s="9"/>
      <c r="N338" s="9">
        <v>0</v>
      </c>
    </row>
    <row r="339" spans="1:14" x14ac:dyDescent="0.25">
      <c r="A339" s="208"/>
      <c r="B339" s="208"/>
      <c r="C339" s="325" t="s">
        <v>869</v>
      </c>
      <c r="D339" s="325"/>
      <c r="E339" s="362" t="s">
        <v>839</v>
      </c>
      <c r="F339" s="210">
        <f>F340</f>
        <v>8521.7293100000006</v>
      </c>
      <c r="G339" s="210"/>
      <c r="H339" s="210">
        <f t="shared" ref="H339:N340" si="56">H340</f>
        <v>8521.7293100000006</v>
      </c>
      <c r="I339" s="210">
        <f t="shared" si="56"/>
        <v>0</v>
      </c>
      <c r="J339" s="210"/>
      <c r="K339" s="210">
        <f t="shared" si="56"/>
        <v>0</v>
      </c>
      <c r="L339" s="210">
        <f t="shared" si="56"/>
        <v>0</v>
      </c>
      <c r="M339" s="210"/>
      <c r="N339" s="210">
        <f t="shared" si="56"/>
        <v>0</v>
      </c>
    </row>
    <row r="340" spans="1:14" ht="38.25" x14ac:dyDescent="0.25">
      <c r="A340" s="318"/>
      <c r="B340" s="318"/>
      <c r="C340" s="318" t="s">
        <v>870</v>
      </c>
      <c r="D340" s="318"/>
      <c r="E340" s="363" t="s">
        <v>349</v>
      </c>
      <c r="F340" s="5">
        <f>F341</f>
        <v>8521.7293100000006</v>
      </c>
      <c r="G340" s="5"/>
      <c r="H340" s="5">
        <f t="shared" si="56"/>
        <v>8521.7293100000006</v>
      </c>
      <c r="I340" s="5">
        <f t="shared" si="56"/>
        <v>0</v>
      </c>
      <c r="J340" s="5"/>
      <c r="K340" s="5">
        <f t="shared" si="56"/>
        <v>0</v>
      </c>
      <c r="L340" s="5">
        <f t="shared" si="56"/>
        <v>0</v>
      </c>
      <c r="M340" s="5"/>
      <c r="N340" s="5">
        <f t="shared" si="56"/>
        <v>0</v>
      </c>
    </row>
    <row r="341" spans="1:14" x14ac:dyDescent="0.25">
      <c r="A341" s="318"/>
      <c r="B341" s="318"/>
      <c r="C341" s="322"/>
      <c r="D341" s="318" t="s">
        <v>12</v>
      </c>
      <c r="E341" s="321" t="s">
        <v>11</v>
      </c>
      <c r="F341" s="5">
        <f>F342+F343</f>
        <v>8521.7293100000006</v>
      </c>
      <c r="G341" s="5"/>
      <c r="H341" s="5">
        <f>H342+H343</f>
        <v>8521.7293100000006</v>
      </c>
      <c r="I341" s="335">
        <v>0</v>
      </c>
      <c r="J341" s="335"/>
      <c r="K341" s="335">
        <v>0</v>
      </c>
      <c r="L341" s="335">
        <v>0</v>
      </c>
      <c r="M341" s="335"/>
      <c r="N341" s="335">
        <v>0</v>
      </c>
    </row>
    <row r="342" spans="1:14" x14ac:dyDescent="0.25">
      <c r="A342" s="318"/>
      <c r="B342" s="318"/>
      <c r="C342" s="322"/>
      <c r="D342" s="318"/>
      <c r="E342" s="321" t="s">
        <v>165</v>
      </c>
      <c r="F342" s="5">
        <v>6391.2969800000001</v>
      </c>
      <c r="G342" s="5"/>
      <c r="H342" s="5">
        <v>6391.2969800000001</v>
      </c>
      <c r="I342" s="335">
        <v>0</v>
      </c>
      <c r="J342" s="335"/>
      <c r="K342" s="335">
        <v>0</v>
      </c>
      <c r="L342" s="335">
        <v>0</v>
      </c>
      <c r="M342" s="335"/>
      <c r="N342" s="335">
        <v>0</v>
      </c>
    </row>
    <row r="343" spans="1:14" x14ac:dyDescent="0.25">
      <c r="A343" s="318"/>
      <c r="B343" s="318"/>
      <c r="C343" s="322"/>
      <c r="D343" s="318"/>
      <c r="E343" s="370" t="s">
        <v>164</v>
      </c>
      <c r="F343" s="5">
        <v>2130.4323300000001</v>
      </c>
      <c r="G343" s="5"/>
      <c r="H343" s="5">
        <v>2130.4323300000001</v>
      </c>
      <c r="I343" s="335">
        <v>0</v>
      </c>
      <c r="J343" s="335"/>
      <c r="K343" s="335">
        <v>0</v>
      </c>
      <c r="L343" s="335">
        <v>0</v>
      </c>
      <c r="M343" s="335"/>
      <c r="N343" s="335">
        <v>0</v>
      </c>
    </row>
    <row r="344" spans="1:14" x14ac:dyDescent="0.25">
      <c r="A344" s="289"/>
      <c r="B344" s="289"/>
      <c r="C344" s="290" t="s">
        <v>18</v>
      </c>
      <c r="D344" s="290"/>
      <c r="E344" s="291" t="s">
        <v>17</v>
      </c>
      <c r="F344" s="282">
        <f>F345</f>
        <v>9277</v>
      </c>
      <c r="G344" s="282">
        <f>G345</f>
        <v>1541.8</v>
      </c>
      <c r="H344" s="282">
        <f>H345</f>
        <v>10818.8</v>
      </c>
      <c r="I344" s="282">
        <f>I345</f>
        <v>0</v>
      </c>
      <c r="J344" s="349"/>
      <c r="K344" s="282">
        <f>K345</f>
        <v>0</v>
      </c>
      <c r="L344" s="282">
        <f>L345</f>
        <v>0</v>
      </c>
      <c r="M344" s="282"/>
      <c r="N344" s="282">
        <f>N345</f>
        <v>0</v>
      </c>
    </row>
    <row r="345" spans="1:14" ht="26.25" x14ac:dyDescent="0.25">
      <c r="A345" s="292"/>
      <c r="B345" s="292"/>
      <c r="C345" s="287" t="s">
        <v>16</v>
      </c>
      <c r="D345" s="287"/>
      <c r="E345" s="288" t="s">
        <v>15</v>
      </c>
      <c r="F345" s="281">
        <f>F346+F348+F351</f>
        <v>9277</v>
      </c>
      <c r="G345" s="281">
        <f t="shared" ref="G345:N345" si="57">G346+G348+G351</f>
        <v>1541.8</v>
      </c>
      <c r="H345" s="281">
        <f t="shared" si="57"/>
        <v>10818.8</v>
      </c>
      <c r="I345" s="281">
        <f t="shared" si="57"/>
        <v>0</v>
      </c>
      <c r="J345" s="281"/>
      <c r="K345" s="281">
        <f t="shared" si="57"/>
        <v>0</v>
      </c>
      <c r="L345" s="281">
        <f t="shared" si="57"/>
        <v>0</v>
      </c>
      <c r="M345" s="281"/>
      <c r="N345" s="281">
        <f t="shared" si="57"/>
        <v>0</v>
      </c>
    </row>
    <row r="346" spans="1:14" x14ac:dyDescent="0.25">
      <c r="A346" s="274"/>
      <c r="B346" s="274"/>
      <c r="C346" s="284" t="s">
        <v>827</v>
      </c>
      <c r="D346" s="276"/>
      <c r="E346" s="285" t="s">
        <v>828</v>
      </c>
      <c r="F346" s="279">
        <f>F347</f>
        <v>6787.8</v>
      </c>
      <c r="G346" s="279">
        <f>G347</f>
        <v>1327.2</v>
      </c>
      <c r="H346" s="279">
        <f>H347</f>
        <v>8115</v>
      </c>
      <c r="I346" s="279">
        <v>0</v>
      </c>
      <c r="J346" s="335"/>
      <c r="K346" s="279">
        <v>0</v>
      </c>
      <c r="L346" s="279">
        <v>0</v>
      </c>
      <c r="M346" s="279"/>
      <c r="N346" s="279">
        <v>0</v>
      </c>
    </row>
    <row r="347" spans="1:14" ht="25.5" x14ac:dyDescent="0.25">
      <c r="A347" s="274"/>
      <c r="B347" s="274"/>
      <c r="C347" s="286"/>
      <c r="D347" s="274" t="s">
        <v>57</v>
      </c>
      <c r="E347" s="277" t="s">
        <v>56</v>
      </c>
      <c r="F347" s="279">
        <v>6787.8</v>
      </c>
      <c r="G347" s="279">
        <v>1327.2</v>
      </c>
      <c r="H347" s="279">
        <f>SUM(F347:G347)</f>
        <v>8115</v>
      </c>
      <c r="I347" s="279">
        <v>0</v>
      </c>
      <c r="J347" s="335"/>
      <c r="K347" s="279">
        <v>0</v>
      </c>
      <c r="L347" s="279">
        <v>0</v>
      </c>
      <c r="M347" s="279"/>
      <c r="N347" s="279">
        <v>0</v>
      </c>
    </row>
    <row r="348" spans="1:14" x14ac:dyDescent="0.25">
      <c r="A348" s="274"/>
      <c r="B348" s="274"/>
      <c r="C348" s="52" t="s">
        <v>526</v>
      </c>
      <c r="D348" s="52"/>
      <c r="E348" s="6" t="s">
        <v>525</v>
      </c>
      <c r="F348" s="279">
        <f>F350</f>
        <v>1949.2</v>
      </c>
      <c r="G348" s="279">
        <f>G350+G349</f>
        <v>214.6</v>
      </c>
      <c r="H348" s="279">
        <f>SUM(H349:H350)</f>
        <v>2163.8000000000002</v>
      </c>
      <c r="I348" s="279">
        <v>0</v>
      </c>
      <c r="J348" s="335"/>
      <c r="K348" s="279">
        <v>0</v>
      </c>
      <c r="L348" s="279">
        <v>0</v>
      </c>
      <c r="M348" s="279"/>
      <c r="N348" s="279">
        <v>0</v>
      </c>
    </row>
    <row r="349" spans="1:14" x14ac:dyDescent="0.25">
      <c r="A349" s="450"/>
      <c r="B349" s="450"/>
      <c r="C349" s="451"/>
      <c r="D349" s="69" t="s">
        <v>12</v>
      </c>
      <c r="E349" s="12" t="s">
        <v>11</v>
      </c>
      <c r="F349" s="452">
        <v>0</v>
      </c>
      <c r="G349" s="452">
        <v>103</v>
      </c>
      <c r="H349" s="452">
        <v>103</v>
      </c>
      <c r="I349" s="452"/>
      <c r="J349" s="452"/>
      <c r="K349" s="452"/>
      <c r="L349" s="452"/>
      <c r="M349" s="452"/>
      <c r="N349" s="452"/>
    </row>
    <row r="350" spans="1:14" ht="25.5" x14ac:dyDescent="0.25">
      <c r="A350" s="274"/>
      <c r="B350" s="274"/>
      <c r="C350" s="286"/>
      <c r="D350" s="274" t="s">
        <v>57</v>
      </c>
      <c r="E350" s="277" t="s">
        <v>56</v>
      </c>
      <c r="F350" s="279">
        <v>1949.2</v>
      </c>
      <c r="G350" s="279">
        <v>111.6</v>
      </c>
      <c r="H350" s="279">
        <f>SUM(F350:G350)</f>
        <v>2060.8000000000002</v>
      </c>
      <c r="I350" s="279">
        <v>0</v>
      </c>
      <c r="J350" s="335"/>
      <c r="K350" s="279">
        <v>0</v>
      </c>
      <c r="L350" s="279">
        <v>0</v>
      </c>
      <c r="M350" s="279"/>
      <c r="N350" s="279">
        <v>0</v>
      </c>
    </row>
    <row r="351" spans="1:14" x14ac:dyDescent="0.25">
      <c r="A351" s="274"/>
      <c r="B351" s="274"/>
      <c r="C351" s="284" t="s">
        <v>834</v>
      </c>
      <c r="D351" s="296"/>
      <c r="E351" s="285" t="s">
        <v>831</v>
      </c>
      <c r="F351" s="279">
        <f>F352</f>
        <v>540</v>
      </c>
      <c r="G351" s="279"/>
      <c r="H351" s="279">
        <f>H352</f>
        <v>540</v>
      </c>
      <c r="I351" s="279">
        <v>0</v>
      </c>
      <c r="J351" s="335"/>
      <c r="K351" s="279">
        <v>0</v>
      </c>
      <c r="L351" s="279">
        <v>0</v>
      </c>
      <c r="M351" s="279"/>
      <c r="N351" s="279">
        <v>0</v>
      </c>
    </row>
    <row r="352" spans="1:14" ht="25.5" x14ac:dyDescent="0.25">
      <c r="A352" s="274"/>
      <c r="B352" s="274"/>
      <c r="C352" s="286"/>
      <c r="D352" s="274" t="s">
        <v>57</v>
      </c>
      <c r="E352" s="277" t="s">
        <v>56</v>
      </c>
      <c r="F352" s="279">
        <v>540</v>
      </c>
      <c r="G352" s="279"/>
      <c r="H352" s="279">
        <f>270+270</f>
        <v>540</v>
      </c>
      <c r="I352" s="279">
        <v>0</v>
      </c>
      <c r="J352" s="335"/>
      <c r="K352" s="279">
        <v>0</v>
      </c>
      <c r="L352" s="279">
        <v>0</v>
      </c>
      <c r="M352" s="279"/>
      <c r="N352" s="279">
        <v>0</v>
      </c>
    </row>
    <row r="353" spans="1:14" x14ac:dyDescent="0.25">
      <c r="A353" s="8"/>
      <c r="B353" s="22" t="s">
        <v>345</v>
      </c>
      <c r="C353" s="21"/>
      <c r="D353" s="21"/>
      <c r="E353" s="20" t="s">
        <v>344</v>
      </c>
      <c r="F353" s="19">
        <f t="shared" ref="F353:L353" si="58">F354</f>
        <v>45957.27132</v>
      </c>
      <c r="G353" s="19">
        <f t="shared" si="58"/>
        <v>271.00178000000005</v>
      </c>
      <c r="H353" s="19">
        <f t="shared" si="58"/>
        <v>46228.273099999999</v>
      </c>
      <c r="I353" s="19">
        <f t="shared" si="58"/>
        <v>33190.087119999997</v>
      </c>
      <c r="J353" s="19"/>
      <c r="K353" s="19">
        <f t="shared" si="58"/>
        <v>33190.087119999997</v>
      </c>
      <c r="L353" s="19">
        <f t="shared" si="58"/>
        <v>31646.060170000004</v>
      </c>
      <c r="M353" s="19"/>
      <c r="N353" s="19">
        <f>N354</f>
        <v>31646.060170000004</v>
      </c>
    </row>
    <row r="354" spans="1:14" x14ac:dyDescent="0.25">
      <c r="A354" s="8"/>
      <c r="B354" s="22"/>
      <c r="C354" s="21" t="s">
        <v>36</v>
      </c>
      <c r="D354" s="22"/>
      <c r="E354" s="27" t="s">
        <v>35</v>
      </c>
      <c r="F354" s="19">
        <f>F355+F406</f>
        <v>45957.27132</v>
      </c>
      <c r="G354" s="19">
        <f>G355+G406</f>
        <v>271.00178000000005</v>
      </c>
      <c r="H354" s="19">
        <f>H355+H406</f>
        <v>46228.273099999999</v>
      </c>
      <c r="I354" s="19">
        <f>I355+I406</f>
        <v>33190.087119999997</v>
      </c>
      <c r="J354" s="19"/>
      <c r="K354" s="19">
        <f>K355+K406</f>
        <v>33190.087119999997</v>
      </c>
      <c r="L354" s="19">
        <f>L355+L406</f>
        <v>31646.060170000004</v>
      </c>
      <c r="M354" s="19"/>
      <c r="N354" s="19">
        <f>N355+N406</f>
        <v>31646.060170000004</v>
      </c>
    </row>
    <row r="355" spans="1:14" ht="25.5" x14ac:dyDescent="0.25">
      <c r="A355" s="34"/>
      <c r="B355" s="33"/>
      <c r="C355" s="34" t="s">
        <v>307</v>
      </c>
      <c r="D355" s="33"/>
      <c r="E355" s="32" t="s">
        <v>306</v>
      </c>
      <c r="F355" s="31">
        <f t="shared" ref="F355:L355" si="59">F356+F362</f>
        <v>37226.592490000003</v>
      </c>
      <c r="G355" s="31">
        <f t="shared" si="59"/>
        <v>271.00178000000005</v>
      </c>
      <c r="H355" s="31">
        <f t="shared" si="59"/>
        <v>37497.594270000001</v>
      </c>
      <c r="I355" s="31">
        <f t="shared" si="59"/>
        <v>24710.378629999999</v>
      </c>
      <c r="J355" s="31"/>
      <c r="K355" s="31">
        <f t="shared" si="59"/>
        <v>24710.378629999999</v>
      </c>
      <c r="L355" s="31">
        <f t="shared" si="59"/>
        <v>23412.100000000002</v>
      </c>
      <c r="M355" s="31"/>
      <c r="N355" s="31">
        <f>N356+N362</f>
        <v>23412.100000000002</v>
      </c>
    </row>
    <row r="356" spans="1:14" x14ac:dyDescent="0.25">
      <c r="A356" s="30"/>
      <c r="B356" s="30"/>
      <c r="C356" s="30" t="s">
        <v>343</v>
      </c>
      <c r="D356" s="30"/>
      <c r="E356" s="77" t="s">
        <v>342</v>
      </c>
      <c r="F356" s="28">
        <f>F357</f>
        <v>4009.4000000000005</v>
      </c>
      <c r="G356" s="28">
        <f>G357</f>
        <v>-98.69095999999999</v>
      </c>
      <c r="H356" s="28">
        <f>H357</f>
        <v>3910.7090400000006</v>
      </c>
      <c r="I356" s="28">
        <f>I357</f>
        <v>0</v>
      </c>
      <c r="J356" s="333"/>
      <c r="K356" s="28">
        <f>K357</f>
        <v>0</v>
      </c>
      <c r="L356" s="28">
        <f>L357</f>
        <v>0</v>
      </c>
      <c r="M356" s="28"/>
      <c r="N356" s="28">
        <f>N357</f>
        <v>0</v>
      </c>
    </row>
    <row r="357" spans="1:14" ht="26.25" x14ac:dyDescent="0.25">
      <c r="A357" s="69"/>
      <c r="B357" s="69"/>
      <c r="C357" s="69" t="s">
        <v>341</v>
      </c>
      <c r="D357" s="7"/>
      <c r="E357" s="6" t="s">
        <v>340</v>
      </c>
      <c r="F357" s="9">
        <f>F359+F360+F361</f>
        <v>4009.4000000000005</v>
      </c>
      <c r="G357" s="9">
        <f>G359+G360+G361</f>
        <v>-98.69095999999999</v>
      </c>
      <c r="H357" s="9">
        <f>H359+H360+H361</f>
        <v>3910.7090400000006</v>
      </c>
      <c r="I357" s="9">
        <f>I359+I360+I361</f>
        <v>0</v>
      </c>
      <c r="J357" s="335"/>
      <c r="K357" s="9">
        <f>K359+K360+K361</f>
        <v>0</v>
      </c>
      <c r="L357" s="9">
        <f>L359+L360+L361</f>
        <v>0</v>
      </c>
      <c r="M357" s="9"/>
      <c r="N357" s="9">
        <f>N359+N360+N361</f>
        <v>0</v>
      </c>
    </row>
    <row r="358" spans="1:14" x14ac:dyDescent="0.25">
      <c r="A358" s="69"/>
      <c r="B358" s="69"/>
      <c r="C358" s="69"/>
      <c r="D358" s="69" t="s">
        <v>12</v>
      </c>
      <c r="E358" s="12" t="s">
        <v>11</v>
      </c>
      <c r="F358" s="9">
        <f>F359+F360+F361</f>
        <v>4009.4000000000005</v>
      </c>
      <c r="G358" s="9">
        <f>G359+G360+G361</f>
        <v>-98.69095999999999</v>
      </c>
      <c r="H358" s="9">
        <f>H359+H360+H361</f>
        <v>3910.7090400000006</v>
      </c>
      <c r="I358" s="9">
        <f>I359+I360+I361</f>
        <v>0</v>
      </c>
      <c r="J358" s="335"/>
      <c r="K358" s="9">
        <f>K359+K360+K361</f>
        <v>0</v>
      </c>
      <c r="L358" s="9">
        <f>L359+L360+L361</f>
        <v>0</v>
      </c>
      <c r="M358" s="9"/>
      <c r="N358" s="9">
        <f>N359+N360+N361</f>
        <v>0</v>
      </c>
    </row>
    <row r="359" spans="1:14" x14ac:dyDescent="0.25">
      <c r="A359" s="69"/>
      <c r="B359" s="69"/>
      <c r="C359" s="69"/>
      <c r="D359" s="7"/>
      <c r="E359" s="94" t="s">
        <v>339</v>
      </c>
      <c r="F359" s="261">
        <v>2666.3</v>
      </c>
      <c r="G359" s="261"/>
      <c r="H359" s="261">
        <v>2666.3</v>
      </c>
      <c r="I359" s="261">
        <v>0</v>
      </c>
      <c r="J359" s="344"/>
      <c r="K359" s="261">
        <v>0</v>
      </c>
      <c r="L359" s="261">
        <v>0</v>
      </c>
      <c r="M359" s="261"/>
      <c r="N359" s="261">
        <v>0</v>
      </c>
    </row>
    <row r="360" spans="1:14" x14ac:dyDescent="0.25">
      <c r="A360" s="69"/>
      <c r="B360" s="69"/>
      <c r="C360" s="69"/>
      <c r="D360" s="7"/>
      <c r="E360" s="94" t="s">
        <v>333</v>
      </c>
      <c r="F360" s="261">
        <v>140.30000000000001</v>
      </c>
      <c r="G360" s="261"/>
      <c r="H360" s="261">
        <v>140.30000000000001</v>
      </c>
      <c r="I360" s="261">
        <v>0</v>
      </c>
      <c r="J360" s="344"/>
      <c r="K360" s="261">
        <v>0</v>
      </c>
      <c r="L360" s="261">
        <v>0</v>
      </c>
      <c r="M360" s="261"/>
      <c r="N360" s="261">
        <v>0</v>
      </c>
    </row>
    <row r="361" spans="1:14" x14ac:dyDescent="0.25">
      <c r="A361" s="69"/>
      <c r="B361" s="69"/>
      <c r="C361" s="69"/>
      <c r="D361" s="7"/>
      <c r="E361" s="94" t="s">
        <v>326</v>
      </c>
      <c r="F361" s="9">
        <v>1202.8</v>
      </c>
      <c r="G361" s="9">
        <f>-29.25925-69.43171</f>
        <v>-98.69095999999999</v>
      </c>
      <c r="H361" s="9">
        <f>SUM(F361:G361)</f>
        <v>1104.10904</v>
      </c>
      <c r="I361" s="261">
        <v>0</v>
      </c>
      <c r="J361" s="344"/>
      <c r="K361" s="261">
        <v>0</v>
      </c>
      <c r="L361" s="9">
        <v>0</v>
      </c>
      <c r="M361" s="9"/>
      <c r="N361" s="9">
        <v>0</v>
      </c>
    </row>
    <row r="362" spans="1:14" ht="26.25" x14ac:dyDescent="0.25">
      <c r="A362" s="30"/>
      <c r="B362" s="30"/>
      <c r="C362" s="30" t="s">
        <v>305</v>
      </c>
      <c r="D362" s="30"/>
      <c r="E362" s="77" t="s">
        <v>304</v>
      </c>
      <c r="F362" s="28">
        <f>F363+F385+F393+F403</f>
        <v>33217.192490000001</v>
      </c>
      <c r="G362" s="28">
        <f>G363+G385+G393+G403</f>
        <v>369.69274000000001</v>
      </c>
      <c r="H362" s="28">
        <f t="shared" ref="H362:N362" si="60">H363+H385+H393+H403</f>
        <v>33586.88523</v>
      </c>
      <c r="I362" s="28">
        <f t="shared" si="60"/>
        <v>24710.378629999999</v>
      </c>
      <c r="J362" s="28"/>
      <c r="K362" s="28">
        <f t="shared" si="60"/>
        <v>24710.378629999999</v>
      </c>
      <c r="L362" s="28">
        <f t="shared" si="60"/>
        <v>23412.100000000002</v>
      </c>
      <c r="M362" s="28"/>
      <c r="N362" s="28">
        <f t="shared" si="60"/>
        <v>23412.100000000002</v>
      </c>
    </row>
    <row r="363" spans="1:14" ht="26.25" x14ac:dyDescent="0.25">
      <c r="A363" s="208"/>
      <c r="B363" s="208"/>
      <c r="C363" s="208" t="s">
        <v>338</v>
      </c>
      <c r="D363" s="208"/>
      <c r="E363" s="220" t="s">
        <v>337</v>
      </c>
      <c r="F363" s="210">
        <f>F368+F370+F372+F364+F374+F376+F378+F381</f>
        <v>7716.6013799999992</v>
      </c>
      <c r="G363" s="210">
        <f>G368+G370+G372+G364+G374+G376+G378+G381</f>
        <v>152.45940000000002</v>
      </c>
      <c r="H363" s="210">
        <f>H368+H370+H372+H364+H374+H376+H378+H381</f>
        <v>7869.0607799999998</v>
      </c>
      <c r="I363" s="210">
        <f>I368+I370+I364+I374+I378+I381</f>
        <v>352.5</v>
      </c>
      <c r="J363" s="334"/>
      <c r="K363" s="210">
        <f>K368+K370+K364+K374+K378+K381</f>
        <v>352.5</v>
      </c>
      <c r="L363" s="210">
        <f>L368+L370+L364+L374+L378+L381</f>
        <v>558.4</v>
      </c>
      <c r="M363" s="210"/>
      <c r="N363" s="210">
        <f>N368+N370+N364+N374+N378+N381</f>
        <v>558.4</v>
      </c>
    </row>
    <row r="364" spans="1:14" s="23" customFormat="1" x14ac:dyDescent="0.25">
      <c r="A364" s="57"/>
      <c r="B364" s="57"/>
      <c r="C364" s="69" t="s">
        <v>336</v>
      </c>
      <c r="D364" s="7"/>
      <c r="E364" s="95" t="s">
        <v>335</v>
      </c>
      <c r="F364" s="9">
        <f>F365</f>
        <v>860.32722000000012</v>
      </c>
      <c r="G364" s="9"/>
      <c r="H364" s="9">
        <f>H365</f>
        <v>860.32722000000012</v>
      </c>
      <c r="I364" s="9">
        <v>0</v>
      </c>
      <c r="J364" s="335"/>
      <c r="K364" s="9">
        <v>0</v>
      </c>
      <c r="L364" s="9">
        <v>0</v>
      </c>
      <c r="M364" s="9"/>
      <c r="N364" s="9">
        <v>0</v>
      </c>
    </row>
    <row r="365" spans="1:14" s="23" customFormat="1" x14ac:dyDescent="0.25">
      <c r="A365" s="57"/>
      <c r="B365" s="57"/>
      <c r="C365" s="7"/>
      <c r="D365" s="7" t="s">
        <v>12</v>
      </c>
      <c r="E365" s="6" t="s">
        <v>11</v>
      </c>
      <c r="F365" s="9">
        <f>F366+F367</f>
        <v>860.32722000000012</v>
      </c>
      <c r="G365" s="9"/>
      <c r="H365" s="9">
        <f>H366+H367</f>
        <v>860.32722000000012</v>
      </c>
      <c r="I365" s="9">
        <v>0</v>
      </c>
      <c r="J365" s="335"/>
      <c r="K365" s="9">
        <v>0</v>
      </c>
      <c r="L365" s="9">
        <v>0</v>
      </c>
      <c r="M365" s="9"/>
      <c r="N365" s="9">
        <v>0</v>
      </c>
    </row>
    <row r="366" spans="1:14" s="23" customFormat="1" x14ac:dyDescent="0.25">
      <c r="A366" s="57"/>
      <c r="B366" s="57"/>
      <c r="C366" s="7"/>
      <c r="D366" s="7"/>
      <c r="E366" s="94" t="s">
        <v>326</v>
      </c>
      <c r="F366" s="9">
        <v>567.31086000000005</v>
      </c>
      <c r="G366" s="9"/>
      <c r="H366" s="9">
        <v>567.31086000000005</v>
      </c>
      <c r="I366" s="9">
        <v>0</v>
      </c>
      <c r="J366" s="335"/>
      <c r="K366" s="9">
        <v>0</v>
      </c>
      <c r="L366" s="9">
        <v>0</v>
      </c>
      <c r="M366" s="9"/>
      <c r="N366" s="9">
        <v>0</v>
      </c>
    </row>
    <row r="367" spans="1:14" s="23" customFormat="1" x14ac:dyDescent="0.25">
      <c r="A367" s="57"/>
      <c r="B367" s="57"/>
      <c r="C367" s="7"/>
      <c r="D367" s="7"/>
      <c r="E367" s="94" t="s">
        <v>334</v>
      </c>
      <c r="F367" s="9">
        <v>293.01636000000002</v>
      </c>
      <c r="G367" s="9"/>
      <c r="H367" s="9">
        <v>293.01636000000002</v>
      </c>
      <c r="I367" s="9">
        <v>0</v>
      </c>
      <c r="J367" s="335"/>
      <c r="K367" s="9">
        <v>0</v>
      </c>
      <c r="L367" s="9">
        <v>0</v>
      </c>
      <c r="M367" s="9"/>
      <c r="N367" s="9">
        <v>0</v>
      </c>
    </row>
    <row r="368" spans="1:14" ht="25.5" x14ac:dyDescent="0.25">
      <c r="A368" s="52"/>
      <c r="B368" s="52"/>
      <c r="C368" s="52" t="s">
        <v>332</v>
      </c>
      <c r="D368" s="52"/>
      <c r="E368" s="10" t="s">
        <v>331</v>
      </c>
      <c r="F368" s="5">
        <f>F369</f>
        <v>1552.03334</v>
      </c>
      <c r="G368" s="5">
        <f>G369</f>
        <v>-136.90890999999999</v>
      </c>
      <c r="H368" s="5">
        <f>H369</f>
        <v>1415.1244299999998</v>
      </c>
      <c r="I368" s="5">
        <f>I369</f>
        <v>0</v>
      </c>
      <c r="J368" s="337"/>
      <c r="K368" s="5">
        <f>K369</f>
        <v>0</v>
      </c>
      <c r="L368" s="5">
        <f>L369</f>
        <v>0</v>
      </c>
      <c r="M368" s="5"/>
      <c r="N368" s="5">
        <f>N369</f>
        <v>0</v>
      </c>
    </row>
    <row r="369" spans="1:14" x14ac:dyDescent="0.25">
      <c r="A369" s="52"/>
      <c r="B369" s="52"/>
      <c r="C369" s="52"/>
      <c r="D369" s="7" t="s">
        <v>12</v>
      </c>
      <c r="E369" s="6" t="s">
        <v>11</v>
      </c>
      <c r="F369" s="5">
        <v>1552.03334</v>
      </c>
      <c r="G369" s="261">
        <f>-133.17753-3.73138</f>
        <v>-136.90890999999999</v>
      </c>
      <c r="H369" s="5">
        <f>SUM(F369:G369)</f>
        <v>1415.1244299999998</v>
      </c>
      <c r="I369" s="5">
        <v>0</v>
      </c>
      <c r="J369" s="337"/>
      <c r="K369" s="5">
        <v>0</v>
      </c>
      <c r="L369" s="5">
        <v>0</v>
      </c>
      <c r="M369" s="5"/>
      <c r="N369" s="5">
        <v>0</v>
      </c>
    </row>
    <row r="370" spans="1:14" ht="25.5" x14ac:dyDescent="0.25">
      <c r="A370" s="52"/>
      <c r="B370" s="52"/>
      <c r="C370" s="52" t="s">
        <v>330</v>
      </c>
      <c r="D370" s="52"/>
      <c r="E370" s="10" t="s">
        <v>329</v>
      </c>
      <c r="F370" s="5">
        <f>F371</f>
        <v>2598.9</v>
      </c>
      <c r="G370" s="5"/>
      <c r="H370" s="5">
        <f>H371</f>
        <v>2598.9</v>
      </c>
      <c r="I370" s="5">
        <f>I371</f>
        <v>0</v>
      </c>
      <c r="J370" s="337"/>
      <c r="K370" s="5">
        <f>K371</f>
        <v>0</v>
      </c>
      <c r="L370" s="5">
        <f>L371</f>
        <v>0</v>
      </c>
      <c r="M370" s="5"/>
      <c r="N370" s="5">
        <f>N371</f>
        <v>0</v>
      </c>
    </row>
    <row r="371" spans="1:14" x14ac:dyDescent="0.25">
      <c r="A371" s="52"/>
      <c r="B371" s="52"/>
      <c r="C371" s="52"/>
      <c r="D371" s="7" t="s">
        <v>12</v>
      </c>
      <c r="E371" s="6" t="s">
        <v>11</v>
      </c>
      <c r="F371" s="5">
        <v>2598.9</v>
      </c>
      <c r="G371" s="5"/>
      <c r="H371" s="5">
        <v>2598.9</v>
      </c>
      <c r="I371" s="5">
        <v>0</v>
      </c>
      <c r="J371" s="337"/>
      <c r="K371" s="5">
        <v>0</v>
      </c>
      <c r="L371" s="5">
        <v>0</v>
      </c>
      <c r="M371" s="5"/>
      <c r="N371" s="5">
        <v>0</v>
      </c>
    </row>
    <row r="372" spans="1:14" x14ac:dyDescent="0.25">
      <c r="A372" s="322"/>
      <c r="B372" s="322"/>
      <c r="C372" s="52" t="s">
        <v>843</v>
      </c>
      <c r="D372" s="318"/>
      <c r="E372" s="323" t="s">
        <v>842</v>
      </c>
      <c r="F372" s="337">
        <v>330.9</v>
      </c>
      <c r="G372" s="337"/>
      <c r="H372" s="337">
        <v>330.9</v>
      </c>
      <c r="I372" s="337"/>
      <c r="J372" s="337"/>
      <c r="K372" s="337"/>
      <c r="L372" s="337"/>
      <c r="M372" s="337"/>
      <c r="N372" s="337"/>
    </row>
    <row r="373" spans="1:14" ht="26.25" x14ac:dyDescent="0.25">
      <c r="A373" s="322"/>
      <c r="B373" s="322"/>
      <c r="C373" s="52"/>
      <c r="D373" s="7" t="s">
        <v>57</v>
      </c>
      <c r="E373" s="6" t="s">
        <v>56</v>
      </c>
      <c r="F373" s="337">
        <v>330.9</v>
      </c>
      <c r="G373" s="337"/>
      <c r="H373" s="337">
        <v>330.9</v>
      </c>
      <c r="I373" s="337"/>
      <c r="J373" s="337"/>
      <c r="K373" s="337"/>
      <c r="L373" s="337"/>
      <c r="M373" s="337"/>
      <c r="N373" s="337"/>
    </row>
    <row r="374" spans="1:14" ht="27.75" customHeight="1" x14ac:dyDescent="0.25">
      <c r="A374" s="52"/>
      <c r="B374" s="52"/>
      <c r="C374" s="52" t="s">
        <v>728</v>
      </c>
      <c r="D374" s="7"/>
      <c r="E374" s="94" t="s">
        <v>597</v>
      </c>
      <c r="F374" s="5">
        <f>F375</f>
        <v>391.8</v>
      </c>
      <c r="G374" s="5">
        <f>G375</f>
        <v>69.431709999999995</v>
      </c>
      <c r="H374" s="5">
        <f>H375</f>
        <v>461.23171000000002</v>
      </c>
      <c r="I374" s="9">
        <v>0</v>
      </c>
      <c r="J374" s="335"/>
      <c r="K374" s="9">
        <v>0</v>
      </c>
      <c r="L374" s="9">
        <v>0</v>
      </c>
      <c r="M374" s="9"/>
      <c r="N374" s="9">
        <v>0</v>
      </c>
    </row>
    <row r="375" spans="1:14" x14ac:dyDescent="0.25">
      <c r="A375" s="52"/>
      <c r="B375" s="52"/>
      <c r="C375" s="52"/>
      <c r="D375" s="7" t="s">
        <v>12</v>
      </c>
      <c r="E375" s="6" t="s">
        <v>11</v>
      </c>
      <c r="F375" s="5">
        <v>391.8</v>
      </c>
      <c r="G375" s="261">
        <v>69.431709999999995</v>
      </c>
      <c r="H375" s="5">
        <f>SUM(F375:G375)</f>
        <v>461.23171000000002</v>
      </c>
      <c r="I375" s="9">
        <v>0</v>
      </c>
      <c r="J375" s="335"/>
      <c r="K375" s="9">
        <v>0</v>
      </c>
      <c r="L375" s="9">
        <v>0</v>
      </c>
      <c r="M375" s="9"/>
      <c r="N375" s="9">
        <v>0</v>
      </c>
    </row>
    <row r="376" spans="1:14" x14ac:dyDescent="0.25">
      <c r="A376" s="52"/>
      <c r="B376" s="52"/>
      <c r="C376" s="52" t="s">
        <v>890</v>
      </c>
      <c r="D376" s="318"/>
      <c r="E376" s="323" t="s">
        <v>891</v>
      </c>
      <c r="F376" s="5">
        <f>F377</f>
        <v>586.4</v>
      </c>
      <c r="G376" s="5">
        <f>G377</f>
        <v>-6.3399999999999998E-2</v>
      </c>
      <c r="H376" s="5">
        <f>H377</f>
        <v>586.33659999999998</v>
      </c>
      <c r="I376" s="9">
        <v>0</v>
      </c>
      <c r="J376" s="335"/>
      <c r="K376" s="9">
        <v>0</v>
      </c>
      <c r="L376" s="9">
        <v>0</v>
      </c>
      <c r="M376" s="9"/>
      <c r="N376" s="9">
        <v>0</v>
      </c>
    </row>
    <row r="377" spans="1:14" x14ac:dyDescent="0.25">
      <c r="A377" s="52"/>
      <c r="B377" s="52"/>
      <c r="C377" s="52"/>
      <c r="D377" s="7" t="s">
        <v>12</v>
      </c>
      <c r="E377" s="6" t="s">
        <v>11</v>
      </c>
      <c r="F377" s="5">
        <v>586.4</v>
      </c>
      <c r="G377" s="344">
        <v>-6.3399999999999998E-2</v>
      </c>
      <c r="H377" s="5">
        <f>SUM(F377:G377)</f>
        <v>586.33659999999998</v>
      </c>
      <c r="I377" s="9">
        <v>0</v>
      </c>
      <c r="J377" s="335"/>
      <c r="K377" s="9">
        <v>0</v>
      </c>
      <c r="L377" s="9">
        <v>0</v>
      </c>
      <c r="M377" s="9"/>
      <c r="N377" s="9">
        <v>0</v>
      </c>
    </row>
    <row r="378" spans="1:14" x14ac:dyDescent="0.25">
      <c r="A378" s="52"/>
      <c r="B378" s="52"/>
      <c r="C378" s="7" t="s">
        <v>328</v>
      </c>
      <c r="D378" s="7"/>
      <c r="E378" s="6" t="s">
        <v>327</v>
      </c>
      <c r="F378" s="5">
        <f>F379</f>
        <v>627.34082000000001</v>
      </c>
      <c r="G378" s="5"/>
      <c r="H378" s="5">
        <f>H379</f>
        <v>627.34082000000001</v>
      </c>
      <c r="I378" s="9">
        <v>0</v>
      </c>
      <c r="J378" s="335"/>
      <c r="K378" s="9">
        <v>0</v>
      </c>
      <c r="L378" s="9">
        <v>0</v>
      </c>
      <c r="M378" s="9"/>
      <c r="N378" s="9">
        <v>0</v>
      </c>
    </row>
    <row r="379" spans="1:14" x14ac:dyDescent="0.25">
      <c r="A379" s="52"/>
      <c r="B379" s="52"/>
      <c r="C379" s="52"/>
      <c r="D379" s="7" t="s">
        <v>12</v>
      </c>
      <c r="E379" s="6" t="s">
        <v>11</v>
      </c>
      <c r="F379" s="5">
        <f>F380</f>
        <v>627.34082000000001</v>
      </c>
      <c r="G379" s="5"/>
      <c r="H379" s="5">
        <f>H380</f>
        <v>627.34082000000001</v>
      </c>
      <c r="I379" s="9">
        <v>0</v>
      </c>
      <c r="J379" s="335"/>
      <c r="K379" s="9">
        <v>0</v>
      </c>
      <c r="L379" s="9">
        <v>0</v>
      </c>
      <c r="M379" s="9"/>
      <c r="N379" s="9">
        <v>0</v>
      </c>
    </row>
    <row r="380" spans="1:14" x14ac:dyDescent="0.25">
      <c r="A380" s="52"/>
      <c r="B380" s="52"/>
      <c r="C380" s="52"/>
      <c r="D380" s="7"/>
      <c r="E380" s="94" t="s">
        <v>326</v>
      </c>
      <c r="F380" s="5">
        <v>627.34082000000001</v>
      </c>
      <c r="G380" s="5"/>
      <c r="H380" s="5">
        <v>627.34082000000001</v>
      </c>
      <c r="I380" s="9">
        <v>0</v>
      </c>
      <c r="J380" s="335"/>
      <c r="K380" s="9">
        <v>0</v>
      </c>
      <c r="L380" s="9">
        <v>0</v>
      </c>
      <c r="M380" s="9"/>
      <c r="N380" s="9">
        <v>0</v>
      </c>
    </row>
    <row r="381" spans="1:14" ht="26.25" x14ac:dyDescent="0.25">
      <c r="A381" s="52"/>
      <c r="B381" s="52"/>
      <c r="C381" s="52" t="s">
        <v>598</v>
      </c>
      <c r="D381" s="7"/>
      <c r="E381" s="6" t="s">
        <v>599</v>
      </c>
      <c r="F381" s="262">
        <f>F382+F383+F384</f>
        <v>768.9</v>
      </c>
      <c r="G381" s="262">
        <f>G382+G383+G384</f>
        <v>220</v>
      </c>
      <c r="H381" s="262">
        <f>H382+H383+H384</f>
        <v>988.9</v>
      </c>
      <c r="I381" s="262">
        <f>I382+I383+I384</f>
        <v>352.5</v>
      </c>
      <c r="J381" s="347"/>
      <c r="K381" s="262">
        <f>K382+K383+K384</f>
        <v>352.5</v>
      </c>
      <c r="L381" s="262">
        <f>L382+L383+L384</f>
        <v>558.4</v>
      </c>
      <c r="M381" s="262"/>
      <c r="N381" s="262">
        <f>N382+N383+N384</f>
        <v>558.4</v>
      </c>
    </row>
    <row r="382" spans="1:14" x14ac:dyDescent="0.25">
      <c r="A382" s="52"/>
      <c r="B382" s="52"/>
      <c r="C382" s="52"/>
      <c r="D382" s="7" t="s">
        <v>12</v>
      </c>
      <c r="E382" s="6" t="s">
        <v>11</v>
      </c>
      <c r="F382" s="262">
        <v>504.9</v>
      </c>
      <c r="G382" s="262">
        <v>220</v>
      </c>
      <c r="H382" s="262">
        <f>SUM(F382:G382)</f>
        <v>724.9</v>
      </c>
      <c r="I382" s="262">
        <v>0</v>
      </c>
      <c r="J382" s="347"/>
      <c r="K382" s="262">
        <v>0</v>
      </c>
      <c r="L382" s="267">
        <v>0</v>
      </c>
      <c r="M382" s="267"/>
      <c r="N382" s="267">
        <v>0</v>
      </c>
    </row>
    <row r="383" spans="1:14" ht="25.5" x14ac:dyDescent="0.25">
      <c r="A383" s="52"/>
      <c r="B383" s="52"/>
      <c r="C383" s="52"/>
      <c r="D383" s="7" t="s">
        <v>57</v>
      </c>
      <c r="E383" s="10" t="s">
        <v>56</v>
      </c>
      <c r="F383" s="262">
        <v>264</v>
      </c>
      <c r="G383" s="262"/>
      <c r="H383" s="262">
        <v>264</v>
      </c>
      <c r="I383" s="262">
        <v>352.5</v>
      </c>
      <c r="J383" s="347"/>
      <c r="K383" s="262">
        <v>352.5</v>
      </c>
      <c r="L383" s="267">
        <v>558.4</v>
      </c>
      <c r="M383" s="267"/>
      <c r="N383" s="267">
        <v>558.4</v>
      </c>
    </row>
    <row r="384" spans="1:14" x14ac:dyDescent="0.25">
      <c r="A384" s="52"/>
      <c r="B384" s="52"/>
      <c r="C384" s="52"/>
      <c r="D384" s="7" t="s">
        <v>22</v>
      </c>
      <c r="E384" s="6" t="s">
        <v>21</v>
      </c>
      <c r="F384" s="262">
        <v>0</v>
      </c>
      <c r="G384" s="262"/>
      <c r="H384" s="262">
        <f>163.1-163.1</f>
        <v>0</v>
      </c>
      <c r="I384" s="262">
        <v>0</v>
      </c>
      <c r="J384" s="347"/>
      <c r="K384" s="262">
        <v>0</v>
      </c>
      <c r="L384" s="267">
        <v>0</v>
      </c>
      <c r="M384" s="267"/>
      <c r="N384" s="267">
        <v>0</v>
      </c>
    </row>
    <row r="385" spans="1:14" x14ac:dyDescent="0.25">
      <c r="A385" s="208"/>
      <c r="B385" s="208"/>
      <c r="C385" s="208" t="s">
        <v>844</v>
      </c>
      <c r="D385" s="216"/>
      <c r="E385" s="220" t="s">
        <v>839</v>
      </c>
      <c r="F385" s="221">
        <f>F386+F390</f>
        <v>1839.48361</v>
      </c>
      <c r="G385" s="221">
        <f>G386+G390</f>
        <v>-30.766660000000002</v>
      </c>
      <c r="H385" s="221">
        <f t="shared" ref="H385:N385" si="61">H386+H390</f>
        <v>1808.71695</v>
      </c>
      <c r="I385" s="221">
        <f t="shared" si="61"/>
        <v>715.17863</v>
      </c>
      <c r="J385" s="221"/>
      <c r="K385" s="221">
        <f t="shared" si="61"/>
        <v>715.17863</v>
      </c>
      <c r="L385" s="221">
        <f t="shared" si="61"/>
        <v>0</v>
      </c>
      <c r="M385" s="221"/>
      <c r="N385" s="221">
        <f t="shared" si="61"/>
        <v>0</v>
      </c>
    </row>
    <row r="386" spans="1:14" ht="26.25" x14ac:dyDescent="0.25">
      <c r="A386" s="322"/>
      <c r="B386" s="322"/>
      <c r="C386" s="7" t="s">
        <v>845</v>
      </c>
      <c r="D386" s="7"/>
      <c r="E386" s="6" t="s">
        <v>610</v>
      </c>
      <c r="F386" s="261">
        <f>F387</f>
        <v>1198.71695</v>
      </c>
      <c r="G386" s="261"/>
      <c r="H386" s="261">
        <f t="shared" ref="H386:N386" si="62">H387</f>
        <v>1198.71695</v>
      </c>
      <c r="I386" s="261">
        <f t="shared" si="62"/>
        <v>715.17863</v>
      </c>
      <c r="J386" s="261"/>
      <c r="K386" s="261">
        <f t="shared" si="62"/>
        <v>715.17863</v>
      </c>
      <c r="L386" s="261">
        <f t="shared" si="62"/>
        <v>0</v>
      </c>
      <c r="M386" s="261"/>
      <c r="N386" s="261">
        <f t="shared" si="62"/>
        <v>0</v>
      </c>
    </row>
    <row r="387" spans="1:14" x14ac:dyDescent="0.25">
      <c r="A387" s="322"/>
      <c r="B387" s="322"/>
      <c r="C387" s="7"/>
      <c r="D387" s="7" t="s">
        <v>12</v>
      </c>
      <c r="E387" s="6" t="s">
        <v>11</v>
      </c>
      <c r="F387" s="261">
        <f>F389+F388</f>
        <v>1198.71695</v>
      </c>
      <c r="G387" s="261"/>
      <c r="H387" s="261">
        <f>H389+H388</f>
        <v>1198.71695</v>
      </c>
      <c r="I387" s="263">
        <f>I389+I388</f>
        <v>715.17863</v>
      </c>
      <c r="J387" s="263"/>
      <c r="K387" s="263">
        <f>K389+K388</f>
        <v>715.17863</v>
      </c>
      <c r="L387" s="357">
        <v>0</v>
      </c>
      <c r="M387" s="357"/>
      <c r="N387" s="357">
        <v>0</v>
      </c>
    </row>
    <row r="388" spans="1:14" x14ac:dyDescent="0.25">
      <c r="A388" s="322"/>
      <c r="B388" s="322"/>
      <c r="C388" s="7"/>
      <c r="D388" s="7"/>
      <c r="E388" s="6" t="s">
        <v>718</v>
      </c>
      <c r="F388" s="261">
        <v>840.91519000000005</v>
      </c>
      <c r="G388" s="261"/>
      <c r="H388" s="261">
        <v>840.91519000000005</v>
      </c>
      <c r="I388" s="263">
        <v>643.66075999999998</v>
      </c>
      <c r="J388" s="263"/>
      <c r="K388" s="263">
        <v>643.66075999999998</v>
      </c>
      <c r="L388" s="357">
        <v>0</v>
      </c>
      <c r="M388" s="357"/>
      <c r="N388" s="357">
        <v>0</v>
      </c>
    </row>
    <row r="389" spans="1:14" x14ac:dyDescent="0.25">
      <c r="A389" s="322"/>
      <c r="B389" s="322"/>
      <c r="C389" s="81"/>
      <c r="D389" s="7"/>
      <c r="E389" s="6" t="s">
        <v>77</v>
      </c>
      <c r="F389" s="261">
        <v>357.80176</v>
      </c>
      <c r="G389" s="261"/>
      <c r="H389" s="261">
        <v>357.80176</v>
      </c>
      <c r="I389" s="263">
        <v>71.517870000000002</v>
      </c>
      <c r="J389" s="263"/>
      <c r="K389" s="263">
        <v>71.517870000000002</v>
      </c>
      <c r="L389" s="357">
        <v>0</v>
      </c>
      <c r="M389" s="357"/>
      <c r="N389" s="357">
        <v>0</v>
      </c>
    </row>
    <row r="390" spans="1:14" x14ac:dyDescent="0.25">
      <c r="A390" s="322"/>
      <c r="B390" s="322"/>
      <c r="C390" s="7" t="s">
        <v>846</v>
      </c>
      <c r="D390" s="318"/>
      <c r="E390" s="321" t="s">
        <v>847</v>
      </c>
      <c r="F390" s="344">
        <f>F391</f>
        <v>640.76666</v>
      </c>
      <c r="G390" s="344">
        <f>G391</f>
        <v>-30.766660000000002</v>
      </c>
      <c r="H390" s="344">
        <f t="shared" ref="H390:N390" si="63">H391</f>
        <v>610</v>
      </c>
      <c r="I390" s="344">
        <f t="shared" si="63"/>
        <v>0</v>
      </c>
      <c r="J390" s="344"/>
      <c r="K390" s="344">
        <f t="shared" si="63"/>
        <v>0</v>
      </c>
      <c r="L390" s="344">
        <f t="shared" si="63"/>
        <v>0</v>
      </c>
      <c r="M390" s="344"/>
      <c r="N390" s="344">
        <f t="shared" si="63"/>
        <v>0</v>
      </c>
    </row>
    <row r="391" spans="1:14" x14ac:dyDescent="0.25">
      <c r="A391" s="322"/>
      <c r="B391" s="322"/>
      <c r="C391" s="324"/>
      <c r="D391" s="7" t="s">
        <v>12</v>
      </c>
      <c r="E391" s="6" t="s">
        <v>11</v>
      </c>
      <c r="F391" s="344">
        <f>F392</f>
        <v>640.76666</v>
      </c>
      <c r="G391" s="344">
        <f>G392</f>
        <v>-30.766660000000002</v>
      </c>
      <c r="H391" s="344">
        <f>H392</f>
        <v>610</v>
      </c>
      <c r="I391" s="347">
        <v>0</v>
      </c>
      <c r="J391" s="347"/>
      <c r="K391" s="347">
        <v>0</v>
      </c>
      <c r="L391" s="357">
        <v>0</v>
      </c>
      <c r="M391" s="357"/>
      <c r="N391" s="357">
        <v>0</v>
      </c>
    </row>
    <row r="392" spans="1:14" x14ac:dyDescent="0.25">
      <c r="A392" s="322"/>
      <c r="B392" s="322"/>
      <c r="C392" s="324"/>
      <c r="D392" s="318"/>
      <c r="E392" s="6" t="s">
        <v>77</v>
      </c>
      <c r="F392" s="344">
        <v>640.76666</v>
      </c>
      <c r="G392" s="344">
        <v>-30.766660000000002</v>
      </c>
      <c r="H392" s="344">
        <f>SUM(F392:G392)</f>
        <v>610</v>
      </c>
      <c r="I392" s="347">
        <v>0</v>
      </c>
      <c r="J392" s="347"/>
      <c r="K392" s="347">
        <v>0</v>
      </c>
      <c r="L392" s="357">
        <v>0</v>
      </c>
      <c r="M392" s="357"/>
      <c r="N392" s="357">
        <v>0</v>
      </c>
    </row>
    <row r="393" spans="1:14" x14ac:dyDescent="0.25">
      <c r="A393" s="208"/>
      <c r="B393" s="208"/>
      <c r="C393" s="208" t="s">
        <v>303</v>
      </c>
      <c r="D393" s="216"/>
      <c r="E393" s="220" t="s">
        <v>302</v>
      </c>
      <c r="F393" s="210">
        <f>F394+F396+F398+F400</f>
        <v>1397.7075</v>
      </c>
      <c r="G393" s="210">
        <f>G394+G396+G398+G400</f>
        <v>0</v>
      </c>
      <c r="H393" s="210">
        <f t="shared" ref="H393:N393" si="64">H394+H396+H398+H400</f>
        <v>1397.7075</v>
      </c>
      <c r="I393" s="210">
        <f t="shared" si="64"/>
        <v>1379.3</v>
      </c>
      <c r="J393" s="210"/>
      <c r="K393" s="210">
        <f t="shared" si="64"/>
        <v>1379.3</v>
      </c>
      <c r="L393" s="210">
        <f t="shared" si="64"/>
        <v>590.29999999999995</v>
      </c>
      <c r="M393" s="210"/>
      <c r="N393" s="210">
        <f t="shared" si="64"/>
        <v>590.29999999999995</v>
      </c>
    </row>
    <row r="394" spans="1:14" x14ac:dyDescent="0.25">
      <c r="A394" s="8"/>
      <c r="B394" s="8"/>
      <c r="C394" s="7" t="s">
        <v>325</v>
      </c>
      <c r="D394" s="78"/>
      <c r="E394" s="12" t="s">
        <v>324</v>
      </c>
      <c r="F394" s="5">
        <f>F395</f>
        <v>0</v>
      </c>
      <c r="G394" s="5"/>
      <c r="H394" s="5">
        <f>H395</f>
        <v>0</v>
      </c>
      <c r="I394" s="5">
        <f>I395</f>
        <v>627.29999999999995</v>
      </c>
      <c r="J394" s="337"/>
      <c r="K394" s="5">
        <f>K395</f>
        <v>627.29999999999995</v>
      </c>
      <c r="L394" s="5">
        <f>L395</f>
        <v>195.9</v>
      </c>
      <c r="M394" s="5"/>
      <c r="N394" s="5">
        <f>N395</f>
        <v>195.9</v>
      </c>
    </row>
    <row r="395" spans="1:14" x14ac:dyDescent="0.25">
      <c r="A395" s="8"/>
      <c r="B395" s="8"/>
      <c r="C395" s="57"/>
      <c r="D395" s="7" t="s">
        <v>12</v>
      </c>
      <c r="E395" s="6" t="s">
        <v>11</v>
      </c>
      <c r="F395" s="5">
        <v>0</v>
      </c>
      <c r="G395" s="5"/>
      <c r="H395" s="5">
        <v>0</v>
      </c>
      <c r="I395" s="5">
        <v>627.29999999999995</v>
      </c>
      <c r="J395" s="337"/>
      <c r="K395" s="5">
        <v>627.29999999999995</v>
      </c>
      <c r="L395" s="5">
        <v>195.9</v>
      </c>
      <c r="M395" s="5"/>
      <c r="N395" s="5">
        <v>195.9</v>
      </c>
    </row>
    <row r="396" spans="1:14" x14ac:dyDescent="0.25">
      <c r="A396" s="8"/>
      <c r="B396" s="8"/>
      <c r="C396" s="7" t="s">
        <v>323</v>
      </c>
      <c r="D396" s="69"/>
      <c r="E396" s="12" t="s">
        <v>322</v>
      </c>
      <c r="F396" s="5">
        <f>F397</f>
        <v>591.9</v>
      </c>
      <c r="G396" s="5">
        <f>G397</f>
        <v>0</v>
      </c>
      <c r="H396" s="5">
        <f>H397</f>
        <v>591.9</v>
      </c>
      <c r="I396" s="5">
        <f>I397</f>
        <v>357.6</v>
      </c>
      <c r="J396" s="337"/>
      <c r="K396" s="5">
        <f>K397</f>
        <v>357.6</v>
      </c>
      <c r="L396" s="5">
        <v>0</v>
      </c>
      <c r="M396" s="5"/>
      <c r="N396" s="5">
        <v>0</v>
      </c>
    </row>
    <row r="397" spans="1:14" x14ac:dyDescent="0.25">
      <c r="A397" s="8"/>
      <c r="B397" s="8"/>
      <c r="C397" s="81"/>
      <c r="D397" s="7" t="s">
        <v>12</v>
      </c>
      <c r="E397" s="6" t="s">
        <v>11</v>
      </c>
      <c r="F397" s="5">
        <v>591.9</v>
      </c>
      <c r="G397" s="261"/>
      <c r="H397" s="5">
        <f>SUM(F397:G397)</f>
        <v>591.9</v>
      </c>
      <c r="I397" s="5">
        <v>357.6</v>
      </c>
      <c r="J397" s="337"/>
      <c r="K397" s="5">
        <v>357.6</v>
      </c>
      <c r="L397" s="5">
        <v>0</v>
      </c>
      <c r="M397" s="5"/>
      <c r="N397" s="5">
        <v>0</v>
      </c>
    </row>
    <row r="398" spans="1:14" x14ac:dyDescent="0.25">
      <c r="A398" s="8"/>
      <c r="B398" s="8"/>
      <c r="C398" s="7" t="s">
        <v>729</v>
      </c>
      <c r="D398" s="7"/>
      <c r="E398" s="6" t="s">
        <v>600</v>
      </c>
      <c r="F398" s="5">
        <f>F399</f>
        <v>394.4</v>
      </c>
      <c r="G398" s="5"/>
      <c r="H398" s="5">
        <f>H399</f>
        <v>394.4</v>
      </c>
      <c r="I398" s="5">
        <f>I399</f>
        <v>394.4</v>
      </c>
      <c r="J398" s="337"/>
      <c r="K398" s="5">
        <f>K399</f>
        <v>394.4</v>
      </c>
      <c r="L398" s="5">
        <f>L399</f>
        <v>394.4</v>
      </c>
      <c r="M398" s="5"/>
      <c r="N398" s="5">
        <f>N399</f>
        <v>394.4</v>
      </c>
    </row>
    <row r="399" spans="1:14" ht="25.5" x14ac:dyDescent="0.25">
      <c r="A399" s="8"/>
      <c r="B399" s="8"/>
      <c r="C399" s="93"/>
      <c r="D399" s="7" t="s">
        <v>57</v>
      </c>
      <c r="E399" s="10" t="s">
        <v>56</v>
      </c>
      <c r="F399" s="5">
        <v>394.4</v>
      </c>
      <c r="G399" s="5"/>
      <c r="H399" s="5">
        <v>394.4</v>
      </c>
      <c r="I399" s="5">
        <v>394.4</v>
      </c>
      <c r="J399" s="337"/>
      <c r="K399" s="5">
        <v>394.4</v>
      </c>
      <c r="L399" s="5">
        <v>394.4</v>
      </c>
      <c r="M399" s="5"/>
      <c r="N399" s="5">
        <v>394.4</v>
      </c>
    </row>
    <row r="400" spans="1:14" ht="51.75" x14ac:dyDescent="0.25">
      <c r="A400" s="52"/>
      <c r="B400" s="52"/>
      <c r="C400" s="7" t="s">
        <v>611</v>
      </c>
      <c r="D400" s="7"/>
      <c r="E400" s="6" t="s">
        <v>612</v>
      </c>
      <c r="F400" s="263">
        <f>F401</f>
        <v>411.40750000000003</v>
      </c>
      <c r="G400" s="263"/>
      <c r="H400" s="263">
        <f>H401</f>
        <v>411.40750000000003</v>
      </c>
      <c r="I400" s="9">
        <v>0</v>
      </c>
      <c r="J400" s="335"/>
      <c r="K400" s="9">
        <v>0</v>
      </c>
      <c r="L400" s="9">
        <v>0</v>
      </c>
      <c r="M400" s="9"/>
      <c r="N400" s="9">
        <v>0</v>
      </c>
    </row>
    <row r="401" spans="1:14" x14ac:dyDescent="0.25">
      <c r="A401" s="52"/>
      <c r="B401" s="52"/>
      <c r="C401" s="93"/>
      <c r="D401" s="7" t="s">
        <v>12</v>
      </c>
      <c r="E401" s="6" t="s">
        <v>11</v>
      </c>
      <c r="F401" s="263">
        <f>F402</f>
        <v>411.40750000000003</v>
      </c>
      <c r="G401" s="263"/>
      <c r="H401" s="263">
        <f>H402</f>
        <v>411.40750000000003</v>
      </c>
      <c r="I401" s="9">
        <v>0</v>
      </c>
      <c r="J401" s="335"/>
      <c r="K401" s="9">
        <v>0</v>
      </c>
      <c r="L401" s="9">
        <v>0</v>
      </c>
      <c r="M401" s="9"/>
      <c r="N401" s="9">
        <v>0</v>
      </c>
    </row>
    <row r="402" spans="1:14" x14ac:dyDescent="0.25">
      <c r="A402" s="52"/>
      <c r="B402" s="52"/>
      <c r="C402" s="93"/>
      <c r="D402" s="7"/>
      <c r="E402" s="6" t="s">
        <v>77</v>
      </c>
      <c r="F402" s="263">
        <v>411.40750000000003</v>
      </c>
      <c r="G402" s="263"/>
      <c r="H402" s="263">
        <v>411.40750000000003</v>
      </c>
      <c r="I402" s="9">
        <v>0</v>
      </c>
      <c r="J402" s="335"/>
      <c r="K402" s="9">
        <v>0</v>
      </c>
      <c r="L402" s="9">
        <v>0</v>
      </c>
      <c r="M402" s="9"/>
      <c r="N402" s="9">
        <v>0</v>
      </c>
    </row>
    <row r="403" spans="1:14" x14ac:dyDescent="0.25">
      <c r="A403" s="208"/>
      <c r="B403" s="208"/>
      <c r="C403" s="208" t="s">
        <v>321</v>
      </c>
      <c r="D403" s="208"/>
      <c r="E403" s="220" t="s">
        <v>320</v>
      </c>
      <c r="F403" s="210">
        <f t="shared" ref="F403:N404" si="65">F404</f>
        <v>22263.4</v>
      </c>
      <c r="G403" s="210">
        <f t="shared" si="65"/>
        <v>248</v>
      </c>
      <c r="H403" s="210">
        <f t="shared" si="65"/>
        <v>22511.4</v>
      </c>
      <c r="I403" s="210">
        <f t="shared" si="65"/>
        <v>22263.4</v>
      </c>
      <c r="J403" s="334"/>
      <c r="K403" s="210">
        <f t="shared" si="65"/>
        <v>22263.4</v>
      </c>
      <c r="L403" s="210">
        <f t="shared" si="65"/>
        <v>22263.4</v>
      </c>
      <c r="M403" s="210"/>
      <c r="N403" s="210">
        <f t="shared" si="65"/>
        <v>22263.4</v>
      </c>
    </row>
    <row r="404" spans="1:14" x14ac:dyDescent="0.25">
      <c r="A404" s="8"/>
      <c r="B404" s="8"/>
      <c r="C404" s="7" t="s">
        <v>319</v>
      </c>
      <c r="D404" s="7"/>
      <c r="E404" s="92" t="s">
        <v>318</v>
      </c>
      <c r="F404" s="9">
        <f t="shared" si="65"/>
        <v>22263.4</v>
      </c>
      <c r="G404" s="9">
        <f t="shared" si="65"/>
        <v>248</v>
      </c>
      <c r="H404" s="9">
        <f t="shared" si="65"/>
        <v>22511.4</v>
      </c>
      <c r="I404" s="9">
        <f t="shared" si="65"/>
        <v>22263.4</v>
      </c>
      <c r="J404" s="335"/>
      <c r="K404" s="9">
        <f t="shared" si="65"/>
        <v>22263.4</v>
      </c>
      <c r="L404" s="9">
        <f t="shared" si="65"/>
        <v>22263.4</v>
      </c>
      <c r="M404" s="9"/>
      <c r="N404" s="9">
        <f t="shared" si="65"/>
        <v>22263.4</v>
      </c>
    </row>
    <row r="405" spans="1:14" ht="25.5" x14ac:dyDescent="0.25">
      <c r="A405" s="8"/>
      <c r="B405" s="8"/>
      <c r="C405" s="7"/>
      <c r="D405" s="7" t="s">
        <v>57</v>
      </c>
      <c r="E405" s="10" t="s">
        <v>56</v>
      </c>
      <c r="F405" s="9">
        <v>22263.4</v>
      </c>
      <c r="G405" s="9">
        <v>248</v>
      </c>
      <c r="H405" s="9">
        <f>SUM(F405:G405)</f>
        <v>22511.4</v>
      </c>
      <c r="I405" s="9">
        <v>22263.4</v>
      </c>
      <c r="J405" s="335"/>
      <c r="K405" s="9">
        <v>22263.4</v>
      </c>
      <c r="L405" s="5">
        <v>22263.4</v>
      </c>
      <c r="M405" s="5"/>
      <c r="N405" s="5">
        <v>22263.4</v>
      </c>
    </row>
    <row r="406" spans="1:14" ht="25.5" x14ac:dyDescent="0.25">
      <c r="A406" s="34"/>
      <c r="B406" s="33"/>
      <c r="C406" s="34" t="s">
        <v>317</v>
      </c>
      <c r="D406" s="33"/>
      <c r="E406" s="32" t="s">
        <v>316</v>
      </c>
      <c r="F406" s="31">
        <f>F407+F413</f>
        <v>8730.6788299999989</v>
      </c>
      <c r="G406" s="31"/>
      <c r="H406" s="31">
        <f t="shared" ref="H406:N406" si="66">H407+H413</f>
        <v>8730.6788299999989</v>
      </c>
      <c r="I406" s="31">
        <f t="shared" si="66"/>
        <v>8479.7084899999991</v>
      </c>
      <c r="J406" s="31"/>
      <c r="K406" s="31">
        <f t="shared" si="66"/>
        <v>8479.7084899999991</v>
      </c>
      <c r="L406" s="31">
        <f t="shared" si="66"/>
        <v>8233.9601700000003</v>
      </c>
      <c r="M406" s="31"/>
      <c r="N406" s="31">
        <f t="shared" si="66"/>
        <v>8233.9601700000003</v>
      </c>
    </row>
    <row r="407" spans="1:14" ht="26.25" x14ac:dyDescent="0.25">
      <c r="A407" s="218"/>
      <c r="B407" s="213"/>
      <c r="C407" s="325" t="s">
        <v>853</v>
      </c>
      <c r="D407" s="216"/>
      <c r="E407" s="328" t="s">
        <v>855</v>
      </c>
      <c r="F407" s="221">
        <f>F408</f>
        <v>6415.7461299999995</v>
      </c>
      <c r="G407" s="221"/>
      <c r="H407" s="221">
        <f t="shared" ref="H407:N408" si="67">H408</f>
        <v>6415.7461299999995</v>
      </c>
      <c r="I407" s="221">
        <f t="shared" si="67"/>
        <v>6164.7757899999997</v>
      </c>
      <c r="J407" s="221"/>
      <c r="K407" s="221">
        <f t="shared" si="67"/>
        <v>6164.7757899999997</v>
      </c>
      <c r="L407" s="221">
        <f t="shared" si="67"/>
        <v>5919.0274700000009</v>
      </c>
      <c r="M407" s="221"/>
      <c r="N407" s="221">
        <f t="shared" si="67"/>
        <v>5919.0274700000009</v>
      </c>
    </row>
    <row r="408" spans="1:14" ht="26.25" x14ac:dyDescent="0.25">
      <c r="A408" s="21"/>
      <c r="B408" s="22"/>
      <c r="C408" s="327" t="s">
        <v>854</v>
      </c>
      <c r="D408" s="52"/>
      <c r="E408" s="6" t="s">
        <v>795</v>
      </c>
      <c r="F408" s="261">
        <f>F409</f>
        <v>6415.7461299999995</v>
      </c>
      <c r="G408" s="261"/>
      <c r="H408" s="261">
        <f t="shared" si="67"/>
        <v>6415.7461299999995</v>
      </c>
      <c r="I408" s="261">
        <f t="shared" si="67"/>
        <v>6164.7757899999997</v>
      </c>
      <c r="J408" s="261"/>
      <c r="K408" s="261">
        <f t="shared" si="67"/>
        <v>6164.7757899999997</v>
      </c>
      <c r="L408" s="261">
        <f t="shared" si="67"/>
        <v>5919.0274700000009</v>
      </c>
      <c r="M408" s="261"/>
      <c r="N408" s="261">
        <f t="shared" si="67"/>
        <v>5919.0274700000009</v>
      </c>
    </row>
    <row r="409" spans="1:14" x14ac:dyDescent="0.25">
      <c r="A409" s="21"/>
      <c r="B409" s="22"/>
      <c r="C409" s="91"/>
      <c r="D409" s="7" t="s">
        <v>12</v>
      </c>
      <c r="E409" s="6" t="s">
        <v>11</v>
      </c>
      <c r="F409" s="261">
        <f>F410+F411+F412</f>
        <v>6415.7461299999995</v>
      </c>
      <c r="G409" s="261"/>
      <c r="H409" s="261">
        <f>H410+H411+H412</f>
        <v>6415.7461299999995</v>
      </c>
      <c r="I409" s="261">
        <f>I410+I411+I412</f>
        <v>6164.7757899999997</v>
      </c>
      <c r="J409" s="261"/>
      <c r="K409" s="261">
        <f>K410+K411+K412</f>
        <v>6164.7757899999997</v>
      </c>
      <c r="L409" s="261">
        <f>L410+L411+L412</f>
        <v>5919.0274700000009</v>
      </c>
      <c r="M409" s="261"/>
      <c r="N409" s="261">
        <f>N410+N411+N412</f>
        <v>5919.0274700000009</v>
      </c>
    </row>
    <row r="410" spans="1:14" x14ac:dyDescent="0.25">
      <c r="A410" s="21"/>
      <c r="B410" s="22"/>
      <c r="C410" s="91"/>
      <c r="D410" s="7"/>
      <c r="E410" s="6" t="s">
        <v>115</v>
      </c>
      <c r="F410" s="261">
        <v>5543.2046600000003</v>
      </c>
      <c r="G410" s="261"/>
      <c r="H410" s="261">
        <v>5543.2046600000003</v>
      </c>
      <c r="I410" s="261">
        <v>5326.3662800000002</v>
      </c>
      <c r="J410" s="261"/>
      <c r="K410" s="261">
        <v>5326.3662800000002</v>
      </c>
      <c r="L410" s="261">
        <v>5114.0397300000004</v>
      </c>
      <c r="M410" s="261"/>
      <c r="N410" s="261">
        <v>5114.0397300000004</v>
      </c>
    </row>
    <row r="411" spans="1:14" x14ac:dyDescent="0.25">
      <c r="A411" s="21"/>
      <c r="B411" s="22"/>
      <c r="C411" s="91"/>
      <c r="D411" s="7"/>
      <c r="E411" s="6" t="s">
        <v>114</v>
      </c>
      <c r="F411" s="261">
        <v>230.96686</v>
      </c>
      <c r="G411" s="261"/>
      <c r="H411" s="261">
        <v>230.96686</v>
      </c>
      <c r="I411" s="261">
        <v>221.93192999999999</v>
      </c>
      <c r="J411" s="261"/>
      <c r="K411" s="261">
        <v>221.93192999999999</v>
      </c>
      <c r="L411" s="261">
        <v>213.08499</v>
      </c>
      <c r="M411" s="261"/>
      <c r="N411" s="261">
        <v>213.08499</v>
      </c>
    </row>
    <row r="412" spans="1:14" x14ac:dyDescent="0.25">
      <c r="A412" s="21"/>
      <c r="B412" s="22"/>
      <c r="C412" s="91"/>
      <c r="D412" s="7"/>
      <c r="E412" s="6" t="s">
        <v>106</v>
      </c>
      <c r="F412" s="261">
        <v>641.57461000000001</v>
      </c>
      <c r="G412" s="261"/>
      <c r="H412" s="261">
        <v>641.57461000000001</v>
      </c>
      <c r="I412" s="261">
        <v>616.47757999999999</v>
      </c>
      <c r="J412" s="261"/>
      <c r="K412" s="261">
        <v>616.47757999999999</v>
      </c>
      <c r="L412" s="261">
        <v>591.90274999999997</v>
      </c>
      <c r="M412" s="261"/>
      <c r="N412" s="261">
        <v>591.90274999999997</v>
      </c>
    </row>
    <row r="413" spans="1:14" ht="26.25" x14ac:dyDescent="0.25">
      <c r="A413" s="208"/>
      <c r="B413" s="208"/>
      <c r="C413" s="208" t="s">
        <v>315</v>
      </c>
      <c r="D413" s="216"/>
      <c r="E413" s="209" t="s">
        <v>314</v>
      </c>
      <c r="F413" s="210">
        <f>F414</f>
        <v>2314.9326999999998</v>
      </c>
      <c r="G413" s="210"/>
      <c r="H413" s="210">
        <f>H414</f>
        <v>2314.9326999999998</v>
      </c>
      <c r="I413" s="210">
        <f>I414</f>
        <v>2314.9326999999998</v>
      </c>
      <c r="J413" s="334"/>
      <c r="K413" s="210">
        <f>K414</f>
        <v>2314.9326999999998</v>
      </c>
      <c r="L413" s="210">
        <f>L414</f>
        <v>2314.9326999999998</v>
      </c>
      <c r="M413" s="210"/>
      <c r="N413" s="210">
        <f>N414</f>
        <v>2314.9326999999998</v>
      </c>
    </row>
    <row r="414" spans="1:14" ht="25.5" x14ac:dyDescent="0.25">
      <c r="A414" s="8"/>
      <c r="B414" s="8"/>
      <c r="C414" s="91" t="s">
        <v>313</v>
      </c>
      <c r="D414" s="52"/>
      <c r="E414" s="10" t="s">
        <v>312</v>
      </c>
      <c r="F414" s="9">
        <f>F416+F417</f>
        <v>2314.9326999999998</v>
      </c>
      <c r="G414" s="9"/>
      <c r="H414" s="9">
        <f>H416+H417</f>
        <v>2314.9326999999998</v>
      </c>
      <c r="I414" s="9">
        <f>I416+I417</f>
        <v>2314.9326999999998</v>
      </c>
      <c r="J414" s="335"/>
      <c r="K414" s="9">
        <f>K416+K417</f>
        <v>2314.9326999999998</v>
      </c>
      <c r="L414" s="9">
        <f>L416+L417</f>
        <v>2314.9326999999998</v>
      </c>
      <c r="M414" s="9"/>
      <c r="N414" s="9">
        <f>N416+N417</f>
        <v>2314.9326999999998</v>
      </c>
    </row>
    <row r="415" spans="1:14" x14ac:dyDescent="0.25">
      <c r="A415" s="8"/>
      <c r="B415" s="8"/>
      <c r="C415" s="91"/>
      <c r="D415" s="7" t="s">
        <v>12</v>
      </c>
      <c r="E415" s="6" t="s">
        <v>11</v>
      </c>
      <c r="F415" s="9">
        <f>F416+F417</f>
        <v>2314.9326999999998</v>
      </c>
      <c r="G415" s="9"/>
      <c r="H415" s="9">
        <f>H416+H417</f>
        <v>2314.9326999999998</v>
      </c>
      <c r="I415" s="9">
        <f>I416+I417</f>
        <v>2314.9326999999998</v>
      </c>
      <c r="J415" s="335"/>
      <c r="K415" s="9">
        <f>K416+K417</f>
        <v>2314.9326999999998</v>
      </c>
      <c r="L415" s="9">
        <f>L416+L417</f>
        <v>2314.9326999999998</v>
      </c>
      <c r="M415" s="9"/>
      <c r="N415" s="9">
        <f>N416+N417</f>
        <v>2314.9326999999998</v>
      </c>
    </row>
    <row r="416" spans="1:14" x14ac:dyDescent="0.25">
      <c r="A416" s="8"/>
      <c r="B416" s="8"/>
      <c r="C416" s="91"/>
      <c r="D416" s="7"/>
      <c r="E416" s="6" t="s">
        <v>114</v>
      </c>
      <c r="F416" s="261">
        <v>2083.4394299999999</v>
      </c>
      <c r="G416" s="261"/>
      <c r="H416" s="261">
        <v>2083.4394299999999</v>
      </c>
      <c r="I416" s="261">
        <v>2083.4394299999999</v>
      </c>
      <c r="J416" s="344"/>
      <c r="K416" s="261">
        <v>2083.4394299999999</v>
      </c>
      <c r="L416" s="261">
        <v>2083.4394299999999</v>
      </c>
      <c r="M416" s="261"/>
      <c r="N416" s="261">
        <v>2083.4394299999999</v>
      </c>
    </row>
    <row r="417" spans="1:14" x14ac:dyDescent="0.25">
      <c r="A417" s="8"/>
      <c r="B417" s="8"/>
      <c r="C417" s="91"/>
      <c r="D417" s="7"/>
      <c r="E417" s="6" t="s">
        <v>106</v>
      </c>
      <c r="F417" s="261">
        <v>231.49327</v>
      </c>
      <c r="G417" s="261"/>
      <c r="H417" s="261">
        <v>231.49327</v>
      </c>
      <c r="I417" s="261">
        <v>231.49327</v>
      </c>
      <c r="J417" s="344"/>
      <c r="K417" s="261">
        <v>231.49327</v>
      </c>
      <c r="L417" s="261">
        <v>231.49327</v>
      </c>
      <c r="M417" s="261"/>
      <c r="N417" s="261">
        <v>231.49327</v>
      </c>
    </row>
    <row r="418" spans="1:14" x14ac:dyDescent="0.25">
      <c r="A418" s="8"/>
      <c r="B418" s="22" t="s">
        <v>311</v>
      </c>
      <c r="C418" s="21"/>
      <c r="D418" s="21"/>
      <c r="E418" s="20" t="s">
        <v>310</v>
      </c>
      <c r="F418" s="26">
        <f t="shared" ref="F418:H422" si="68">F419</f>
        <v>616.1</v>
      </c>
      <c r="G418" s="26"/>
      <c r="H418" s="26">
        <f t="shared" si="68"/>
        <v>616.1</v>
      </c>
      <c r="I418" s="26">
        <v>0</v>
      </c>
      <c r="J418" s="336"/>
      <c r="K418" s="26">
        <v>0</v>
      </c>
      <c r="L418" s="26">
        <v>0</v>
      </c>
      <c r="M418" s="26"/>
      <c r="N418" s="26">
        <v>0</v>
      </c>
    </row>
    <row r="419" spans="1:14" x14ac:dyDescent="0.25">
      <c r="A419" s="8"/>
      <c r="B419" s="22" t="s">
        <v>309</v>
      </c>
      <c r="C419" s="21"/>
      <c r="D419" s="21"/>
      <c r="E419" s="20" t="s">
        <v>308</v>
      </c>
      <c r="F419" s="26">
        <f t="shared" si="68"/>
        <v>616.1</v>
      </c>
      <c r="G419" s="26"/>
      <c r="H419" s="26">
        <f t="shared" si="68"/>
        <v>616.1</v>
      </c>
      <c r="I419" s="26">
        <v>0</v>
      </c>
      <c r="J419" s="336"/>
      <c r="K419" s="26">
        <v>0</v>
      </c>
      <c r="L419" s="26">
        <v>0</v>
      </c>
      <c r="M419" s="26"/>
      <c r="N419" s="26">
        <v>0</v>
      </c>
    </row>
    <row r="420" spans="1:14" x14ac:dyDescent="0.25">
      <c r="A420" s="8"/>
      <c r="B420" s="22"/>
      <c r="C420" s="21" t="s">
        <v>36</v>
      </c>
      <c r="D420" s="21"/>
      <c r="E420" s="27" t="s">
        <v>35</v>
      </c>
      <c r="F420" s="26">
        <f t="shared" si="68"/>
        <v>616.1</v>
      </c>
      <c r="G420" s="26"/>
      <c r="H420" s="26">
        <f t="shared" si="68"/>
        <v>616.1</v>
      </c>
      <c r="I420" s="26">
        <v>0</v>
      </c>
      <c r="J420" s="336"/>
      <c r="K420" s="26">
        <v>0</v>
      </c>
      <c r="L420" s="26">
        <v>0</v>
      </c>
      <c r="M420" s="26"/>
      <c r="N420" s="26">
        <v>0</v>
      </c>
    </row>
    <row r="421" spans="1:14" ht="25.5" x14ac:dyDescent="0.25">
      <c r="A421" s="90"/>
      <c r="B421" s="33"/>
      <c r="C421" s="34" t="s">
        <v>307</v>
      </c>
      <c r="D421" s="33"/>
      <c r="E421" s="32" t="s">
        <v>306</v>
      </c>
      <c r="F421" s="89">
        <f t="shared" si="68"/>
        <v>616.1</v>
      </c>
      <c r="G421" s="89"/>
      <c r="H421" s="89">
        <f t="shared" si="68"/>
        <v>616.1</v>
      </c>
      <c r="I421" s="89">
        <v>0</v>
      </c>
      <c r="J421" s="349"/>
      <c r="K421" s="89">
        <v>0</v>
      </c>
      <c r="L421" s="89">
        <v>0</v>
      </c>
      <c r="M421" s="89"/>
      <c r="N421" s="89">
        <v>0</v>
      </c>
    </row>
    <row r="422" spans="1:14" ht="25.5" x14ac:dyDescent="0.25">
      <c r="A422" s="88"/>
      <c r="B422" s="63"/>
      <c r="C422" s="64" t="s">
        <v>305</v>
      </c>
      <c r="D422" s="63"/>
      <c r="E422" s="87" t="s">
        <v>304</v>
      </c>
      <c r="F422" s="86">
        <f t="shared" si="68"/>
        <v>616.1</v>
      </c>
      <c r="G422" s="86"/>
      <c r="H422" s="86">
        <f t="shared" si="68"/>
        <v>616.1</v>
      </c>
      <c r="I422" s="86">
        <v>0</v>
      </c>
      <c r="J422" s="350"/>
      <c r="K422" s="86">
        <v>0</v>
      </c>
      <c r="L422" s="86">
        <v>0</v>
      </c>
      <c r="M422" s="86"/>
      <c r="N422" s="86">
        <v>0</v>
      </c>
    </row>
    <row r="423" spans="1:14" x14ac:dyDescent="0.25">
      <c r="A423" s="8"/>
      <c r="B423" s="22"/>
      <c r="C423" s="21" t="s">
        <v>303</v>
      </c>
      <c r="D423" s="22"/>
      <c r="E423" s="85" t="s">
        <v>302</v>
      </c>
      <c r="F423" s="26">
        <f>F424+F426</f>
        <v>616.1</v>
      </c>
      <c r="G423" s="26"/>
      <c r="H423" s="26">
        <f>H424+H426</f>
        <v>616.1</v>
      </c>
      <c r="I423" s="26">
        <v>0</v>
      </c>
      <c r="J423" s="336"/>
      <c r="K423" s="26">
        <v>0</v>
      </c>
      <c r="L423" s="26">
        <v>0</v>
      </c>
      <c r="M423" s="26"/>
      <c r="N423" s="26">
        <v>0</v>
      </c>
    </row>
    <row r="424" spans="1:14" ht="25.5" x14ac:dyDescent="0.25">
      <c r="A424" s="8"/>
      <c r="B424" s="52"/>
      <c r="C424" s="60" t="s">
        <v>301</v>
      </c>
      <c r="D424" s="22"/>
      <c r="E424" s="10" t="s">
        <v>300</v>
      </c>
      <c r="F424" s="9">
        <f>F425</f>
        <v>36.1</v>
      </c>
      <c r="G424" s="9"/>
      <c r="H424" s="9">
        <f>H425</f>
        <v>36.1</v>
      </c>
      <c r="I424" s="9">
        <v>0</v>
      </c>
      <c r="J424" s="335"/>
      <c r="K424" s="9">
        <v>0</v>
      </c>
      <c r="L424" s="9">
        <v>0</v>
      </c>
      <c r="M424" s="9"/>
      <c r="N424" s="9">
        <v>0</v>
      </c>
    </row>
    <row r="425" spans="1:14" x14ac:dyDescent="0.25">
      <c r="A425" s="8"/>
      <c r="B425" s="22"/>
      <c r="C425" s="36"/>
      <c r="D425" s="7" t="s">
        <v>12</v>
      </c>
      <c r="E425" s="6" t="s">
        <v>11</v>
      </c>
      <c r="F425" s="9">
        <v>36.1</v>
      </c>
      <c r="G425" s="9"/>
      <c r="H425" s="9">
        <v>36.1</v>
      </c>
      <c r="I425" s="9">
        <v>0</v>
      </c>
      <c r="J425" s="335"/>
      <c r="K425" s="9">
        <v>0</v>
      </c>
      <c r="L425" s="9">
        <v>0</v>
      </c>
      <c r="M425" s="9"/>
      <c r="N425" s="9">
        <v>0</v>
      </c>
    </row>
    <row r="426" spans="1:14" s="23" customFormat="1" ht="15" customHeight="1" x14ac:dyDescent="0.25">
      <c r="A426" s="83"/>
      <c r="B426" s="83"/>
      <c r="C426" s="7" t="s">
        <v>601</v>
      </c>
      <c r="D426" s="7"/>
      <c r="E426" s="6" t="s">
        <v>602</v>
      </c>
      <c r="F426" s="9">
        <f>F427</f>
        <v>580</v>
      </c>
      <c r="G426" s="9"/>
      <c r="H426" s="9">
        <f>H427</f>
        <v>580</v>
      </c>
      <c r="I426" s="9">
        <v>0</v>
      </c>
      <c r="J426" s="335"/>
      <c r="K426" s="9">
        <v>0</v>
      </c>
      <c r="L426" s="9">
        <v>0</v>
      </c>
      <c r="M426" s="9"/>
      <c r="N426" s="9">
        <v>0</v>
      </c>
    </row>
    <row r="427" spans="1:14" s="23" customFormat="1" x14ac:dyDescent="0.25">
      <c r="A427" s="83"/>
      <c r="B427" s="83"/>
      <c r="C427" s="132"/>
      <c r="D427" s="7" t="s">
        <v>12</v>
      </c>
      <c r="E427" s="6" t="s">
        <v>11</v>
      </c>
      <c r="F427" s="9">
        <v>580</v>
      </c>
      <c r="G427" s="9"/>
      <c r="H427" s="9">
        <v>580</v>
      </c>
      <c r="I427" s="9">
        <v>0</v>
      </c>
      <c r="J427" s="335"/>
      <c r="K427" s="9">
        <v>0</v>
      </c>
      <c r="L427" s="9">
        <v>0</v>
      </c>
      <c r="M427" s="9"/>
      <c r="N427" s="9">
        <v>0</v>
      </c>
    </row>
    <row r="428" spans="1:14" x14ac:dyDescent="0.25">
      <c r="A428" s="8"/>
      <c r="B428" s="22" t="s">
        <v>162</v>
      </c>
      <c r="C428" s="21"/>
      <c r="D428" s="21"/>
      <c r="E428" s="20" t="s">
        <v>161</v>
      </c>
      <c r="F428" s="26">
        <f>F429</f>
        <v>1579.2300000000005</v>
      </c>
      <c r="G428" s="26">
        <f>G429</f>
        <v>0</v>
      </c>
      <c r="H428" s="26">
        <f>H429</f>
        <v>1579.2300000000005</v>
      </c>
      <c r="I428" s="26">
        <f>I429</f>
        <v>0</v>
      </c>
      <c r="J428" s="336"/>
      <c r="K428" s="26">
        <f>K429</f>
        <v>0</v>
      </c>
      <c r="L428" s="26">
        <f>L429</f>
        <v>0</v>
      </c>
      <c r="M428" s="26"/>
      <c r="N428" s="26">
        <f>N429</f>
        <v>0</v>
      </c>
    </row>
    <row r="429" spans="1:14" x14ac:dyDescent="0.25">
      <c r="A429" s="8"/>
      <c r="B429" s="22" t="s">
        <v>253</v>
      </c>
      <c r="C429" s="21"/>
      <c r="D429" s="21"/>
      <c r="E429" s="20" t="s">
        <v>252</v>
      </c>
      <c r="F429" s="26">
        <f>F430+F436</f>
        <v>1579.2300000000005</v>
      </c>
      <c r="G429" s="26">
        <f>G430+G436</f>
        <v>0</v>
      </c>
      <c r="H429" s="26">
        <f>H430+H436</f>
        <v>1579.2300000000005</v>
      </c>
      <c r="I429" s="26">
        <f>I430</f>
        <v>0</v>
      </c>
      <c r="J429" s="336"/>
      <c r="K429" s="26">
        <f>K430</f>
        <v>0</v>
      </c>
      <c r="L429" s="26">
        <f>L430</f>
        <v>0</v>
      </c>
      <c r="M429" s="26"/>
      <c r="N429" s="26">
        <f>N430</f>
        <v>0</v>
      </c>
    </row>
    <row r="430" spans="1:14" x14ac:dyDescent="0.25">
      <c r="A430" s="8"/>
      <c r="B430" s="22"/>
      <c r="C430" s="21" t="s">
        <v>36</v>
      </c>
      <c r="D430" s="21"/>
      <c r="E430" s="27" t="s">
        <v>35</v>
      </c>
      <c r="F430" s="26">
        <f t="shared" ref="F430:H434" si="69">F431</f>
        <v>734.43000000000029</v>
      </c>
      <c r="G430" s="26">
        <f t="shared" si="69"/>
        <v>0</v>
      </c>
      <c r="H430" s="26">
        <f t="shared" si="69"/>
        <v>734.43000000000029</v>
      </c>
      <c r="I430" s="26">
        <f t="shared" ref="I430:N433" si="70">I431</f>
        <v>0</v>
      </c>
      <c r="J430" s="336"/>
      <c r="K430" s="26">
        <f t="shared" si="70"/>
        <v>0</v>
      </c>
      <c r="L430" s="26">
        <f t="shared" si="70"/>
        <v>0</v>
      </c>
      <c r="M430" s="26"/>
      <c r="N430" s="26">
        <f t="shared" si="70"/>
        <v>0</v>
      </c>
    </row>
    <row r="431" spans="1:14" ht="25.5" x14ac:dyDescent="0.25">
      <c r="A431" s="34"/>
      <c r="B431" s="33"/>
      <c r="C431" s="34" t="s">
        <v>87</v>
      </c>
      <c r="D431" s="33"/>
      <c r="E431" s="32" t="s">
        <v>227</v>
      </c>
      <c r="F431" s="31">
        <f t="shared" si="69"/>
        <v>734.43000000000029</v>
      </c>
      <c r="G431" s="31">
        <f t="shared" si="69"/>
        <v>0</v>
      </c>
      <c r="H431" s="31">
        <f t="shared" si="69"/>
        <v>734.43000000000029</v>
      </c>
      <c r="I431" s="31">
        <f t="shared" si="70"/>
        <v>0</v>
      </c>
      <c r="J431" s="332"/>
      <c r="K431" s="31">
        <f t="shared" si="70"/>
        <v>0</v>
      </c>
      <c r="L431" s="31">
        <f t="shared" si="70"/>
        <v>0</v>
      </c>
      <c r="M431" s="31"/>
      <c r="N431" s="31">
        <f t="shared" si="70"/>
        <v>0</v>
      </c>
    </row>
    <row r="432" spans="1:14" x14ac:dyDescent="0.25">
      <c r="A432" s="30"/>
      <c r="B432" s="30"/>
      <c r="C432" s="30" t="s">
        <v>191</v>
      </c>
      <c r="D432" s="30"/>
      <c r="E432" s="77" t="s">
        <v>190</v>
      </c>
      <c r="F432" s="28">
        <f t="shared" si="69"/>
        <v>734.43000000000029</v>
      </c>
      <c r="G432" s="28">
        <f t="shared" si="69"/>
        <v>0</v>
      </c>
      <c r="H432" s="28">
        <f t="shared" si="69"/>
        <v>734.43000000000029</v>
      </c>
      <c r="I432" s="28">
        <f t="shared" si="70"/>
        <v>0</v>
      </c>
      <c r="J432" s="333"/>
      <c r="K432" s="28">
        <f t="shared" si="70"/>
        <v>0</v>
      </c>
      <c r="L432" s="28">
        <f t="shared" si="70"/>
        <v>0</v>
      </c>
      <c r="M432" s="28"/>
      <c r="N432" s="28">
        <f t="shared" si="70"/>
        <v>0</v>
      </c>
    </row>
    <row r="433" spans="1:14" s="23" customFormat="1" ht="41.25" customHeight="1" x14ac:dyDescent="0.25">
      <c r="A433" s="208"/>
      <c r="B433" s="208"/>
      <c r="C433" s="208" t="s">
        <v>299</v>
      </c>
      <c r="D433" s="208"/>
      <c r="E433" s="209" t="s">
        <v>298</v>
      </c>
      <c r="F433" s="210">
        <f t="shared" si="69"/>
        <v>734.43000000000029</v>
      </c>
      <c r="G433" s="210">
        <f t="shared" si="69"/>
        <v>0</v>
      </c>
      <c r="H433" s="210">
        <f t="shared" si="69"/>
        <v>734.43000000000029</v>
      </c>
      <c r="I433" s="210">
        <f>I434</f>
        <v>0</v>
      </c>
      <c r="J433" s="334"/>
      <c r="K433" s="210">
        <f>K434</f>
        <v>0</v>
      </c>
      <c r="L433" s="210">
        <f>L434</f>
        <v>0</v>
      </c>
      <c r="M433" s="210"/>
      <c r="N433" s="210">
        <f t="shared" si="70"/>
        <v>0</v>
      </c>
    </row>
    <row r="434" spans="1:14" ht="25.5" x14ac:dyDescent="0.25">
      <c r="A434" s="8"/>
      <c r="B434" s="8"/>
      <c r="C434" s="7" t="s">
        <v>297</v>
      </c>
      <c r="D434" s="7"/>
      <c r="E434" s="84" t="s">
        <v>296</v>
      </c>
      <c r="F434" s="5">
        <f t="shared" si="69"/>
        <v>734.43000000000029</v>
      </c>
      <c r="G434" s="5">
        <f t="shared" si="69"/>
        <v>0</v>
      </c>
      <c r="H434" s="5">
        <f t="shared" si="69"/>
        <v>734.43000000000029</v>
      </c>
      <c r="I434" s="5">
        <f>I435</f>
        <v>0</v>
      </c>
      <c r="J434" s="337"/>
      <c r="K434" s="5">
        <f>K435</f>
        <v>0</v>
      </c>
      <c r="L434" s="5">
        <v>0</v>
      </c>
      <c r="M434" s="5"/>
      <c r="N434" s="5">
        <v>0</v>
      </c>
    </row>
    <row r="435" spans="1:14" ht="26.25" x14ac:dyDescent="0.25">
      <c r="A435" s="8"/>
      <c r="B435" s="8"/>
      <c r="C435" s="7"/>
      <c r="D435" s="7" t="s">
        <v>272</v>
      </c>
      <c r="E435" s="6" t="s">
        <v>271</v>
      </c>
      <c r="F435" s="5">
        <v>734.43000000000029</v>
      </c>
      <c r="G435" s="5"/>
      <c r="H435" s="5">
        <f>8191.33-7456.9</f>
        <v>734.43000000000029</v>
      </c>
      <c r="I435" s="5">
        <v>0</v>
      </c>
      <c r="J435" s="337"/>
      <c r="K435" s="5">
        <v>0</v>
      </c>
      <c r="L435" s="5">
        <v>0</v>
      </c>
      <c r="M435" s="5"/>
      <c r="N435" s="5">
        <v>0</v>
      </c>
    </row>
    <row r="436" spans="1:14" x14ac:dyDescent="0.25">
      <c r="A436" s="90"/>
      <c r="B436" s="90"/>
      <c r="C436" s="225" t="s">
        <v>18</v>
      </c>
      <c r="D436" s="225"/>
      <c r="E436" s="228" t="s">
        <v>17</v>
      </c>
      <c r="F436" s="268">
        <f>F437</f>
        <v>844.80000000000007</v>
      </c>
      <c r="G436" s="268"/>
      <c r="H436" s="268">
        <f>H437</f>
        <v>844.80000000000007</v>
      </c>
      <c r="I436" s="268">
        <f>I437</f>
        <v>0</v>
      </c>
      <c r="J436" s="351"/>
      <c r="K436" s="268">
        <f>K437</f>
        <v>0</v>
      </c>
      <c r="L436" s="268">
        <f>L437</f>
        <v>0</v>
      </c>
      <c r="M436" s="268"/>
      <c r="N436" s="268">
        <f>N437</f>
        <v>0</v>
      </c>
    </row>
    <row r="437" spans="1:14" ht="26.25" x14ac:dyDescent="0.25">
      <c r="A437" s="193"/>
      <c r="B437" s="193"/>
      <c r="C437" s="15" t="s">
        <v>16</v>
      </c>
      <c r="D437" s="15"/>
      <c r="E437" s="14" t="s">
        <v>15</v>
      </c>
      <c r="F437" s="269">
        <f>F438+F440</f>
        <v>844.80000000000007</v>
      </c>
      <c r="G437" s="269"/>
      <c r="H437" s="269">
        <f>H438+H440</f>
        <v>844.80000000000007</v>
      </c>
      <c r="I437" s="269">
        <f>I438+I440</f>
        <v>0</v>
      </c>
      <c r="J437" s="352"/>
      <c r="K437" s="269">
        <f>K438+K440</f>
        <v>0</v>
      </c>
      <c r="L437" s="269">
        <f>L438+L440</f>
        <v>0</v>
      </c>
      <c r="M437" s="269"/>
      <c r="N437" s="269">
        <f>N438+N440</f>
        <v>0</v>
      </c>
    </row>
    <row r="438" spans="1:14" ht="25.5" x14ac:dyDescent="0.25">
      <c r="A438" s="8"/>
      <c r="B438" s="8"/>
      <c r="C438" s="69" t="s">
        <v>805</v>
      </c>
      <c r="D438" s="7"/>
      <c r="E438" s="10" t="s">
        <v>806</v>
      </c>
      <c r="F438" s="261">
        <f>F439</f>
        <v>91.2</v>
      </c>
      <c r="G438" s="261"/>
      <c r="H438" s="261">
        <f>H439</f>
        <v>91.2</v>
      </c>
      <c r="I438" s="261">
        <f>I439</f>
        <v>0</v>
      </c>
      <c r="J438" s="344"/>
      <c r="K438" s="261">
        <f>K439</f>
        <v>0</v>
      </c>
      <c r="L438" s="261">
        <f>L439</f>
        <v>0</v>
      </c>
      <c r="M438" s="261"/>
      <c r="N438" s="261">
        <f>N439</f>
        <v>0</v>
      </c>
    </row>
    <row r="439" spans="1:14" x14ac:dyDescent="0.25">
      <c r="A439" s="8"/>
      <c r="B439" s="8"/>
      <c r="C439" s="22"/>
      <c r="D439" s="7" t="s">
        <v>12</v>
      </c>
      <c r="E439" s="6" t="s">
        <v>11</v>
      </c>
      <c r="F439" s="261">
        <v>91.2</v>
      </c>
      <c r="G439" s="261"/>
      <c r="H439" s="261">
        <v>91.2</v>
      </c>
      <c r="I439" s="5">
        <v>0</v>
      </c>
      <c r="J439" s="337"/>
      <c r="K439" s="5">
        <v>0</v>
      </c>
      <c r="L439" s="5">
        <v>0</v>
      </c>
      <c r="M439" s="5"/>
      <c r="N439" s="5">
        <v>0</v>
      </c>
    </row>
    <row r="440" spans="1:14" ht="26.25" x14ac:dyDescent="0.25">
      <c r="A440" s="8"/>
      <c r="B440" s="8"/>
      <c r="C440" s="69" t="s">
        <v>830</v>
      </c>
      <c r="D440" s="69"/>
      <c r="E440" s="285" t="s">
        <v>832</v>
      </c>
      <c r="F440" s="261">
        <f>F441+F442</f>
        <v>753.6</v>
      </c>
      <c r="G440" s="261"/>
      <c r="H440" s="261">
        <f>H441+H442</f>
        <v>753.6</v>
      </c>
      <c r="I440" s="261">
        <f>I441</f>
        <v>0</v>
      </c>
      <c r="J440" s="344"/>
      <c r="K440" s="261">
        <f>K441</f>
        <v>0</v>
      </c>
      <c r="L440" s="261">
        <f>L441</f>
        <v>0</v>
      </c>
      <c r="M440" s="261"/>
      <c r="N440" s="261">
        <f>N441</f>
        <v>0</v>
      </c>
    </row>
    <row r="441" spans="1:14" x14ac:dyDescent="0.25">
      <c r="A441" s="8"/>
      <c r="B441" s="8"/>
      <c r="C441" s="22"/>
      <c r="D441" s="7" t="s">
        <v>12</v>
      </c>
      <c r="E441" s="6" t="s">
        <v>11</v>
      </c>
      <c r="F441" s="261">
        <v>0</v>
      </c>
      <c r="G441" s="261"/>
      <c r="H441" s="261">
        <v>0</v>
      </c>
      <c r="I441" s="5">
        <v>0</v>
      </c>
      <c r="J441" s="337"/>
      <c r="K441" s="5">
        <v>0</v>
      </c>
      <c r="L441" s="5">
        <v>0</v>
      </c>
      <c r="M441" s="5"/>
      <c r="N441" s="5">
        <v>0</v>
      </c>
    </row>
    <row r="442" spans="1:14" ht="26.25" x14ac:dyDescent="0.25">
      <c r="A442" s="299"/>
      <c r="B442" s="299"/>
      <c r="C442" s="300"/>
      <c r="D442" s="301" t="s">
        <v>272</v>
      </c>
      <c r="E442" s="6" t="s">
        <v>271</v>
      </c>
      <c r="F442" s="302">
        <v>753.6</v>
      </c>
      <c r="G442" s="302"/>
      <c r="H442" s="261">
        <v>753.6</v>
      </c>
      <c r="I442" s="303"/>
      <c r="J442" s="337"/>
      <c r="K442" s="303"/>
      <c r="L442" s="303"/>
      <c r="M442" s="303"/>
      <c r="N442" s="303"/>
    </row>
    <row r="443" spans="1:14" x14ac:dyDescent="0.25">
      <c r="A443" s="8"/>
      <c r="B443" s="59" t="s">
        <v>136</v>
      </c>
      <c r="C443" s="59"/>
      <c r="D443" s="81"/>
      <c r="E443" s="80" t="s">
        <v>135</v>
      </c>
      <c r="F443" s="79">
        <f>F444+F457</f>
        <v>68505.130929999999</v>
      </c>
      <c r="G443" s="79">
        <f>G444+G457</f>
        <v>-4.1640499999999996</v>
      </c>
      <c r="H443" s="79">
        <f>H444+H457</f>
        <v>68500.966879999993</v>
      </c>
      <c r="I443" s="79">
        <f t="shared" ref="F443:N447" si="71">I444</f>
        <v>0</v>
      </c>
      <c r="J443" s="79">
        <f>J444+J457</f>
        <v>4.1640499999999996</v>
      </c>
      <c r="K443" s="79">
        <f t="shared" si="71"/>
        <v>4.1640499999999996</v>
      </c>
      <c r="L443" s="79">
        <f t="shared" si="71"/>
        <v>0</v>
      </c>
      <c r="M443" s="79"/>
      <c r="N443" s="79">
        <f t="shared" si="71"/>
        <v>0</v>
      </c>
    </row>
    <row r="444" spans="1:14" x14ac:dyDescent="0.25">
      <c r="A444" s="8"/>
      <c r="B444" s="59" t="s">
        <v>134</v>
      </c>
      <c r="C444" s="59"/>
      <c r="D444" s="81"/>
      <c r="E444" s="80" t="s">
        <v>133</v>
      </c>
      <c r="F444" s="79">
        <f t="shared" si="71"/>
        <v>68477.130929999999</v>
      </c>
      <c r="G444" s="79">
        <f t="shared" si="71"/>
        <v>-4.1640499999999996</v>
      </c>
      <c r="H444" s="79">
        <f t="shared" si="71"/>
        <v>68472.966879999993</v>
      </c>
      <c r="I444" s="79">
        <f t="shared" si="71"/>
        <v>0</v>
      </c>
      <c r="J444" s="79">
        <f t="shared" si="71"/>
        <v>4.1640499999999996</v>
      </c>
      <c r="K444" s="79">
        <f t="shared" si="71"/>
        <v>4.1640499999999996</v>
      </c>
      <c r="L444" s="79">
        <f t="shared" si="71"/>
        <v>0</v>
      </c>
      <c r="M444" s="79"/>
      <c r="N444" s="79">
        <f t="shared" si="71"/>
        <v>0</v>
      </c>
    </row>
    <row r="445" spans="1:14" x14ac:dyDescent="0.25">
      <c r="A445" s="21"/>
      <c r="B445" s="22"/>
      <c r="C445" s="21" t="s">
        <v>36</v>
      </c>
      <c r="D445" s="22"/>
      <c r="E445" s="27" t="s">
        <v>35</v>
      </c>
      <c r="F445" s="26">
        <f t="shared" si="71"/>
        <v>68477.130929999999</v>
      </c>
      <c r="G445" s="26">
        <f t="shared" si="71"/>
        <v>-4.1640499999999996</v>
      </c>
      <c r="H445" s="26">
        <f t="shared" si="71"/>
        <v>68472.966879999993</v>
      </c>
      <c r="I445" s="26">
        <f t="shared" si="71"/>
        <v>0</v>
      </c>
      <c r="J445" s="26">
        <f t="shared" si="71"/>
        <v>4.1640499999999996</v>
      </c>
      <c r="K445" s="26">
        <f t="shared" si="71"/>
        <v>4.1640499999999996</v>
      </c>
      <c r="L445" s="26">
        <f t="shared" si="71"/>
        <v>0</v>
      </c>
      <c r="M445" s="26"/>
      <c r="N445" s="26">
        <f t="shared" si="71"/>
        <v>0</v>
      </c>
    </row>
    <row r="446" spans="1:14" ht="25.5" x14ac:dyDescent="0.25">
      <c r="A446" s="34"/>
      <c r="B446" s="33"/>
      <c r="C446" s="34" t="s">
        <v>295</v>
      </c>
      <c r="D446" s="33"/>
      <c r="E446" s="32" t="s">
        <v>294</v>
      </c>
      <c r="F446" s="31">
        <f t="shared" si="71"/>
        <v>68477.130929999999</v>
      </c>
      <c r="G446" s="31">
        <f t="shared" si="71"/>
        <v>-4.1640499999999996</v>
      </c>
      <c r="H446" s="31">
        <f t="shared" si="71"/>
        <v>68472.966879999993</v>
      </c>
      <c r="I446" s="31">
        <f t="shared" si="71"/>
        <v>0</v>
      </c>
      <c r="J446" s="31">
        <f t="shared" si="71"/>
        <v>4.1640499999999996</v>
      </c>
      <c r="K446" s="31">
        <f t="shared" si="71"/>
        <v>4.1640499999999996</v>
      </c>
      <c r="L446" s="31">
        <f t="shared" si="71"/>
        <v>0</v>
      </c>
      <c r="M446" s="31"/>
      <c r="N446" s="31">
        <f t="shared" si="71"/>
        <v>0</v>
      </c>
    </row>
    <row r="447" spans="1:14" ht="26.25" x14ac:dyDescent="0.25">
      <c r="A447" s="30"/>
      <c r="B447" s="30"/>
      <c r="C447" s="30" t="s">
        <v>293</v>
      </c>
      <c r="D447" s="30"/>
      <c r="E447" s="77" t="s">
        <v>100</v>
      </c>
      <c r="F447" s="28">
        <f>F448+F451</f>
        <v>68477.130929999999</v>
      </c>
      <c r="G447" s="28">
        <f>G448+G451</f>
        <v>-4.1640499999999996</v>
      </c>
      <c r="H447" s="28">
        <f>H448+H451</f>
        <v>68472.966879999993</v>
      </c>
      <c r="I447" s="28">
        <f>I448</f>
        <v>0</v>
      </c>
      <c r="J447" s="28">
        <f>J448+J451</f>
        <v>4.1640499999999996</v>
      </c>
      <c r="K447" s="28">
        <f>K448+K451</f>
        <v>4.1640499999999996</v>
      </c>
      <c r="L447" s="28">
        <f>L448</f>
        <v>0</v>
      </c>
      <c r="M447" s="28"/>
      <c r="N447" s="28">
        <f t="shared" si="71"/>
        <v>0</v>
      </c>
    </row>
    <row r="448" spans="1:14" ht="39" x14ac:dyDescent="0.25">
      <c r="A448" s="208"/>
      <c r="B448" s="208"/>
      <c r="C448" s="208" t="s">
        <v>292</v>
      </c>
      <c r="D448" s="208"/>
      <c r="E448" s="209" t="s">
        <v>117</v>
      </c>
      <c r="F448" s="210">
        <f>F450</f>
        <v>46.2</v>
      </c>
      <c r="G448" s="210"/>
      <c r="H448" s="210">
        <f t="shared" ref="H448:N448" si="72">H450</f>
        <v>46.2</v>
      </c>
      <c r="I448" s="210">
        <f t="shared" si="72"/>
        <v>0</v>
      </c>
      <c r="J448" s="210"/>
      <c r="K448" s="210">
        <f t="shared" si="72"/>
        <v>0</v>
      </c>
      <c r="L448" s="210">
        <f t="shared" si="72"/>
        <v>0</v>
      </c>
      <c r="M448" s="210"/>
      <c r="N448" s="210">
        <f t="shared" si="72"/>
        <v>0</v>
      </c>
    </row>
    <row r="449" spans="1:14" s="23" customFormat="1" ht="26.25" x14ac:dyDescent="0.25">
      <c r="A449" s="7"/>
      <c r="B449" s="7"/>
      <c r="C449" s="7" t="s">
        <v>724</v>
      </c>
      <c r="D449" s="7"/>
      <c r="E449" s="6" t="s">
        <v>619</v>
      </c>
      <c r="F449" s="9">
        <f>F450</f>
        <v>46.2</v>
      </c>
      <c r="G449" s="9"/>
      <c r="H449" s="9">
        <f>H450</f>
        <v>46.2</v>
      </c>
      <c r="I449" s="5">
        <f>I450</f>
        <v>0</v>
      </c>
      <c r="J449" s="337"/>
      <c r="K449" s="5">
        <f>K450</f>
        <v>0</v>
      </c>
      <c r="L449" s="5">
        <v>0</v>
      </c>
      <c r="M449" s="5"/>
      <c r="N449" s="5">
        <v>0</v>
      </c>
    </row>
    <row r="450" spans="1:14" s="23" customFormat="1" x14ac:dyDescent="0.25">
      <c r="A450" s="7"/>
      <c r="B450" s="7"/>
      <c r="C450" s="7"/>
      <c r="D450" s="7" t="s">
        <v>12</v>
      </c>
      <c r="E450" s="6" t="s">
        <v>11</v>
      </c>
      <c r="F450" s="9">
        <v>46.2</v>
      </c>
      <c r="G450" s="9"/>
      <c r="H450" s="9">
        <v>46.2</v>
      </c>
      <c r="I450" s="5">
        <v>0</v>
      </c>
      <c r="J450" s="337"/>
      <c r="K450" s="5">
        <v>0</v>
      </c>
      <c r="L450" s="5">
        <v>0</v>
      </c>
      <c r="M450" s="5"/>
      <c r="N450" s="5">
        <v>0</v>
      </c>
    </row>
    <row r="451" spans="1:14" x14ac:dyDescent="0.25">
      <c r="A451" s="208"/>
      <c r="B451" s="208"/>
      <c r="C451" s="325" t="s">
        <v>856</v>
      </c>
      <c r="D451" s="325"/>
      <c r="E451" s="328" t="s">
        <v>857</v>
      </c>
      <c r="F451" s="210">
        <f t="shared" ref="F451:J453" si="73">F452</f>
        <v>68430.930930000002</v>
      </c>
      <c r="G451" s="210">
        <f t="shared" si="73"/>
        <v>-4.1640499999999996</v>
      </c>
      <c r="H451" s="210">
        <f>H452</f>
        <v>68426.766879999996</v>
      </c>
      <c r="I451" s="210">
        <f>I452</f>
        <v>0</v>
      </c>
      <c r="J451" s="210">
        <f t="shared" si="73"/>
        <v>4.1640499999999996</v>
      </c>
      <c r="K451" s="210">
        <f>K452</f>
        <v>4.1640499999999996</v>
      </c>
      <c r="L451" s="210">
        <f>L452</f>
        <v>0</v>
      </c>
      <c r="M451" s="210"/>
      <c r="N451" s="210">
        <f>N452</f>
        <v>0</v>
      </c>
    </row>
    <row r="452" spans="1:14" s="23" customFormat="1" x14ac:dyDescent="0.25">
      <c r="A452" s="57"/>
      <c r="B452" s="57"/>
      <c r="C452" s="36" t="s">
        <v>858</v>
      </c>
      <c r="D452" s="22"/>
      <c r="E452" s="6" t="s">
        <v>633</v>
      </c>
      <c r="F452" s="9">
        <f t="shared" si="73"/>
        <v>68430.930930000002</v>
      </c>
      <c r="G452" s="9">
        <f t="shared" si="73"/>
        <v>-4.1640499999999996</v>
      </c>
      <c r="H452" s="9">
        <f>H453</f>
        <v>68426.766879999996</v>
      </c>
      <c r="I452" s="9">
        <f>I453</f>
        <v>0</v>
      </c>
      <c r="J452" s="9">
        <f t="shared" si="73"/>
        <v>4.1640499999999996</v>
      </c>
      <c r="K452" s="9">
        <f>K453</f>
        <v>4.1640499999999996</v>
      </c>
      <c r="L452" s="9">
        <f>L453</f>
        <v>0</v>
      </c>
      <c r="M452" s="9"/>
      <c r="N452" s="9">
        <f>N453</f>
        <v>0</v>
      </c>
    </row>
    <row r="453" spans="1:14" x14ac:dyDescent="0.25">
      <c r="A453" s="78"/>
      <c r="B453" s="78"/>
      <c r="C453" s="57"/>
      <c r="D453" s="78"/>
      <c r="E453" s="76" t="s">
        <v>291</v>
      </c>
      <c r="F453" s="5">
        <f t="shared" si="73"/>
        <v>68430.930930000002</v>
      </c>
      <c r="G453" s="5">
        <f t="shared" si="73"/>
        <v>-4.1640499999999996</v>
      </c>
      <c r="H453" s="5">
        <f t="shared" si="73"/>
        <v>68426.766879999996</v>
      </c>
      <c r="I453" s="5">
        <f>I454</f>
        <v>0</v>
      </c>
      <c r="J453" s="5">
        <f t="shared" si="73"/>
        <v>4.1640499999999996</v>
      </c>
      <c r="K453" s="5">
        <f>K454</f>
        <v>4.1640499999999996</v>
      </c>
      <c r="L453" s="5">
        <v>0</v>
      </c>
      <c r="M453" s="5"/>
      <c r="N453" s="5">
        <v>0</v>
      </c>
    </row>
    <row r="454" spans="1:14" ht="26.25" x14ac:dyDescent="0.25">
      <c r="A454" s="78"/>
      <c r="B454" s="78"/>
      <c r="C454" s="78"/>
      <c r="D454" s="69" t="s">
        <v>272</v>
      </c>
      <c r="E454" s="6" t="s">
        <v>271</v>
      </c>
      <c r="F454" s="5">
        <f t="shared" ref="F454:K454" si="74">F455+F456</f>
        <v>68430.930930000002</v>
      </c>
      <c r="G454" s="5">
        <f t="shared" si="74"/>
        <v>-4.1640499999999996</v>
      </c>
      <c r="H454" s="5">
        <f t="shared" si="74"/>
        <v>68426.766879999996</v>
      </c>
      <c r="I454" s="5">
        <f t="shared" si="74"/>
        <v>0</v>
      </c>
      <c r="J454" s="5">
        <f t="shared" si="74"/>
        <v>4.1640499999999996</v>
      </c>
      <c r="K454" s="5">
        <f t="shared" si="74"/>
        <v>4.1640499999999996</v>
      </c>
      <c r="L454" s="5">
        <v>0</v>
      </c>
      <c r="M454" s="5"/>
      <c r="N454" s="5">
        <v>0</v>
      </c>
    </row>
    <row r="455" spans="1:14" x14ac:dyDescent="0.25">
      <c r="A455" s="78"/>
      <c r="B455" s="78"/>
      <c r="C455" s="78"/>
      <c r="D455" s="69"/>
      <c r="E455" s="6" t="s">
        <v>165</v>
      </c>
      <c r="F455" s="5">
        <v>68362.5</v>
      </c>
      <c r="G455" s="5"/>
      <c r="H455" s="5">
        <v>68362.5</v>
      </c>
      <c r="I455" s="5">
        <v>0</v>
      </c>
      <c r="J455" s="337"/>
      <c r="K455" s="5">
        <v>0</v>
      </c>
      <c r="L455" s="5">
        <v>0</v>
      </c>
      <c r="M455" s="5"/>
      <c r="N455" s="5">
        <v>0</v>
      </c>
    </row>
    <row r="456" spans="1:14" x14ac:dyDescent="0.25">
      <c r="A456" s="78"/>
      <c r="B456" s="78"/>
      <c r="C456" s="78"/>
      <c r="D456" s="69"/>
      <c r="E456" s="6" t="s">
        <v>164</v>
      </c>
      <c r="F456" s="5">
        <v>68.430930000000004</v>
      </c>
      <c r="G456" s="5">
        <v>-4.1640499999999996</v>
      </c>
      <c r="H456" s="5">
        <f>SUM(F456:G456)</f>
        <v>64.26688</v>
      </c>
      <c r="I456" s="55">
        <v>0</v>
      </c>
      <c r="J456" s="353">
        <v>4.1640499999999996</v>
      </c>
      <c r="K456" s="55">
        <v>4.1640499999999996</v>
      </c>
      <c r="L456" s="5">
        <v>0</v>
      </c>
      <c r="M456" s="5"/>
      <c r="N456" s="5">
        <v>0</v>
      </c>
    </row>
    <row r="457" spans="1:14" x14ac:dyDescent="0.25">
      <c r="A457" s="244"/>
      <c r="B457" s="22" t="s">
        <v>105</v>
      </c>
      <c r="C457" s="21"/>
      <c r="D457" s="21"/>
      <c r="E457" s="20" t="s">
        <v>104</v>
      </c>
      <c r="F457" s="56">
        <f t="shared" ref="F457:H462" si="75">F458</f>
        <v>28</v>
      </c>
      <c r="G457" s="56"/>
      <c r="H457" s="56">
        <f t="shared" si="75"/>
        <v>28</v>
      </c>
      <c r="I457" s="56">
        <f t="shared" ref="I457:N461" si="76">I458</f>
        <v>0</v>
      </c>
      <c r="J457" s="354"/>
      <c r="K457" s="56">
        <f t="shared" si="76"/>
        <v>0</v>
      </c>
      <c r="L457" s="56">
        <f t="shared" si="76"/>
        <v>0</v>
      </c>
      <c r="M457" s="56"/>
      <c r="N457" s="56">
        <f t="shared" si="76"/>
        <v>0</v>
      </c>
    </row>
    <row r="458" spans="1:14" x14ac:dyDescent="0.25">
      <c r="A458" s="244"/>
      <c r="B458" s="22"/>
      <c r="C458" s="21" t="s">
        <v>36</v>
      </c>
      <c r="D458" s="21"/>
      <c r="E458" s="27" t="s">
        <v>35</v>
      </c>
      <c r="F458" s="56">
        <f t="shared" si="75"/>
        <v>28</v>
      </c>
      <c r="G458" s="56"/>
      <c r="H458" s="56">
        <f t="shared" si="75"/>
        <v>28</v>
      </c>
      <c r="I458" s="56">
        <f t="shared" si="76"/>
        <v>0</v>
      </c>
      <c r="J458" s="354"/>
      <c r="K458" s="56">
        <f t="shared" si="76"/>
        <v>0</v>
      </c>
      <c r="L458" s="56">
        <f t="shared" si="76"/>
        <v>0</v>
      </c>
      <c r="M458" s="56"/>
      <c r="N458" s="56">
        <f t="shared" si="76"/>
        <v>0</v>
      </c>
    </row>
    <row r="459" spans="1:14" ht="25.5" x14ac:dyDescent="0.25">
      <c r="A459" s="245"/>
      <c r="B459" s="33"/>
      <c r="C459" s="34" t="s">
        <v>65</v>
      </c>
      <c r="D459" s="33"/>
      <c r="E459" s="32" t="s">
        <v>64</v>
      </c>
      <c r="F459" s="31">
        <f t="shared" si="75"/>
        <v>28</v>
      </c>
      <c r="G459" s="31"/>
      <c r="H459" s="31">
        <f t="shared" si="75"/>
        <v>28</v>
      </c>
      <c r="I459" s="31">
        <f t="shared" si="76"/>
        <v>0</v>
      </c>
      <c r="J459" s="332"/>
      <c r="K459" s="31">
        <f t="shared" si="76"/>
        <v>0</v>
      </c>
      <c r="L459" s="31">
        <f t="shared" si="76"/>
        <v>0</v>
      </c>
      <c r="M459" s="31"/>
      <c r="N459" s="31">
        <f t="shared" si="76"/>
        <v>0</v>
      </c>
    </row>
    <row r="460" spans="1:14" ht="26.25" x14ac:dyDescent="0.25">
      <c r="A460" s="246"/>
      <c r="B460" s="30"/>
      <c r="C460" s="30" t="s">
        <v>101</v>
      </c>
      <c r="D460" s="30"/>
      <c r="E460" s="50" t="s">
        <v>100</v>
      </c>
      <c r="F460" s="28">
        <f t="shared" si="75"/>
        <v>28</v>
      </c>
      <c r="G460" s="28"/>
      <c r="H460" s="28">
        <f t="shared" si="75"/>
        <v>28</v>
      </c>
      <c r="I460" s="28">
        <f t="shared" si="76"/>
        <v>0</v>
      </c>
      <c r="J460" s="333"/>
      <c r="K460" s="28">
        <f t="shared" si="76"/>
        <v>0</v>
      </c>
      <c r="L460" s="28">
        <f t="shared" si="76"/>
        <v>0</v>
      </c>
      <c r="M460" s="28"/>
      <c r="N460" s="28">
        <f t="shared" si="76"/>
        <v>0</v>
      </c>
    </row>
    <row r="461" spans="1:14" ht="26.25" x14ac:dyDescent="0.25">
      <c r="A461" s="247"/>
      <c r="B461" s="208"/>
      <c r="C461" s="208" t="s">
        <v>99</v>
      </c>
      <c r="D461" s="216"/>
      <c r="E461" s="209" t="s">
        <v>98</v>
      </c>
      <c r="F461" s="210">
        <f t="shared" si="75"/>
        <v>28</v>
      </c>
      <c r="G461" s="210"/>
      <c r="H461" s="210">
        <f t="shared" si="75"/>
        <v>28</v>
      </c>
      <c r="I461" s="210">
        <f t="shared" si="76"/>
        <v>0</v>
      </c>
      <c r="J461" s="334"/>
      <c r="K461" s="210">
        <f t="shared" si="76"/>
        <v>0</v>
      </c>
      <c r="L461" s="210">
        <f t="shared" si="76"/>
        <v>0</v>
      </c>
      <c r="M461" s="210"/>
      <c r="N461" s="210">
        <f t="shared" si="76"/>
        <v>0</v>
      </c>
    </row>
    <row r="462" spans="1:14" s="54" customFormat="1" x14ac:dyDescent="0.25">
      <c r="A462" s="68"/>
      <c r="B462" s="7"/>
      <c r="C462" s="7" t="s">
        <v>606</v>
      </c>
      <c r="D462" s="7"/>
      <c r="E462" s="6" t="s">
        <v>607</v>
      </c>
      <c r="F462" s="262">
        <f t="shared" si="75"/>
        <v>28</v>
      </c>
      <c r="G462" s="262"/>
      <c r="H462" s="262">
        <f t="shared" si="75"/>
        <v>28</v>
      </c>
      <c r="I462" s="9">
        <v>0</v>
      </c>
      <c r="J462" s="335"/>
      <c r="K462" s="9">
        <v>0</v>
      </c>
      <c r="L462" s="9">
        <v>0</v>
      </c>
      <c r="M462" s="9"/>
      <c r="N462" s="9">
        <v>0</v>
      </c>
    </row>
    <row r="463" spans="1:14" s="54" customFormat="1" x14ac:dyDescent="0.25">
      <c r="A463" s="68"/>
      <c r="B463" s="7"/>
      <c r="C463" s="7"/>
      <c r="D463" s="7" t="s">
        <v>12</v>
      </c>
      <c r="E463" s="6" t="s">
        <v>11</v>
      </c>
      <c r="F463" s="262">
        <v>28</v>
      </c>
      <c r="G463" s="262"/>
      <c r="H463" s="262">
        <v>28</v>
      </c>
      <c r="I463" s="9">
        <v>0</v>
      </c>
      <c r="J463" s="335"/>
      <c r="K463" s="9">
        <v>0</v>
      </c>
      <c r="L463" s="9">
        <v>0</v>
      </c>
      <c r="M463" s="9"/>
      <c r="N463" s="9">
        <v>0</v>
      </c>
    </row>
    <row r="464" spans="1:14" x14ac:dyDescent="0.25">
      <c r="A464" s="21"/>
      <c r="B464" s="22">
        <v>1000</v>
      </c>
      <c r="C464" s="21"/>
      <c r="D464" s="21"/>
      <c r="E464" s="20" t="s">
        <v>89</v>
      </c>
      <c r="F464" s="26">
        <f t="shared" ref="F464:N464" si="77">F465+F472+F483+F497</f>
        <v>17295.589619999999</v>
      </c>
      <c r="G464" s="26">
        <f t="shared" si="77"/>
        <v>21.212879999999998</v>
      </c>
      <c r="H464" s="26">
        <f t="shared" si="77"/>
        <v>17316.802499999998</v>
      </c>
      <c r="I464" s="26">
        <f t="shared" si="77"/>
        <v>26949.626679999998</v>
      </c>
      <c r="J464" s="26">
        <f t="shared" si="77"/>
        <v>-21.248519999999999</v>
      </c>
      <c r="K464" s="26">
        <f t="shared" si="77"/>
        <v>26928.378159999997</v>
      </c>
      <c r="L464" s="26">
        <f t="shared" si="77"/>
        <v>19256.338159999999</v>
      </c>
      <c r="M464" s="26">
        <f t="shared" si="77"/>
        <v>0</v>
      </c>
      <c r="N464" s="26">
        <f t="shared" si="77"/>
        <v>19256.338159999999</v>
      </c>
    </row>
    <row r="465" spans="1:14" x14ac:dyDescent="0.25">
      <c r="A465" s="21"/>
      <c r="B465" s="22" t="s">
        <v>290</v>
      </c>
      <c r="C465" s="21"/>
      <c r="D465" s="21"/>
      <c r="E465" s="27" t="s">
        <v>289</v>
      </c>
      <c r="F465" s="26">
        <f t="shared" ref="F465:N470" si="78">F466</f>
        <v>8606.5</v>
      </c>
      <c r="G465" s="26"/>
      <c r="H465" s="26">
        <f t="shared" si="78"/>
        <v>8606.5</v>
      </c>
      <c r="I465" s="26">
        <f t="shared" si="78"/>
        <v>8752.0999999999985</v>
      </c>
      <c r="J465" s="336"/>
      <c r="K465" s="26">
        <f t="shared" si="78"/>
        <v>8752.0999999999985</v>
      </c>
      <c r="L465" s="26">
        <f t="shared" si="78"/>
        <v>8752.0999999999985</v>
      </c>
      <c r="M465" s="26"/>
      <c r="N465" s="26">
        <f t="shared" si="78"/>
        <v>8752.0999999999985</v>
      </c>
    </row>
    <row r="466" spans="1:14" x14ac:dyDescent="0.25">
      <c r="A466" s="21"/>
      <c r="B466" s="22"/>
      <c r="C466" s="21" t="s">
        <v>36</v>
      </c>
      <c r="D466" s="22"/>
      <c r="E466" s="27" t="s">
        <v>35</v>
      </c>
      <c r="F466" s="26">
        <f t="shared" si="78"/>
        <v>8606.5</v>
      </c>
      <c r="G466" s="26"/>
      <c r="H466" s="26">
        <f t="shared" si="78"/>
        <v>8606.5</v>
      </c>
      <c r="I466" s="26">
        <f t="shared" si="78"/>
        <v>8752.0999999999985</v>
      </c>
      <c r="J466" s="336"/>
      <c r="K466" s="26">
        <f t="shared" si="78"/>
        <v>8752.0999999999985</v>
      </c>
      <c r="L466" s="26">
        <f t="shared" si="78"/>
        <v>8752.0999999999985</v>
      </c>
      <c r="M466" s="26"/>
      <c r="N466" s="26">
        <f t="shared" si="78"/>
        <v>8752.0999999999985</v>
      </c>
    </row>
    <row r="467" spans="1:14" ht="25.5" x14ac:dyDescent="0.25">
      <c r="A467" s="34"/>
      <c r="B467" s="33"/>
      <c r="C467" s="34" t="s">
        <v>34</v>
      </c>
      <c r="D467" s="33"/>
      <c r="E467" s="32" t="s">
        <v>103</v>
      </c>
      <c r="F467" s="31">
        <f t="shared" si="78"/>
        <v>8606.5</v>
      </c>
      <c r="G467" s="31"/>
      <c r="H467" s="31">
        <f t="shared" si="78"/>
        <v>8606.5</v>
      </c>
      <c r="I467" s="31">
        <f t="shared" si="78"/>
        <v>8752.0999999999985</v>
      </c>
      <c r="J467" s="332"/>
      <c r="K467" s="31">
        <f t="shared" si="78"/>
        <v>8752.0999999999985</v>
      </c>
      <c r="L467" s="31">
        <f t="shared" si="78"/>
        <v>8752.0999999999985</v>
      </c>
      <c r="M467" s="31"/>
      <c r="N467" s="31">
        <f t="shared" si="78"/>
        <v>8752.0999999999985</v>
      </c>
    </row>
    <row r="468" spans="1:14" ht="26.25" x14ac:dyDescent="0.25">
      <c r="A468" s="30"/>
      <c r="B468" s="30"/>
      <c r="C468" s="30" t="s">
        <v>32</v>
      </c>
      <c r="D468" s="30"/>
      <c r="E468" s="77" t="s">
        <v>31</v>
      </c>
      <c r="F468" s="28">
        <f t="shared" si="78"/>
        <v>8606.5</v>
      </c>
      <c r="G468" s="28"/>
      <c r="H468" s="28">
        <f t="shared" si="78"/>
        <v>8606.5</v>
      </c>
      <c r="I468" s="28">
        <f t="shared" si="78"/>
        <v>8752.0999999999985</v>
      </c>
      <c r="J468" s="333"/>
      <c r="K468" s="28">
        <f t="shared" si="78"/>
        <v>8752.0999999999985</v>
      </c>
      <c r="L468" s="28">
        <f t="shared" si="78"/>
        <v>8752.0999999999985</v>
      </c>
      <c r="M468" s="28"/>
      <c r="N468" s="28">
        <f t="shared" si="78"/>
        <v>8752.0999999999985</v>
      </c>
    </row>
    <row r="469" spans="1:14" ht="39" x14ac:dyDescent="0.25">
      <c r="A469" s="208"/>
      <c r="B469" s="208"/>
      <c r="C469" s="208" t="s">
        <v>30</v>
      </c>
      <c r="D469" s="208"/>
      <c r="E469" s="209" t="s">
        <v>29</v>
      </c>
      <c r="F469" s="210">
        <f t="shared" si="78"/>
        <v>8606.5</v>
      </c>
      <c r="G469" s="210"/>
      <c r="H469" s="210">
        <f t="shared" si="78"/>
        <v>8606.5</v>
      </c>
      <c r="I469" s="210">
        <f t="shared" si="78"/>
        <v>8752.0999999999985</v>
      </c>
      <c r="J469" s="334"/>
      <c r="K469" s="210">
        <f t="shared" si="78"/>
        <v>8752.0999999999985</v>
      </c>
      <c r="L469" s="210">
        <f t="shared" si="78"/>
        <v>8752.0999999999985</v>
      </c>
      <c r="M469" s="210"/>
      <c r="N469" s="210">
        <f t="shared" si="78"/>
        <v>8752.0999999999985</v>
      </c>
    </row>
    <row r="470" spans="1:14" ht="26.25" x14ac:dyDescent="0.25">
      <c r="A470" s="8"/>
      <c r="B470" s="8"/>
      <c r="C470" s="7" t="s">
        <v>288</v>
      </c>
      <c r="D470" s="7"/>
      <c r="E470" s="12" t="s">
        <v>287</v>
      </c>
      <c r="F470" s="9">
        <f t="shared" si="78"/>
        <v>8606.5</v>
      </c>
      <c r="G470" s="9"/>
      <c r="H470" s="9">
        <f t="shared" si="78"/>
        <v>8606.5</v>
      </c>
      <c r="I470" s="9">
        <f t="shared" si="78"/>
        <v>8752.0999999999985</v>
      </c>
      <c r="J470" s="335"/>
      <c r="K470" s="9">
        <f t="shared" si="78"/>
        <v>8752.0999999999985</v>
      </c>
      <c r="L470" s="9">
        <f t="shared" si="78"/>
        <v>8752.0999999999985</v>
      </c>
      <c r="M470" s="9"/>
      <c r="N470" s="9">
        <f t="shared" si="78"/>
        <v>8752.0999999999985</v>
      </c>
    </row>
    <row r="471" spans="1:14" x14ac:dyDescent="0.25">
      <c r="A471" s="8"/>
      <c r="B471" s="8"/>
      <c r="C471" s="7"/>
      <c r="D471" s="7" t="s">
        <v>79</v>
      </c>
      <c r="E471" s="6" t="s">
        <v>78</v>
      </c>
      <c r="F471" s="9">
        <f>8666.7-60.2</f>
        <v>8606.5</v>
      </c>
      <c r="G471" s="9"/>
      <c r="H471" s="9">
        <f>8666.7-60.2</f>
        <v>8606.5</v>
      </c>
      <c r="I471" s="9">
        <f>8812.3-60.2</f>
        <v>8752.0999999999985</v>
      </c>
      <c r="J471" s="335"/>
      <c r="K471" s="9">
        <f>8812.3-60.2</f>
        <v>8752.0999999999985</v>
      </c>
      <c r="L471" s="9">
        <f>8812.3-60.2</f>
        <v>8752.0999999999985</v>
      </c>
      <c r="M471" s="9"/>
      <c r="N471" s="9">
        <f>8812.3-60.2</f>
        <v>8752.0999999999985</v>
      </c>
    </row>
    <row r="472" spans="1:14" x14ac:dyDescent="0.25">
      <c r="A472" s="21"/>
      <c r="B472" s="22" t="s">
        <v>286</v>
      </c>
      <c r="C472" s="21"/>
      <c r="D472" s="21"/>
      <c r="E472" s="20" t="s">
        <v>88</v>
      </c>
      <c r="F472" s="26">
        <f t="shared" ref="F472:N472" si="79">F473</f>
        <v>2031.85562</v>
      </c>
      <c r="G472" s="26">
        <f t="shared" si="79"/>
        <v>21.248519999999999</v>
      </c>
      <c r="H472" s="26">
        <f t="shared" si="79"/>
        <v>2053.1041399999999</v>
      </c>
      <c r="I472" s="26">
        <f t="shared" si="79"/>
        <v>3189.9656800000002</v>
      </c>
      <c r="J472" s="26">
        <f t="shared" si="79"/>
        <v>-21.248519999999999</v>
      </c>
      <c r="K472" s="26">
        <f t="shared" si="79"/>
        <v>3168.7171600000001</v>
      </c>
      <c r="L472" s="26">
        <f t="shared" si="79"/>
        <v>2963.0381600000001</v>
      </c>
      <c r="M472" s="26">
        <f t="shared" si="79"/>
        <v>0</v>
      </c>
      <c r="N472" s="26">
        <f t="shared" si="79"/>
        <v>2963.0381600000001</v>
      </c>
    </row>
    <row r="473" spans="1:14" x14ac:dyDescent="0.25">
      <c r="A473" s="21"/>
      <c r="B473" s="22"/>
      <c r="C473" s="21" t="s">
        <v>36</v>
      </c>
      <c r="D473" s="22"/>
      <c r="E473" s="27" t="s">
        <v>35</v>
      </c>
      <c r="F473" s="26">
        <f t="shared" ref="F473:N473" si="80">F474+F478</f>
        <v>2031.85562</v>
      </c>
      <c r="G473" s="26">
        <f t="shared" si="80"/>
        <v>21.248519999999999</v>
      </c>
      <c r="H473" s="26">
        <f t="shared" si="80"/>
        <v>2053.1041399999999</v>
      </c>
      <c r="I473" s="26">
        <f t="shared" si="80"/>
        <v>3189.9656800000002</v>
      </c>
      <c r="J473" s="26">
        <f t="shared" si="80"/>
        <v>-21.248519999999999</v>
      </c>
      <c r="K473" s="26">
        <f t="shared" si="80"/>
        <v>3168.7171600000001</v>
      </c>
      <c r="L473" s="26">
        <f t="shared" si="80"/>
        <v>2963.0381600000001</v>
      </c>
      <c r="M473" s="26">
        <f t="shared" si="80"/>
        <v>0</v>
      </c>
      <c r="N473" s="26">
        <f t="shared" si="80"/>
        <v>2963.0381600000001</v>
      </c>
    </row>
    <row r="474" spans="1:14" ht="25.5" x14ac:dyDescent="0.25">
      <c r="A474" s="34"/>
      <c r="B474" s="33"/>
      <c r="C474" s="34" t="s">
        <v>285</v>
      </c>
      <c r="D474" s="33"/>
      <c r="E474" s="32" t="s">
        <v>284</v>
      </c>
      <c r="F474" s="31">
        <f>F475</f>
        <v>1421.9</v>
      </c>
      <c r="G474" s="31"/>
      <c r="H474" s="31">
        <f>H475</f>
        <v>1421.9</v>
      </c>
      <c r="I474" s="31">
        <f t="shared" ref="I474:N476" si="81">I475</f>
        <v>1421.9</v>
      </c>
      <c r="J474" s="332"/>
      <c r="K474" s="31">
        <f t="shared" si="81"/>
        <v>1421.9</v>
      </c>
      <c r="L474" s="31">
        <f t="shared" si="81"/>
        <v>1421.9</v>
      </c>
      <c r="M474" s="31"/>
      <c r="N474" s="31">
        <f t="shared" si="81"/>
        <v>1421.9</v>
      </c>
    </row>
    <row r="475" spans="1:14" ht="26.25" x14ac:dyDescent="0.25">
      <c r="A475" s="208"/>
      <c r="B475" s="208"/>
      <c r="C475" s="208" t="s">
        <v>283</v>
      </c>
      <c r="D475" s="208"/>
      <c r="E475" s="209" t="s">
        <v>282</v>
      </c>
      <c r="F475" s="210">
        <f>F476</f>
        <v>1421.9</v>
      </c>
      <c r="G475" s="210"/>
      <c r="H475" s="210">
        <f>H476</f>
        <v>1421.9</v>
      </c>
      <c r="I475" s="210">
        <f t="shared" si="81"/>
        <v>1421.9</v>
      </c>
      <c r="J475" s="334"/>
      <c r="K475" s="210">
        <f t="shared" si="81"/>
        <v>1421.9</v>
      </c>
      <c r="L475" s="210">
        <f t="shared" si="81"/>
        <v>1421.9</v>
      </c>
      <c r="M475" s="210"/>
      <c r="N475" s="210">
        <f t="shared" si="81"/>
        <v>1421.9</v>
      </c>
    </row>
    <row r="476" spans="1:14" ht="26.25" x14ac:dyDescent="0.25">
      <c r="A476" s="8"/>
      <c r="B476" s="8"/>
      <c r="C476" s="7" t="s">
        <v>281</v>
      </c>
      <c r="D476" s="7"/>
      <c r="E476" s="76" t="s">
        <v>280</v>
      </c>
      <c r="F476" s="9">
        <f>F477</f>
        <v>1421.9</v>
      </c>
      <c r="G476" s="9"/>
      <c r="H476" s="9">
        <f>H477</f>
        <v>1421.9</v>
      </c>
      <c r="I476" s="9">
        <f t="shared" si="81"/>
        <v>1421.9</v>
      </c>
      <c r="J476" s="335"/>
      <c r="K476" s="9">
        <f t="shared" si="81"/>
        <v>1421.9</v>
      </c>
      <c r="L476" s="9">
        <f t="shared" si="81"/>
        <v>1421.9</v>
      </c>
      <c r="M476" s="9"/>
      <c r="N476" s="9">
        <f t="shared" si="81"/>
        <v>1421.9</v>
      </c>
    </row>
    <row r="477" spans="1:14" x14ac:dyDescent="0.25">
      <c r="A477" s="8"/>
      <c r="B477" s="8"/>
      <c r="C477" s="7"/>
      <c r="D477" s="7" t="s">
        <v>79</v>
      </c>
      <c r="E477" s="6" t="s">
        <v>78</v>
      </c>
      <c r="F477" s="9">
        <v>1421.9</v>
      </c>
      <c r="G477" s="9"/>
      <c r="H477" s="9">
        <v>1421.9</v>
      </c>
      <c r="I477" s="9">
        <v>1421.9</v>
      </c>
      <c r="J477" s="335"/>
      <c r="K477" s="9">
        <v>1421.9</v>
      </c>
      <c r="L477" s="9">
        <v>1421.9</v>
      </c>
      <c r="M477" s="9"/>
      <c r="N477" s="9">
        <v>1421.9</v>
      </c>
    </row>
    <row r="478" spans="1:14" ht="26.25" x14ac:dyDescent="0.25">
      <c r="A478" s="34"/>
      <c r="B478" s="33"/>
      <c r="C478" s="225" t="s">
        <v>369</v>
      </c>
      <c r="D478" s="229"/>
      <c r="E478" s="228" t="s">
        <v>644</v>
      </c>
      <c r="F478" s="89">
        <f t="shared" ref="F478:H480" si="82">F479</f>
        <v>609.95561999999995</v>
      </c>
      <c r="G478" s="89">
        <f t="shared" si="82"/>
        <v>21.248519999999999</v>
      </c>
      <c r="H478" s="89">
        <f t="shared" si="82"/>
        <v>631.20413999999994</v>
      </c>
      <c r="I478" s="89">
        <f t="shared" ref="I478:N481" si="83">I479</f>
        <v>1768.0656799999999</v>
      </c>
      <c r="J478" s="89">
        <f t="shared" si="83"/>
        <v>-21.248519999999999</v>
      </c>
      <c r="K478" s="89">
        <f t="shared" si="83"/>
        <v>1746.8171599999998</v>
      </c>
      <c r="L478" s="89">
        <f t="shared" si="83"/>
        <v>1541.13816</v>
      </c>
      <c r="M478" s="89">
        <f t="shared" si="83"/>
        <v>0</v>
      </c>
      <c r="N478" s="89">
        <f t="shared" si="83"/>
        <v>1541.13816</v>
      </c>
    </row>
    <row r="479" spans="1:14" ht="39" x14ac:dyDescent="0.25">
      <c r="A479" s="208"/>
      <c r="B479" s="208"/>
      <c r="C479" s="208" t="s">
        <v>789</v>
      </c>
      <c r="D479" s="216"/>
      <c r="E479" s="209" t="s">
        <v>364</v>
      </c>
      <c r="F479" s="210">
        <f t="shared" si="82"/>
        <v>609.95561999999995</v>
      </c>
      <c r="G479" s="210">
        <f t="shared" si="82"/>
        <v>21.248519999999999</v>
      </c>
      <c r="H479" s="210">
        <f t="shared" si="82"/>
        <v>631.20413999999994</v>
      </c>
      <c r="I479" s="210">
        <f t="shared" si="83"/>
        <v>1768.0656799999999</v>
      </c>
      <c r="J479" s="210">
        <f t="shared" si="83"/>
        <v>-21.248519999999999</v>
      </c>
      <c r="K479" s="210">
        <f t="shared" si="83"/>
        <v>1746.8171599999998</v>
      </c>
      <c r="L479" s="210">
        <f t="shared" si="83"/>
        <v>1541.13816</v>
      </c>
      <c r="M479" s="210">
        <f t="shared" si="83"/>
        <v>0</v>
      </c>
      <c r="N479" s="210">
        <f t="shared" si="83"/>
        <v>1541.13816</v>
      </c>
    </row>
    <row r="480" spans="1:14" ht="26.25" x14ac:dyDescent="0.25">
      <c r="A480" s="8"/>
      <c r="B480" s="8"/>
      <c r="C480" s="194" t="s">
        <v>608</v>
      </c>
      <c r="D480" s="194"/>
      <c r="E480" s="195" t="s">
        <v>790</v>
      </c>
      <c r="F480" s="9">
        <f t="shared" si="82"/>
        <v>609.95561999999995</v>
      </c>
      <c r="G480" s="9">
        <f t="shared" si="82"/>
        <v>21.248519999999999</v>
      </c>
      <c r="H480" s="9">
        <f t="shared" si="82"/>
        <v>631.20413999999994</v>
      </c>
      <c r="I480" s="9">
        <f t="shared" si="83"/>
        <v>1768.0656799999999</v>
      </c>
      <c r="J480" s="9">
        <f t="shared" si="83"/>
        <v>-21.248519999999999</v>
      </c>
      <c r="K480" s="9">
        <f t="shared" si="83"/>
        <v>1746.8171599999998</v>
      </c>
      <c r="L480" s="9">
        <f t="shared" si="83"/>
        <v>1541.13816</v>
      </c>
      <c r="M480" s="9">
        <f t="shared" si="83"/>
        <v>0</v>
      </c>
      <c r="N480" s="9">
        <f t="shared" si="83"/>
        <v>1541.13816</v>
      </c>
    </row>
    <row r="481" spans="1:14" x14ac:dyDescent="0.25">
      <c r="A481" s="8"/>
      <c r="B481" s="8"/>
      <c r="C481" s="194"/>
      <c r="D481" s="194">
        <v>300</v>
      </c>
      <c r="E481" s="6" t="s">
        <v>78</v>
      </c>
      <c r="F481" s="9">
        <f>F482</f>
        <v>609.95561999999995</v>
      </c>
      <c r="G481" s="9">
        <f>G482</f>
        <v>21.248519999999999</v>
      </c>
      <c r="H481" s="9">
        <f>H482</f>
        <v>631.20413999999994</v>
      </c>
      <c r="I481" s="9">
        <f t="shared" si="83"/>
        <v>1768.0656799999999</v>
      </c>
      <c r="J481" s="9">
        <f t="shared" si="83"/>
        <v>-21.248519999999999</v>
      </c>
      <c r="K481" s="9">
        <f t="shared" si="83"/>
        <v>1746.8171599999998</v>
      </c>
      <c r="L481" s="9">
        <f t="shared" si="83"/>
        <v>1541.13816</v>
      </c>
      <c r="M481" s="9">
        <f t="shared" si="83"/>
        <v>0</v>
      </c>
      <c r="N481" s="9">
        <f t="shared" si="83"/>
        <v>1541.13816</v>
      </c>
    </row>
    <row r="482" spans="1:14" x14ac:dyDescent="0.25">
      <c r="A482" s="8"/>
      <c r="B482" s="8"/>
      <c r="C482" s="7"/>
      <c r="D482" s="7"/>
      <c r="E482" s="195" t="s">
        <v>647</v>
      </c>
      <c r="F482" s="9">
        <v>609.95561999999995</v>
      </c>
      <c r="G482" s="261">
        <v>21.248519999999999</v>
      </c>
      <c r="H482" s="9">
        <f>SUM(F482:G482)</f>
        <v>631.20413999999994</v>
      </c>
      <c r="I482" s="261">
        <v>1768.0656799999999</v>
      </c>
      <c r="J482" s="261">
        <v>-21.248519999999999</v>
      </c>
      <c r="K482" s="261">
        <f>SUM(I482:J482)</f>
        <v>1746.8171599999998</v>
      </c>
      <c r="L482" s="261">
        <v>1541.13816</v>
      </c>
      <c r="M482" s="261"/>
      <c r="N482" s="261">
        <f>2518.72556-977.5874</f>
        <v>1541.13816</v>
      </c>
    </row>
    <row r="483" spans="1:14" x14ac:dyDescent="0.25">
      <c r="A483" s="8"/>
      <c r="B483" s="22">
        <v>1004</v>
      </c>
      <c r="C483" s="21"/>
      <c r="D483" s="21"/>
      <c r="E483" s="20" t="s">
        <v>179</v>
      </c>
      <c r="F483" s="26">
        <f t="shared" ref="F483:N484" si="84">F484</f>
        <v>6564.2340000000004</v>
      </c>
      <c r="G483" s="26">
        <f t="shared" si="84"/>
        <v>-3.5639999999999998E-2</v>
      </c>
      <c r="H483" s="26">
        <f t="shared" si="84"/>
        <v>6564.1983600000003</v>
      </c>
      <c r="I483" s="26">
        <f t="shared" si="84"/>
        <v>14906.261</v>
      </c>
      <c r="J483" s="336"/>
      <c r="K483" s="26">
        <f t="shared" si="84"/>
        <v>14906.261</v>
      </c>
      <c r="L483" s="26">
        <f t="shared" si="84"/>
        <v>7431.1</v>
      </c>
      <c r="M483" s="26"/>
      <c r="N483" s="26">
        <f t="shared" si="84"/>
        <v>7431.1</v>
      </c>
    </row>
    <row r="484" spans="1:14" x14ac:dyDescent="0.25">
      <c r="A484" s="8"/>
      <c r="B484" s="22"/>
      <c r="C484" s="21" t="s">
        <v>36</v>
      </c>
      <c r="D484" s="22"/>
      <c r="E484" s="27" t="s">
        <v>178</v>
      </c>
      <c r="F484" s="26">
        <f t="shared" si="84"/>
        <v>6564.2340000000004</v>
      </c>
      <c r="G484" s="26">
        <f t="shared" si="84"/>
        <v>-3.5639999999999998E-2</v>
      </c>
      <c r="H484" s="26">
        <f t="shared" si="84"/>
        <v>6564.1983600000003</v>
      </c>
      <c r="I484" s="26">
        <f t="shared" si="84"/>
        <v>14906.261</v>
      </c>
      <c r="J484" s="336"/>
      <c r="K484" s="26">
        <f t="shared" si="84"/>
        <v>14906.261</v>
      </c>
      <c r="L484" s="26">
        <f t="shared" si="84"/>
        <v>7431.1</v>
      </c>
      <c r="M484" s="26"/>
      <c r="N484" s="26">
        <f t="shared" si="84"/>
        <v>7431.1</v>
      </c>
    </row>
    <row r="485" spans="1:14" ht="25.5" x14ac:dyDescent="0.25">
      <c r="A485" s="34"/>
      <c r="B485" s="33"/>
      <c r="C485" s="34" t="s">
        <v>268</v>
      </c>
      <c r="D485" s="33"/>
      <c r="E485" s="32" t="s">
        <v>267</v>
      </c>
      <c r="F485" s="31">
        <f>F486+F494</f>
        <v>6564.2340000000004</v>
      </c>
      <c r="G485" s="31">
        <f>G486+G494</f>
        <v>-3.5639999999999998E-2</v>
      </c>
      <c r="H485" s="31">
        <f>H486+H494</f>
        <v>6564.1983600000003</v>
      </c>
      <c r="I485" s="31">
        <f>I486+I494</f>
        <v>14906.261</v>
      </c>
      <c r="J485" s="332"/>
      <c r="K485" s="31">
        <f>K486+K494</f>
        <v>14906.261</v>
      </c>
      <c r="L485" s="31">
        <f>L486+L494</f>
        <v>7431.1</v>
      </c>
      <c r="M485" s="31"/>
      <c r="N485" s="31">
        <f>N486+N494</f>
        <v>7431.1</v>
      </c>
    </row>
    <row r="486" spans="1:14" x14ac:dyDescent="0.25">
      <c r="A486" s="208"/>
      <c r="B486" s="208"/>
      <c r="C486" s="208" t="s">
        <v>279</v>
      </c>
      <c r="D486" s="208"/>
      <c r="E486" s="209" t="s">
        <v>278</v>
      </c>
      <c r="F486" s="210">
        <f>F489+F487</f>
        <v>6564.2340000000004</v>
      </c>
      <c r="G486" s="210">
        <f>G489+G487</f>
        <v>-3.5639999999999998E-2</v>
      </c>
      <c r="H486" s="210">
        <f>H489+H487</f>
        <v>6564.1983600000003</v>
      </c>
      <c r="I486" s="210">
        <f>I489+I487</f>
        <v>7475.1610000000001</v>
      </c>
      <c r="J486" s="334"/>
      <c r="K486" s="210">
        <f>K489+K487</f>
        <v>7475.1610000000001</v>
      </c>
      <c r="L486" s="210">
        <f>L489+L487</f>
        <v>0</v>
      </c>
      <c r="M486" s="210"/>
      <c r="N486" s="210">
        <f>N489+N487</f>
        <v>0</v>
      </c>
    </row>
    <row r="487" spans="1:14" s="23" customFormat="1" x14ac:dyDescent="0.25">
      <c r="A487" s="57"/>
      <c r="B487" s="57"/>
      <c r="C487" s="7" t="s">
        <v>277</v>
      </c>
      <c r="D487" s="7"/>
      <c r="E487" s="293" t="s">
        <v>820</v>
      </c>
      <c r="F487" s="9">
        <f>F488</f>
        <v>5012.1400000000003</v>
      </c>
      <c r="G487" s="9"/>
      <c r="H487" s="9">
        <f>H488</f>
        <v>5012.1400000000003</v>
      </c>
      <c r="I487" s="9">
        <f>I488</f>
        <v>5060.3379999999997</v>
      </c>
      <c r="J487" s="335"/>
      <c r="K487" s="9">
        <f>K488</f>
        <v>5060.3379999999997</v>
      </c>
      <c r="L487" s="9">
        <f>L488</f>
        <v>0</v>
      </c>
      <c r="M487" s="9"/>
      <c r="N487" s="9">
        <f>N488</f>
        <v>0</v>
      </c>
    </row>
    <row r="488" spans="1:14" s="23" customFormat="1" x14ac:dyDescent="0.25">
      <c r="A488" s="57"/>
      <c r="B488" s="57"/>
      <c r="C488" s="7"/>
      <c r="D488" s="7" t="s">
        <v>79</v>
      </c>
      <c r="E488" s="6" t="s">
        <v>78</v>
      </c>
      <c r="F488" s="9">
        <v>5012.1400000000003</v>
      </c>
      <c r="G488" s="9"/>
      <c r="H488" s="9">
        <v>5012.1400000000003</v>
      </c>
      <c r="I488" s="9">
        <v>5060.3379999999997</v>
      </c>
      <c r="J488" s="335"/>
      <c r="K488" s="9">
        <v>5060.3379999999997</v>
      </c>
      <c r="L488" s="9">
        <v>0</v>
      </c>
      <c r="M488" s="9"/>
      <c r="N488" s="9">
        <v>0</v>
      </c>
    </row>
    <row r="489" spans="1:14" ht="39" x14ac:dyDescent="0.25">
      <c r="A489" s="7"/>
      <c r="B489" s="7"/>
      <c r="C489" s="7" t="s">
        <v>276</v>
      </c>
      <c r="D489" s="7"/>
      <c r="E489" s="12" t="s">
        <v>275</v>
      </c>
      <c r="F489" s="9">
        <f>F490</f>
        <v>1552.0940000000001</v>
      </c>
      <c r="G489" s="9">
        <f>G490</f>
        <v>-3.5639999999999998E-2</v>
      </c>
      <c r="H489" s="9">
        <f>H490</f>
        <v>1552.05836</v>
      </c>
      <c r="I489" s="9">
        <f>I490</f>
        <v>2414.8230000000003</v>
      </c>
      <c r="J489" s="335"/>
      <c r="K489" s="9">
        <f>K490</f>
        <v>2414.8230000000003</v>
      </c>
      <c r="L489" s="9">
        <f>L490</f>
        <v>0</v>
      </c>
      <c r="M489" s="9"/>
      <c r="N489" s="9">
        <f>N490</f>
        <v>0</v>
      </c>
    </row>
    <row r="490" spans="1:14" x14ac:dyDescent="0.25">
      <c r="A490" s="7"/>
      <c r="B490" s="7"/>
      <c r="C490" s="7"/>
      <c r="D490" s="7" t="s">
        <v>79</v>
      </c>
      <c r="E490" s="6" t="s">
        <v>78</v>
      </c>
      <c r="F490" s="9">
        <f>F493</f>
        <v>1552.0940000000001</v>
      </c>
      <c r="G490" s="9">
        <f>G493</f>
        <v>-3.5639999999999998E-2</v>
      </c>
      <c r="H490" s="9">
        <f>H493</f>
        <v>1552.05836</v>
      </c>
      <c r="I490" s="9">
        <f>I491+I492+I493</f>
        <v>2414.8230000000003</v>
      </c>
      <c r="J490" s="335"/>
      <c r="K490" s="9">
        <f>K491+K492+K493</f>
        <v>2414.8230000000003</v>
      </c>
      <c r="L490" s="9">
        <f>L493</f>
        <v>0</v>
      </c>
      <c r="M490" s="9"/>
      <c r="N490" s="9">
        <f>N493</f>
        <v>0</v>
      </c>
    </row>
    <row r="491" spans="1:14" x14ac:dyDescent="0.25">
      <c r="A491" s="7"/>
      <c r="B491" s="7"/>
      <c r="C491" s="7"/>
      <c r="D491" s="7"/>
      <c r="E491" s="6" t="s">
        <v>115</v>
      </c>
      <c r="F491" s="9">
        <v>0</v>
      </c>
      <c r="G491" s="9"/>
      <c r="H491" s="9">
        <v>0</v>
      </c>
      <c r="I491" s="9">
        <v>1094.8900000000001</v>
      </c>
      <c r="J491" s="335"/>
      <c r="K491" s="9">
        <v>1094.8900000000001</v>
      </c>
      <c r="L491" s="9">
        <v>0</v>
      </c>
      <c r="M491" s="9"/>
      <c r="N491" s="9">
        <v>0</v>
      </c>
    </row>
    <row r="492" spans="1:14" x14ac:dyDescent="0.25">
      <c r="A492" s="7"/>
      <c r="B492" s="7"/>
      <c r="C492" s="7"/>
      <c r="D492" s="7"/>
      <c r="E492" s="6" t="s">
        <v>114</v>
      </c>
      <c r="F492" s="9">
        <v>0</v>
      </c>
      <c r="G492" s="9"/>
      <c r="H492" s="9">
        <v>0</v>
      </c>
      <c r="I492" s="9">
        <v>327.04500000000002</v>
      </c>
      <c r="J492" s="335"/>
      <c r="K492" s="9">
        <v>327.04500000000002</v>
      </c>
      <c r="L492" s="9">
        <v>0</v>
      </c>
      <c r="M492" s="9"/>
      <c r="N492" s="9">
        <v>0</v>
      </c>
    </row>
    <row r="493" spans="1:14" x14ac:dyDescent="0.25">
      <c r="A493" s="7"/>
      <c r="B493" s="7"/>
      <c r="C493" s="7"/>
      <c r="D493" s="7"/>
      <c r="E493" s="6" t="s">
        <v>106</v>
      </c>
      <c r="F493" s="9">
        <v>1552.0940000000001</v>
      </c>
      <c r="G493" s="261">
        <v>-3.5639999999999998E-2</v>
      </c>
      <c r="H493" s="9">
        <f>SUM(F493:G493)</f>
        <v>1552.05836</v>
      </c>
      <c r="I493" s="9">
        <v>992.88800000000003</v>
      </c>
      <c r="J493" s="335"/>
      <c r="K493" s="9">
        <v>992.88800000000003</v>
      </c>
      <c r="L493" s="9">
        <v>0</v>
      </c>
      <c r="M493" s="9"/>
      <c r="N493" s="9">
        <v>0</v>
      </c>
    </row>
    <row r="494" spans="1:14" ht="39" x14ac:dyDescent="0.25">
      <c r="A494" s="208"/>
      <c r="B494" s="208"/>
      <c r="C494" s="208" t="s">
        <v>266</v>
      </c>
      <c r="D494" s="208"/>
      <c r="E494" s="209" t="s">
        <v>265</v>
      </c>
      <c r="F494" s="210">
        <f t="shared" ref="F494:N495" si="85">F495</f>
        <v>0</v>
      </c>
      <c r="G494" s="210"/>
      <c r="H494" s="210">
        <f t="shared" si="85"/>
        <v>0</v>
      </c>
      <c r="I494" s="210">
        <f t="shared" si="85"/>
        <v>7431.1</v>
      </c>
      <c r="J494" s="334"/>
      <c r="K494" s="210">
        <f t="shared" si="85"/>
        <v>7431.1</v>
      </c>
      <c r="L494" s="210">
        <f t="shared" si="85"/>
        <v>7431.1</v>
      </c>
      <c r="M494" s="210"/>
      <c r="N494" s="210">
        <f t="shared" si="85"/>
        <v>7431.1</v>
      </c>
    </row>
    <row r="495" spans="1:14" ht="57" customHeight="1" x14ac:dyDescent="0.25">
      <c r="A495" s="8"/>
      <c r="B495" s="8"/>
      <c r="C495" s="7" t="s">
        <v>274</v>
      </c>
      <c r="D495" s="7"/>
      <c r="E495" s="75" t="s">
        <v>273</v>
      </c>
      <c r="F495" s="9">
        <f t="shared" si="85"/>
        <v>0</v>
      </c>
      <c r="G495" s="9"/>
      <c r="H495" s="9">
        <f t="shared" si="85"/>
        <v>0</v>
      </c>
      <c r="I495" s="9">
        <f t="shared" si="85"/>
        <v>7431.1</v>
      </c>
      <c r="J495" s="335"/>
      <c r="K495" s="9">
        <f t="shared" si="85"/>
        <v>7431.1</v>
      </c>
      <c r="L495" s="9">
        <f t="shared" si="85"/>
        <v>7431.1</v>
      </c>
      <c r="M495" s="9"/>
      <c r="N495" s="9">
        <f t="shared" si="85"/>
        <v>7431.1</v>
      </c>
    </row>
    <row r="496" spans="1:14" ht="26.25" x14ac:dyDescent="0.25">
      <c r="A496" s="8"/>
      <c r="B496" s="8"/>
      <c r="C496" s="7"/>
      <c r="D496" s="7" t="s">
        <v>272</v>
      </c>
      <c r="E496" s="6" t="s">
        <v>271</v>
      </c>
      <c r="F496" s="5">
        <v>0</v>
      </c>
      <c r="G496" s="5"/>
      <c r="H496" s="5">
        <v>0</v>
      </c>
      <c r="I496" s="5">
        <v>7431.1</v>
      </c>
      <c r="J496" s="337"/>
      <c r="K496" s="5">
        <v>7431.1</v>
      </c>
      <c r="L496" s="5">
        <v>7431.1</v>
      </c>
      <c r="M496" s="5"/>
      <c r="N496" s="5">
        <v>7431.1</v>
      </c>
    </row>
    <row r="497" spans="1:14" x14ac:dyDescent="0.25">
      <c r="A497" s="8"/>
      <c r="B497" s="22" t="s">
        <v>270</v>
      </c>
      <c r="C497" s="21"/>
      <c r="D497" s="21"/>
      <c r="E497" s="20" t="s">
        <v>269</v>
      </c>
      <c r="F497" s="26">
        <f t="shared" ref="F497:N501" si="86">F498</f>
        <v>93</v>
      </c>
      <c r="G497" s="26"/>
      <c r="H497" s="26">
        <f t="shared" si="86"/>
        <v>93</v>
      </c>
      <c r="I497" s="26">
        <f t="shared" si="86"/>
        <v>101.3</v>
      </c>
      <c r="J497" s="336"/>
      <c r="K497" s="26">
        <f t="shared" si="86"/>
        <v>101.3</v>
      </c>
      <c r="L497" s="26">
        <f t="shared" si="86"/>
        <v>110.1</v>
      </c>
      <c r="M497" s="26"/>
      <c r="N497" s="26">
        <f t="shared" si="86"/>
        <v>110.1</v>
      </c>
    </row>
    <row r="498" spans="1:14" x14ac:dyDescent="0.25">
      <c r="A498" s="8"/>
      <c r="B498" s="22"/>
      <c r="C498" s="21" t="s">
        <v>36</v>
      </c>
      <c r="D498" s="22"/>
      <c r="E498" s="27" t="s">
        <v>178</v>
      </c>
      <c r="F498" s="26">
        <f t="shared" si="86"/>
        <v>93</v>
      </c>
      <c r="G498" s="26"/>
      <c r="H498" s="26">
        <f t="shared" si="86"/>
        <v>93</v>
      </c>
      <c r="I498" s="26">
        <f t="shared" si="86"/>
        <v>101.3</v>
      </c>
      <c r="J498" s="336"/>
      <c r="K498" s="26">
        <f t="shared" si="86"/>
        <v>101.3</v>
      </c>
      <c r="L498" s="26">
        <f t="shared" si="86"/>
        <v>110.1</v>
      </c>
      <c r="M498" s="26"/>
      <c r="N498" s="26">
        <f t="shared" si="86"/>
        <v>110.1</v>
      </c>
    </row>
    <row r="499" spans="1:14" ht="25.5" x14ac:dyDescent="0.25">
      <c r="A499" s="34"/>
      <c r="B499" s="33"/>
      <c r="C499" s="34" t="s">
        <v>268</v>
      </c>
      <c r="D499" s="33"/>
      <c r="E499" s="32" t="s">
        <v>267</v>
      </c>
      <c r="F499" s="31">
        <f t="shared" si="86"/>
        <v>93</v>
      </c>
      <c r="G499" s="31"/>
      <c r="H499" s="31">
        <f t="shared" si="86"/>
        <v>93</v>
      </c>
      <c r="I499" s="31">
        <f t="shared" si="86"/>
        <v>101.3</v>
      </c>
      <c r="J499" s="332"/>
      <c r="K499" s="31">
        <f t="shared" si="86"/>
        <v>101.3</v>
      </c>
      <c r="L499" s="31">
        <f t="shared" si="86"/>
        <v>110.1</v>
      </c>
      <c r="M499" s="31"/>
      <c r="N499" s="31">
        <f t="shared" si="86"/>
        <v>110.1</v>
      </c>
    </row>
    <row r="500" spans="1:14" ht="39" x14ac:dyDescent="0.25">
      <c r="A500" s="208"/>
      <c r="B500" s="208"/>
      <c r="C500" s="208" t="s">
        <v>266</v>
      </c>
      <c r="D500" s="208"/>
      <c r="E500" s="209" t="s">
        <v>265</v>
      </c>
      <c r="F500" s="210">
        <f t="shared" si="86"/>
        <v>93</v>
      </c>
      <c r="G500" s="210"/>
      <c r="H500" s="210">
        <f t="shared" si="86"/>
        <v>93</v>
      </c>
      <c r="I500" s="210">
        <f t="shared" si="86"/>
        <v>101.3</v>
      </c>
      <c r="J500" s="334"/>
      <c r="K500" s="210">
        <f t="shared" si="86"/>
        <v>101.3</v>
      </c>
      <c r="L500" s="210">
        <f t="shared" si="86"/>
        <v>110.1</v>
      </c>
      <c r="M500" s="210"/>
      <c r="N500" s="210">
        <f t="shared" si="86"/>
        <v>110.1</v>
      </c>
    </row>
    <row r="501" spans="1:14" ht="26.25" x14ac:dyDescent="0.25">
      <c r="A501" s="8"/>
      <c r="B501" s="8"/>
      <c r="C501" s="7" t="s">
        <v>264</v>
      </c>
      <c r="D501" s="7"/>
      <c r="E501" s="6" t="s">
        <v>263</v>
      </c>
      <c r="F501" s="9">
        <f t="shared" si="86"/>
        <v>93</v>
      </c>
      <c r="G501" s="9"/>
      <c r="H501" s="9">
        <f t="shared" si="86"/>
        <v>93</v>
      </c>
      <c r="I501" s="9">
        <f t="shared" si="86"/>
        <v>101.3</v>
      </c>
      <c r="J501" s="335"/>
      <c r="K501" s="9">
        <f t="shared" si="86"/>
        <v>101.3</v>
      </c>
      <c r="L501" s="9">
        <f t="shared" si="86"/>
        <v>110.1</v>
      </c>
      <c r="M501" s="9"/>
      <c r="N501" s="9">
        <f t="shared" si="86"/>
        <v>110.1</v>
      </c>
    </row>
    <row r="502" spans="1:14" x14ac:dyDescent="0.25">
      <c r="A502" s="8"/>
      <c r="B502" s="8"/>
      <c r="C502" s="7"/>
      <c r="D502" s="7" t="s">
        <v>12</v>
      </c>
      <c r="E502" s="6" t="s">
        <v>11</v>
      </c>
      <c r="F502" s="9">
        <v>93</v>
      </c>
      <c r="G502" s="9"/>
      <c r="H502" s="9">
        <v>93</v>
      </c>
      <c r="I502" s="9">
        <v>101.3</v>
      </c>
      <c r="J502" s="335"/>
      <c r="K502" s="9">
        <v>101.3</v>
      </c>
      <c r="L502" s="9">
        <v>110.1</v>
      </c>
      <c r="M502" s="9"/>
      <c r="N502" s="9">
        <v>110.1</v>
      </c>
    </row>
    <row r="503" spans="1:14" ht="25.5" x14ac:dyDescent="0.25">
      <c r="A503" s="39">
        <v>611</v>
      </c>
      <c r="B503" s="40"/>
      <c r="C503" s="39"/>
      <c r="D503" s="39"/>
      <c r="E503" s="38" t="s">
        <v>262</v>
      </c>
      <c r="F503" s="74">
        <f>F504+F643+F673</f>
        <v>594630.88817000005</v>
      </c>
      <c r="G503" s="74">
        <f t="shared" ref="G503:L503" si="87">G504+G643+G673</f>
        <v>1491.8625199999994</v>
      </c>
      <c r="H503" s="74">
        <f t="shared" si="87"/>
        <v>596122.75069000002</v>
      </c>
      <c r="I503" s="74">
        <f t="shared" si="87"/>
        <v>502770.58609999996</v>
      </c>
      <c r="J503" s="74">
        <f t="shared" si="87"/>
        <v>-4599.8999999999996</v>
      </c>
      <c r="K503" s="74">
        <f t="shared" si="87"/>
        <v>498170.68609999993</v>
      </c>
      <c r="L503" s="74">
        <f t="shared" si="87"/>
        <v>504255.15705999988</v>
      </c>
      <c r="M503" s="74"/>
      <c r="N503" s="74">
        <f>N504+N643+N673</f>
        <v>504255.15705999988</v>
      </c>
    </row>
    <row r="504" spans="1:14" x14ac:dyDescent="0.25">
      <c r="A504" s="36"/>
      <c r="B504" s="22" t="s">
        <v>162</v>
      </c>
      <c r="C504" s="21"/>
      <c r="D504" s="21"/>
      <c r="E504" s="20" t="s">
        <v>161</v>
      </c>
      <c r="F504" s="26">
        <f t="shared" ref="F504:L504" si="88">F505+F525+F589+F598</f>
        <v>562673.56307000003</v>
      </c>
      <c r="G504" s="26">
        <f t="shared" si="88"/>
        <v>1491.8625199999994</v>
      </c>
      <c r="H504" s="26">
        <f t="shared" si="88"/>
        <v>564165.42559</v>
      </c>
      <c r="I504" s="26">
        <f t="shared" si="88"/>
        <v>471788.59009999997</v>
      </c>
      <c r="J504" s="26">
        <f t="shared" si="88"/>
        <v>-4599.8999999999996</v>
      </c>
      <c r="K504" s="26">
        <f t="shared" si="88"/>
        <v>467188.69009999995</v>
      </c>
      <c r="L504" s="26">
        <f t="shared" si="88"/>
        <v>460937.31819999992</v>
      </c>
      <c r="M504" s="26"/>
      <c r="N504" s="26">
        <f>N505+N525+N589+N598</f>
        <v>460937.31819999992</v>
      </c>
    </row>
    <row r="505" spans="1:14" x14ac:dyDescent="0.25">
      <c r="A505" s="36"/>
      <c r="B505" s="22" t="s">
        <v>261</v>
      </c>
      <c r="C505" s="21"/>
      <c r="D505" s="21"/>
      <c r="E505" s="20" t="s">
        <v>260</v>
      </c>
      <c r="F505" s="26">
        <f t="shared" ref="F505:N506" si="89">F506</f>
        <v>124442.72779999999</v>
      </c>
      <c r="G505" s="26">
        <f t="shared" si="89"/>
        <v>-3660</v>
      </c>
      <c r="H505" s="26">
        <f t="shared" si="89"/>
        <v>120782.72779999999</v>
      </c>
      <c r="I505" s="26">
        <f t="shared" si="89"/>
        <v>119378.8412</v>
      </c>
      <c r="J505" s="336"/>
      <c r="K505" s="26">
        <f t="shared" si="89"/>
        <v>119378.8412</v>
      </c>
      <c r="L505" s="26">
        <f t="shared" si="89"/>
        <v>117483.3027</v>
      </c>
      <c r="M505" s="26"/>
      <c r="N505" s="26">
        <f t="shared" si="89"/>
        <v>117483.3027</v>
      </c>
    </row>
    <row r="506" spans="1:14" s="72" customFormat="1" x14ac:dyDescent="0.25">
      <c r="A506" s="21"/>
      <c r="B506" s="22"/>
      <c r="C506" s="21" t="s">
        <v>36</v>
      </c>
      <c r="D506" s="21"/>
      <c r="E506" s="27" t="s">
        <v>178</v>
      </c>
      <c r="F506" s="26">
        <f t="shared" si="89"/>
        <v>124442.72779999999</v>
      </c>
      <c r="G506" s="26">
        <f t="shared" si="89"/>
        <v>-3660</v>
      </c>
      <c r="H506" s="26">
        <f t="shared" si="89"/>
        <v>120782.72779999999</v>
      </c>
      <c r="I506" s="26">
        <f t="shared" si="89"/>
        <v>119378.8412</v>
      </c>
      <c r="J506" s="336"/>
      <c r="K506" s="26">
        <f t="shared" si="89"/>
        <v>119378.8412</v>
      </c>
      <c r="L506" s="26">
        <f t="shared" si="89"/>
        <v>117483.3027</v>
      </c>
      <c r="M506" s="26"/>
      <c r="N506" s="26">
        <f t="shared" si="89"/>
        <v>117483.3027</v>
      </c>
    </row>
    <row r="507" spans="1:14" ht="25.5" x14ac:dyDescent="0.25">
      <c r="A507" s="34"/>
      <c r="B507" s="33"/>
      <c r="C507" s="34" t="s">
        <v>87</v>
      </c>
      <c r="D507" s="33"/>
      <c r="E507" s="32" t="s">
        <v>227</v>
      </c>
      <c r="F507" s="31">
        <f>F508+F521</f>
        <v>124442.72779999999</v>
      </c>
      <c r="G507" s="31">
        <f>G508+G521</f>
        <v>-3660</v>
      </c>
      <c r="H507" s="31">
        <f>H508+H521</f>
        <v>120782.72779999999</v>
      </c>
      <c r="I507" s="31">
        <f>I508+I521</f>
        <v>119378.8412</v>
      </c>
      <c r="J507" s="332"/>
      <c r="K507" s="31">
        <f>K508+K521</f>
        <v>119378.8412</v>
      </c>
      <c r="L507" s="31">
        <f>L508+L521</f>
        <v>117483.3027</v>
      </c>
      <c r="M507" s="31"/>
      <c r="N507" s="31">
        <f>N508+N521</f>
        <v>117483.3027</v>
      </c>
    </row>
    <row r="508" spans="1:14" x14ac:dyDescent="0.25">
      <c r="A508" s="30"/>
      <c r="B508" s="30"/>
      <c r="C508" s="30" t="s">
        <v>177</v>
      </c>
      <c r="D508" s="30"/>
      <c r="E508" s="50" t="s">
        <v>176</v>
      </c>
      <c r="F508" s="28">
        <f>F509</f>
        <v>123659.1394</v>
      </c>
      <c r="G508" s="28">
        <f>G509</f>
        <v>-3660</v>
      </c>
      <c r="H508" s="28">
        <f>H509</f>
        <v>119999.1394</v>
      </c>
      <c r="I508" s="28">
        <f>I509</f>
        <v>118516.894</v>
      </c>
      <c r="J508" s="333"/>
      <c r="K508" s="28">
        <f>K509</f>
        <v>118516.894</v>
      </c>
      <c r="L508" s="28">
        <f>L509</f>
        <v>116542.9966</v>
      </c>
      <c r="M508" s="28"/>
      <c r="N508" s="28">
        <f>N509</f>
        <v>116542.9966</v>
      </c>
    </row>
    <row r="509" spans="1:14" ht="26.25" x14ac:dyDescent="0.25">
      <c r="A509" s="208"/>
      <c r="B509" s="208"/>
      <c r="C509" s="208" t="s">
        <v>175</v>
      </c>
      <c r="D509" s="208"/>
      <c r="E509" s="209" t="s">
        <v>193</v>
      </c>
      <c r="F509" s="210">
        <f>F510+F512+F515+F517</f>
        <v>123659.1394</v>
      </c>
      <c r="G509" s="210">
        <f>G510+G512+G515+G517</f>
        <v>-3660</v>
      </c>
      <c r="H509" s="210">
        <f>H510+H512+H515+H517</f>
        <v>119999.1394</v>
      </c>
      <c r="I509" s="210">
        <f>I510+I512+I515</f>
        <v>118516.894</v>
      </c>
      <c r="J509" s="334"/>
      <c r="K509" s="210">
        <f>K510+K512+K515</f>
        <v>118516.894</v>
      </c>
      <c r="L509" s="210">
        <f>L510+L512+L515</f>
        <v>116542.9966</v>
      </c>
      <c r="M509" s="210"/>
      <c r="N509" s="210">
        <f>N510+N512+N515</f>
        <v>116542.9966</v>
      </c>
    </row>
    <row r="510" spans="1:14" ht="26.25" x14ac:dyDescent="0.25">
      <c r="A510" s="8"/>
      <c r="B510" s="8"/>
      <c r="C510" s="7" t="s">
        <v>259</v>
      </c>
      <c r="D510" s="57"/>
      <c r="E510" s="6" t="s">
        <v>258</v>
      </c>
      <c r="F510" s="9">
        <f>F511</f>
        <v>28230</v>
      </c>
      <c r="G510" s="9">
        <f>G511</f>
        <v>-3660</v>
      </c>
      <c r="H510" s="9">
        <f>H511</f>
        <v>24570</v>
      </c>
      <c r="I510" s="9">
        <f>I511</f>
        <v>28230</v>
      </c>
      <c r="J510" s="335"/>
      <c r="K510" s="9">
        <f>K511</f>
        <v>28230</v>
      </c>
      <c r="L510" s="9">
        <f>L511</f>
        <v>28230</v>
      </c>
      <c r="M510" s="9"/>
      <c r="N510" s="9">
        <f>N511</f>
        <v>28230</v>
      </c>
    </row>
    <row r="511" spans="1:14" ht="26.25" x14ac:dyDescent="0.25">
      <c r="A511" s="8"/>
      <c r="B511" s="8"/>
      <c r="C511" s="7"/>
      <c r="D511" s="7" t="s">
        <v>57</v>
      </c>
      <c r="E511" s="6" t="s">
        <v>56</v>
      </c>
      <c r="F511" s="9">
        <v>28230</v>
      </c>
      <c r="G511" s="9">
        <v>-3660</v>
      </c>
      <c r="H511" s="9">
        <f>SUM(F511:G511)</f>
        <v>24570</v>
      </c>
      <c r="I511" s="9">
        <v>28230</v>
      </c>
      <c r="J511" s="335"/>
      <c r="K511" s="9">
        <v>28230</v>
      </c>
      <c r="L511" s="9">
        <v>28230</v>
      </c>
      <c r="M511" s="9"/>
      <c r="N511" s="9">
        <v>28230</v>
      </c>
    </row>
    <row r="512" spans="1:14" ht="39" x14ac:dyDescent="0.25">
      <c r="A512" s="8"/>
      <c r="B512" s="8"/>
      <c r="C512" s="7" t="s">
        <v>257</v>
      </c>
      <c r="D512" s="7"/>
      <c r="E512" s="6" t="s">
        <v>256</v>
      </c>
      <c r="F512" s="9">
        <f>F513+F514</f>
        <v>93455.039399999994</v>
      </c>
      <c r="G512" s="9"/>
      <c r="H512" s="9">
        <f>H513+H514</f>
        <v>93455.039399999994</v>
      </c>
      <c r="I512" s="9">
        <f>I513+I514</f>
        <v>89362.793999999994</v>
      </c>
      <c r="J512" s="335"/>
      <c r="K512" s="9">
        <f>K513+K514</f>
        <v>89362.793999999994</v>
      </c>
      <c r="L512" s="9">
        <f>L513+L514</f>
        <v>87388.896599999993</v>
      </c>
      <c r="M512" s="9"/>
      <c r="N512" s="9">
        <f>N513+N514</f>
        <v>87388.896599999993</v>
      </c>
    </row>
    <row r="513" spans="1:14" x14ac:dyDescent="0.25">
      <c r="A513" s="8"/>
      <c r="B513" s="8"/>
      <c r="C513" s="7"/>
      <c r="D513" s="7" t="s">
        <v>79</v>
      </c>
      <c r="E513" s="6" t="s">
        <v>78</v>
      </c>
      <c r="F513" s="9">
        <v>23.352499999999999</v>
      </c>
      <c r="G513" s="9"/>
      <c r="H513" s="9">
        <v>23.352499999999999</v>
      </c>
      <c r="I513" s="9">
        <v>23.352499999999999</v>
      </c>
      <c r="J513" s="335"/>
      <c r="K513" s="9">
        <v>23.352499999999999</v>
      </c>
      <c r="L513" s="9">
        <v>23.352499999999999</v>
      </c>
      <c r="M513" s="9"/>
      <c r="N513" s="9">
        <v>23.352499999999999</v>
      </c>
    </row>
    <row r="514" spans="1:14" ht="26.25" x14ac:dyDescent="0.25">
      <c r="A514" s="8"/>
      <c r="B514" s="8"/>
      <c r="C514" s="7"/>
      <c r="D514" s="7" t="s">
        <v>57</v>
      </c>
      <c r="E514" s="6" t="s">
        <v>56</v>
      </c>
      <c r="F514" s="9">
        <v>93431.686900000001</v>
      </c>
      <c r="G514" s="9"/>
      <c r="H514" s="9">
        <v>93431.686900000001</v>
      </c>
      <c r="I514" s="5">
        <v>89339.441500000001</v>
      </c>
      <c r="J514" s="337"/>
      <c r="K514" s="5">
        <v>89339.441500000001</v>
      </c>
      <c r="L514" s="5">
        <v>87365.544099999999</v>
      </c>
      <c r="M514" s="5"/>
      <c r="N514" s="5">
        <v>87365.544099999999</v>
      </c>
    </row>
    <row r="515" spans="1:14" x14ac:dyDescent="0.25">
      <c r="A515" s="8"/>
      <c r="B515" s="8"/>
      <c r="C515" s="7" t="s">
        <v>255</v>
      </c>
      <c r="D515" s="7"/>
      <c r="E515" s="6" t="s">
        <v>254</v>
      </c>
      <c r="F515" s="9">
        <f>F516</f>
        <v>924.1</v>
      </c>
      <c r="G515" s="9"/>
      <c r="H515" s="9">
        <f>H516</f>
        <v>924.1</v>
      </c>
      <c r="I515" s="9">
        <f>I516</f>
        <v>924.1</v>
      </c>
      <c r="J515" s="335"/>
      <c r="K515" s="9">
        <f>K516</f>
        <v>924.1</v>
      </c>
      <c r="L515" s="9">
        <f>L516</f>
        <v>924.1</v>
      </c>
      <c r="M515" s="9"/>
      <c r="N515" s="9">
        <f>N516</f>
        <v>924.1</v>
      </c>
    </row>
    <row r="516" spans="1:14" ht="26.25" x14ac:dyDescent="0.25">
      <c r="A516" s="8"/>
      <c r="B516" s="8"/>
      <c r="C516" s="7"/>
      <c r="D516" s="7" t="s">
        <v>57</v>
      </c>
      <c r="E516" s="6" t="s">
        <v>56</v>
      </c>
      <c r="F516" s="9">
        <v>924.1</v>
      </c>
      <c r="G516" s="9"/>
      <c r="H516" s="9">
        <v>924.1</v>
      </c>
      <c r="I516" s="9">
        <v>924.1</v>
      </c>
      <c r="J516" s="335"/>
      <c r="K516" s="9">
        <v>924.1</v>
      </c>
      <c r="L516" s="9">
        <v>924.1</v>
      </c>
      <c r="M516" s="9"/>
      <c r="N516" s="9">
        <v>924.1</v>
      </c>
    </row>
    <row r="517" spans="1:14" ht="26.25" x14ac:dyDescent="0.25">
      <c r="A517" s="8"/>
      <c r="B517" s="8"/>
      <c r="C517" s="7" t="s">
        <v>799</v>
      </c>
      <c r="D517" s="7"/>
      <c r="E517" s="6" t="s">
        <v>235</v>
      </c>
      <c r="F517" s="9">
        <f>F518</f>
        <v>1050</v>
      </c>
      <c r="G517" s="9"/>
      <c r="H517" s="9">
        <f>H518</f>
        <v>1050</v>
      </c>
      <c r="I517" s="9">
        <f>I518</f>
        <v>0</v>
      </c>
      <c r="J517" s="335"/>
      <c r="K517" s="9">
        <f>K518</f>
        <v>0</v>
      </c>
      <c r="L517" s="9">
        <f>L518</f>
        <v>0</v>
      </c>
      <c r="M517" s="9"/>
      <c r="N517" s="9">
        <f>N518</f>
        <v>0</v>
      </c>
    </row>
    <row r="518" spans="1:14" ht="26.25" x14ac:dyDescent="0.25">
      <c r="A518" s="8"/>
      <c r="B518" s="8"/>
      <c r="C518" s="7"/>
      <c r="D518" s="7" t="s">
        <v>57</v>
      </c>
      <c r="E518" s="6" t="s">
        <v>56</v>
      </c>
      <c r="F518" s="9">
        <f>F519+F520</f>
        <v>1050</v>
      </c>
      <c r="G518" s="9"/>
      <c r="H518" s="9">
        <f>H519+H520</f>
        <v>1050</v>
      </c>
      <c r="I518" s="9">
        <f>I519+I520</f>
        <v>0</v>
      </c>
      <c r="J518" s="335"/>
      <c r="K518" s="9">
        <f>K519+K520</f>
        <v>0</v>
      </c>
      <c r="L518" s="9">
        <f>L519+L520</f>
        <v>0</v>
      </c>
      <c r="M518" s="9"/>
      <c r="N518" s="9">
        <f>N519+N520</f>
        <v>0</v>
      </c>
    </row>
    <row r="519" spans="1:14" x14ac:dyDescent="0.25">
      <c r="A519" s="8"/>
      <c r="B519" s="8"/>
      <c r="C519" s="7"/>
      <c r="D519" s="7"/>
      <c r="E519" s="6" t="s">
        <v>234</v>
      </c>
      <c r="F519" s="9">
        <v>1050</v>
      </c>
      <c r="G519" s="9"/>
      <c r="H519" s="9">
        <v>1050</v>
      </c>
      <c r="I519" s="9">
        <v>0</v>
      </c>
      <c r="J519" s="335"/>
      <c r="K519" s="9">
        <v>0</v>
      </c>
      <c r="L519" s="9">
        <v>0</v>
      </c>
      <c r="M519" s="9"/>
      <c r="N519" s="9">
        <v>0</v>
      </c>
    </row>
    <row r="520" spans="1:14" x14ac:dyDescent="0.25">
      <c r="A520" s="8"/>
      <c r="B520" s="8"/>
      <c r="C520" s="7"/>
      <c r="D520" s="7"/>
      <c r="E520" s="6" t="s">
        <v>77</v>
      </c>
      <c r="F520" s="9">
        <v>0</v>
      </c>
      <c r="G520" s="9"/>
      <c r="H520" s="9">
        <v>0</v>
      </c>
      <c r="I520" s="9">
        <v>0</v>
      </c>
      <c r="J520" s="335"/>
      <c r="K520" s="9">
        <v>0</v>
      </c>
      <c r="L520" s="9">
        <v>0</v>
      </c>
      <c r="M520" s="9"/>
      <c r="N520" s="9">
        <v>0</v>
      </c>
    </row>
    <row r="521" spans="1:14" x14ac:dyDescent="0.25">
      <c r="A521" s="30"/>
      <c r="B521" s="30"/>
      <c r="C521" s="30" t="s">
        <v>85</v>
      </c>
      <c r="D521" s="30"/>
      <c r="E521" s="50" t="s">
        <v>84</v>
      </c>
      <c r="F521" s="28">
        <f t="shared" ref="F521:N523" si="90">F522</f>
        <v>783.58839999999998</v>
      </c>
      <c r="G521" s="28"/>
      <c r="H521" s="28">
        <f t="shared" si="90"/>
        <v>783.58839999999998</v>
      </c>
      <c r="I521" s="28">
        <f t="shared" si="90"/>
        <v>861.94719999999995</v>
      </c>
      <c r="J521" s="333"/>
      <c r="K521" s="28">
        <f t="shared" si="90"/>
        <v>861.94719999999995</v>
      </c>
      <c r="L521" s="28">
        <f t="shared" si="90"/>
        <v>940.30610000000001</v>
      </c>
      <c r="M521" s="28"/>
      <c r="N521" s="28">
        <f t="shared" si="90"/>
        <v>940.30610000000001</v>
      </c>
    </row>
    <row r="522" spans="1:14" ht="26.25" x14ac:dyDescent="0.25">
      <c r="A522" s="208"/>
      <c r="B522" s="208"/>
      <c r="C522" s="208" t="s">
        <v>83</v>
      </c>
      <c r="D522" s="208"/>
      <c r="E522" s="209" t="s">
        <v>82</v>
      </c>
      <c r="F522" s="210">
        <f t="shared" si="90"/>
        <v>783.58839999999998</v>
      </c>
      <c r="G522" s="210"/>
      <c r="H522" s="210">
        <f t="shared" si="90"/>
        <v>783.58839999999998</v>
      </c>
      <c r="I522" s="210">
        <f t="shared" si="90"/>
        <v>861.94719999999995</v>
      </c>
      <c r="J522" s="334"/>
      <c r="K522" s="210">
        <f t="shared" si="90"/>
        <v>861.94719999999995</v>
      </c>
      <c r="L522" s="210">
        <f t="shared" si="90"/>
        <v>940.30610000000001</v>
      </c>
      <c r="M522" s="210"/>
      <c r="N522" s="210">
        <f t="shared" si="90"/>
        <v>940.30610000000001</v>
      </c>
    </row>
    <row r="523" spans="1:14" ht="26.25" x14ac:dyDescent="0.25">
      <c r="A523" s="7"/>
      <c r="B523" s="7"/>
      <c r="C523" s="7" t="s">
        <v>182</v>
      </c>
      <c r="D523" s="7"/>
      <c r="E523" s="6" t="s">
        <v>181</v>
      </c>
      <c r="F523" s="9">
        <f t="shared" si="90"/>
        <v>783.58839999999998</v>
      </c>
      <c r="G523" s="9"/>
      <c r="H523" s="9">
        <f t="shared" si="90"/>
        <v>783.58839999999998</v>
      </c>
      <c r="I523" s="9">
        <f t="shared" si="90"/>
        <v>861.94719999999995</v>
      </c>
      <c r="J523" s="335"/>
      <c r="K523" s="9">
        <f t="shared" si="90"/>
        <v>861.94719999999995</v>
      </c>
      <c r="L523" s="9">
        <f t="shared" si="90"/>
        <v>940.30610000000001</v>
      </c>
      <c r="M523" s="9"/>
      <c r="N523" s="9">
        <f t="shared" si="90"/>
        <v>940.30610000000001</v>
      </c>
    </row>
    <row r="524" spans="1:14" ht="26.25" x14ac:dyDescent="0.25">
      <c r="A524" s="7"/>
      <c r="B524" s="7"/>
      <c r="C524" s="7"/>
      <c r="D524" s="67" t="s">
        <v>57</v>
      </c>
      <c r="E524" s="66" t="s">
        <v>56</v>
      </c>
      <c r="F524" s="9">
        <v>783.58839999999998</v>
      </c>
      <c r="G524" s="9"/>
      <c r="H524" s="9">
        <v>783.58839999999998</v>
      </c>
      <c r="I524" s="9">
        <v>861.94719999999995</v>
      </c>
      <c r="J524" s="335"/>
      <c r="K524" s="9">
        <v>861.94719999999995</v>
      </c>
      <c r="L524" s="9">
        <v>940.30610000000001</v>
      </c>
      <c r="M524" s="9"/>
      <c r="N524" s="9">
        <v>940.30610000000001</v>
      </c>
    </row>
    <row r="525" spans="1:14" x14ac:dyDescent="0.25">
      <c r="A525" s="36"/>
      <c r="B525" s="22" t="s">
        <v>253</v>
      </c>
      <c r="C525" s="21"/>
      <c r="D525" s="21"/>
      <c r="E525" s="20" t="s">
        <v>252</v>
      </c>
      <c r="F525" s="26">
        <f t="shared" ref="F525:L525" si="91">F526+F585</f>
        <v>387907.73527000006</v>
      </c>
      <c r="G525" s="26">
        <f t="shared" si="91"/>
        <v>5126.8999999999996</v>
      </c>
      <c r="H525" s="26">
        <f t="shared" si="91"/>
        <v>393034.63527000003</v>
      </c>
      <c r="I525" s="26">
        <f t="shared" si="91"/>
        <v>303222.14889999997</v>
      </c>
      <c r="J525" s="26">
        <f t="shared" si="91"/>
        <v>-4599.8999999999996</v>
      </c>
      <c r="K525" s="26">
        <f t="shared" si="91"/>
        <v>298622.24889999995</v>
      </c>
      <c r="L525" s="26">
        <f t="shared" si="91"/>
        <v>294056.01549999992</v>
      </c>
      <c r="M525" s="26"/>
      <c r="N525" s="26">
        <f>N526+N585</f>
        <v>294056.01549999992</v>
      </c>
    </row>
    <row r="526" spans="1:14" x14ac:dyDescent="0.25">
      <c r="A526" s="36"/>
      <c r="B526" s="22"/>
      <c r="C526" s="21" t="s">
        <v>36</v>
      </c>
      <c r="D526" s="21"/>
      <c r="E526" s="27" t="s">
        <v>35</v>
      </c>
      <c r="F526" s="26">
        <f t="shared" ref="F526:L526" si="92">F527+F580</f>
        <v>387557.43527000007</v>
      </c>
      <c r="G526" s="26">
        <f t="shared" si="92"/>
        <v>5126.8999999999996</v>
      </c>
      <c r="H526" s="26">
        <f t="shared" si="92"/>
        <v>392684.33527000004</v>
      </c>
      <c r="I526" s="26">
        <f t="shared" si="92"/>
        <v>303222.14889999997</v>
      </c>
      <c r="J526" s="26">
        <f t="shared" si="92"/>
        <v>-4599.8999999999996</v>
      </c>
      <c r="K526" s="26">
        <f t="shared" si="92"/>
        <v>298622.24889999995</v>
      </c>
      <c r="L526" s="26">
        <f t="shared" si="92"/>
        <v>294056.01549999992</v>
      </c>
      <c r="M526" s="26"/>
      <c r="N526" s="26">
        <f>N527+N580</f>
        <v>294056.01549999992</v>
      </c>
    </row>
    <row r="527" spans="1:14" ht="25.5" x14ac:dyDescent="0.25">
      <c r="A527" s="34"/>
      <c r="B527" s="33"/>
      <c r="C527" s="34" t="s">
        <v>87</v>
      </c>
      <c r="D527" s="33"/>
      <c r="E527" s="32" t="s">
        <v>227</v>
      </c>
      <c r="F527" s="31">
        <f t="shared" ref="F527:L527" si="93">F528+F552+F556</f>
        <v>387557.43527000007</v>
      </c>
      <c r="G527" s="31">
        <f t="shared" si="93"/>
        <v>5126.8999999999996</v>
      </c>
      <c r="H527" s="31">
        <f t="shared" si="93"/>
        <v>392684.33527000004</v>
      </c>
      <c r="I527" s="31">
        <f t="shared" si="93"/>
        <v>301799.84889999998</v>
      </c>
      <c r="J527" s="31">
        <f t="shared" si="93"/>
        <v>-4599.8999999999996</v>
      </c>
      <c r="K527" s="31">
        <f t="shared" si="93"/>
        <v>297199.94889999996</v>
      </c>
      <c r="L527" s="31">
        <f t="shared" si="93"/>
        <v>294056.01549999992</v>
      </c>
      <c r="M527" s="31"/>
      <c r="N527" s="31">
        <f>N528+N552+N556</f>
        <v>294056.01549999992</v>
      </c>
    </row>
    <row r="528" spans="1:14" x14ac:dyDescent="0.25">
      <c r="A528" s="30"/>
      <c r="B528" s="30"/>
      <c r="C528" s="30" t="s">
        <v>191</v>
      </c>
      <c r="D528" s="30"/>
      <c r="E528" s="50" t="s">
        <v>190</v>
      </c>
      <c r="F528" s="28">
        <f>F529+F538+F549</f>
        <v>294713.70800000004</v>
      </c>
      <c r="G528" s="28">
        <f>G529+G538+G549</f>
        <v>-486.8</v>
      </c>
      <c r="H528" s="28">
        <f>H529+H538+H549</f>
        <v>294226.90800000005</v>
      </c>
      <c r="I528" s="28">
        <f t="shared" ref="I528:N528" si="94">I529+I538+I549</f>
        <v>290495.84719999996</v>
      </c>
      <c r="J528" s="28"/>
      <c r="K528" s="28">
        <f t="shared" si="94"/>
        <v>290495.84719999996</v>
      </c>
      <c r="L528" s="28">
        <f t="shared" si="94"/>
        <v>281249.34819999995</v>
      </c>
      <c r="M528" s="28"/>
      <c r="N528" s="28">
        <f t="shared" si="94"/>
        <v>281249.34819999995</v>
      </c>
    </row>
    <row r="529" spans="1:14" ht="26.25" x14ac:dyDescent="0.25">
      <c r="A529" s="208"/>
      <c r="B529" s="208"/>
      <c r="C529" s="208" t="s">
        <v>251</v>
      </c>
      <c r="D529" s="208"/>
      <c r="E529" s="209" t="s">
        <v>174</v>
      </c>
      <c r="F529" s="210">
        <f>F530+F532+F534</f>
        <v>263357.32459999999</v>
      </c>
      <c r="G529" s="210">
        <f>G530+G532+G534</f>
        <v>-486.8</v>
      </c>
      <c r="H529" s="210">
        <f>H530+H532+H534</f>
        <v>262870.5246</v>
      </c>
      <c r="I529" s="210">
        <f>I530+I532+I534</f>
        <v>259433.1974</v>
      </c>
      <c r="J529" s="334"/>
      <c r="K529" s="210">
        <f>K530+K532+K534</f>
        <v>259433.1974</v>
      </c>
      <c r="L529" s="210">
        <f>L530+L532+L534</f>
        <v>250831.19839999999</v>
      </c>
      <c r="M529" s="210"/>
      <c r="N529" s="210">
        <f>N530+N532+N534</f>
        <v>250831.19839999999</v>
      </c>
    </row>
    <row r="530" spans="1:14" ht="26.25" x14ac:dyDescent="0.25">
      <c r="A530" s="8"/>
      <c r="B530" s="8"/>
      <c r="C530" s="7" t="s">
        <v>250</v>
      </c>
      <c r="D530" s="57"/>
      <c r="E530" s="6" t="s">
        <v>249</v>
      </c>
      <c r="F530" s="9">
        <f>F531</f>
        <v>35235.9</v>
      </c>
      <c r="G530" s="9">
        <f>G531</f>
        <v>-486.8</v>
      </c>
      <c r="H530" s="9">
        <f>H531</f>
        <v>34749.1</v>
      </c>
      <c r="I530" s="9">
        <f>I531</f>
        <v>35235.9</v>
      </c>
      <c r="J530" s="335"/>
      <c r="K530" s="9">
        <f>K531</f>
        <v>35235.9</v>
      </c>
      <c r="L530" s="9">
        <f>L531</f>
        <v>35235.9</v>
      </c>
      <c r="M530" s="9"/>
      <c r="N530" s="9">
        <f>N531</f>
        <v>35235.9</v>
      </c>
    </row>
    <row r="531" spans="1:14" ht="26.25" x14ac:dyDescent="0.25">
      <c r="A531" s="8"/>
      <c r="B531" s="8"/>
      <c r="C531" s="7"/>
      <c r="D531" s="7" t="s">
        <v>57</v>
      </c>
      <c r="E531" s="6" t="s">
        <v>56</v>
      </c>
      <c r="F531" s="9">
        <v>35235.9</v>
      </c>
      <c r="G531" s="9">
        <v>-486.8</v>
      </c>
      <c r="H531" s="9">
        <f>SUM(F531:G531)</f>
        <v>34749.1</v>
      </c>
      <c r="I531" s="9">
        <v>35235.9</v>
      </c>
      <c r="J531" s="335"/>
      <c r="K531" s="9">
        <v>35235.9</v>
      </c>
      <c r="L531" s="9">
        <v>35235.9</v>
      </c>
      <c r="M531" s="9"/>
      <c r="N531" s="9">
        <v>35235.9</v>
      </c>
    </row>
    <row r="532" spans="1:14" ht="39" x14ac:dyDescent="0.25">
      <c r="A532" s="8"/>
      <c r="B532" s="8"/>
      <c r="C532" s="7" t="s">
        <v>248</v>
      </c>
      <c r="D532" s="7"/>
      <c r="E532" s="6" t="s">
        <v>247</v>
      </c>
      <c r="F532" s="9">
        <f>F533</f>
        <v>218466.32459999999</v>
      </c>
      <c r="G532" s="9"/>
      <c r="H532" s="9">
        <f>H533</f>
        <v>218466.32459999999</v>
      </c>
      <c r="I532" s="9">
        <f>I533</f>
        <v>214542.1974</v>
      </c>
      <c r="J532" s="335"/>
      <c r="K532" s="9">
        <f>K533</f>
        <v>214542.1974</v>
      </c>
      <c r="L532" s="9">
        <f>L533</f>
        <v>205940.19839999999</v>
      </c>
      <c r="M532" s="9"/>
      <c r="N532" s="9">
        <f>N533</f>
        <v>205940.19839999999</v>
      </c>
    </row>
    <row r="533" spans="1:14" ht="26.25" x14ac:dyDescent="0.25">
      <c r="A533" s="8"/>
      <c r="B533" s="8"/>
      <c r="C533" s="7"/>
      <c r="D533" s="7" t="s">
        <v>57</v>
      </c>
      <c r="E533" s="6" t="s">
        <v>56</v>
      </c>
      <c r="F533" s="9">
        <v>218466.32459999999</v>
      </c>
      <c r="G533" s="9"/>
      <c r="H533" s="9">
        <v>218466.32459999999</v>
      </c>
      <c r="I533" s="5">
        <v>214542.1974</v>
      </c>
      <c r="J533" s="337"/>
      <c r="K533" s="5">
        <v>214542.1974</v>
      </c>
      <c r="L533" s="5">
        <v>205940.19839999999</v>
      </c>
      <c r="M533" s="5"/>
      <c r="N533" s="5">
        <v>205940.19839999999</v>
      </c>
    </row>
    <row r="534" spans="1:14" ht="51" customHeight="1" x14ac:dyDescent="0.25">
      <c r="A534" s="8"/>
      <c r="B534" s="8"/>
      <c r="C534" s="7" t="s">
        <v>246</v>
      </c>
      <c r="D534" s="7"/>
      <c r="E534" s="6" t="s">
        <v>245</v>
      </c>
      <c r="F534" s="73">
        <f>F536+F537</f>
        <v>9655.1</v>
      </c>
      <c r="G534" s="73"/>
      <c r="H534" s="73">
        <f>H536+H537</f>
        <v>9655.1</v>
      </c>
      <c r="I534" s="73">
        <f>I536+I537</f>
        <v>9655.1</v>
      </c>
      <c r="J534" s="338"/>
      <c r="K534" s="73">
        <f>K536+K537</f>
        <v>9655.1</v>
      </c>
      <c r="L534" s="73">
        <f>L536+L537</f>
        <v>9655.1</v>
      </c>
      <c r="M534" s="73"/>
      <c r="N534" s="73">
        <f>N536+N537</f>
        <v>9655.1</v>
      </c>
    </row>
    <row r="535" spans="1:14" ht="26.25" x14ac:dyDescent="0.25">
      <c r="A535" s="8"/>
      <c r="B535" s="8"/>
      <c r="C535" s="7"/>
      <c r="D535" s="7" t="s">
        <v>57</v>
      </c>
      <c r="E535" s="6" t="s">
        <v>56</v>
      </c>
      <c r="F535" s="73">
        <f>F536+F537</f>
        <v>9655.1</v>
      </c>
      <c r="G535" s="73"/>
      <c r="H535" s="73">
        <f>H536+H537</f>
        <v>9655.1</v>
      </c>
      <c r="I535" s="73">
        <f>I536+I537</f>
        <v>9655.1</v>
      </c>
      <c r="J535" s="338"/>
      <c r="K535" s="73">
        <f>K536+K537</f>
        <v>9655.1</v>
      </c>
      <c r="L535" s="73">
        <f>L536+L537</f>
        <v>9655.1</v>
      </c>
      <c r="M535" s="73"/>
      <c r="N535" s="73">
        <f>N536+N537</f>
        <v>9655.1</v>
      </c>
    </row>
    <row r="536" spans="1:14" x14ac:dyDescent="0.25">
      <c r="A536" s="8"/>
      <c r="B536" s="8"/>
      <c r="C536" s="7"/>
      <c r="D536" s="7"/>
      <c r="E536" s="6" t="s">
        <v>234</v>
      </c>
      <c r="F536" s="9">
        <v>8930.9</v>
      </c>
      <c r="G536" s="9"/>
      <c r="H536" s="9">
        <v>8930.9</v>
      </c>
      <c r="I536" s="9">
        <v>8930.9</v>
      </c>
      <c r="J536" s="335"/>
      <c r="K536" s="9">
        <v>8930.9</v>
      </c>
      <c r="L536" s="9">
        <v>8930.9</v>
      </c>
      <c r="M536" s="9"/>
      <c r="N536" s="9">
        <v>8930.9</v>
      </c>
    </row>
    <row r="537" spans="1:14" x14ac:dyDescent="0.25">
      <c r="A537" s="8"/>
      <c r="B537" s="8"/>
      <c r="C537" s="7"/>
      <c r="D537" s="7"/>
      <c r="E537" s="6" t="s">
        <v>77</v>
      </c>
      <c r="F537" s="9">
        <v>724.2</v>
      </c>
      <c r="G537" s="9"/>
      <c r="H537" s="9">
        <v>724.2</v>
      </c>
      <c r="I537" s="9">
        <v>724.2</v>
      </c>
      <c r="J537" s="335"/>
      <c r="K537" s="9">
        <v>724.2</v>
      </c>
      <c r="L537" s="9">
        <v>724.2</v>
      </c>
      <c r="M537" s="9"/>
      <c r="N537" s="9">
        <v>724.2</v>
      </c>
    </row>
    <row r="538" spans="1:14" ht="26.25" x14ac:dyDescent="0.25">
      <c r="A538" s="208"/>
      <c r="B538" s="208"/>
      <c r="C538" s="208" t="s">
        <v>189</v>
      </c>
      <c r="D538" s="208"/>
      <c r="E538" s="209" t="s">
        <v>188</v>
      </c>
      <c r="F538" s="210">
        <f>F539+F541+F543+F545+F547</f>
        <v>30927.899999999998</v>
      </c>
      <c r="G538" s="210"/>
      <c r="H538" s="210">
        <f>H539+H541+H543+H545+H547</f>
        <v>30927.899999999998</v>
      </c>
      <c r="I538" s="210">
        <f>I539+I541+I543+I545+I547+I517</f>
        <v>30544.6</v>
      </c>
      <c r="J538" s="334"/>
      <c r="K538" s="210">
        <f>K539+K541+K543+K545+K547+K517</f>
        <v>30544.6</v>
      </c>
      <c r="L538" s="210">
        <f>L539+L541+L543+L545+L547+L517</f>
        <v>29900.1</v>
      </c>
      <c r="M538" s="210"/>
      <c r="N538" s="210">
        <f>N539+N541+N543+N545+N547+N517</f>
        <v>29900.1</v>
      </c>
    </row>
    <row r="539" spans="1:14" x14ac:dyDescent="0.25">
      <c r="A539" s="8"/>
      <c r="B539" s="8"/>
      <c r="C539" s="7" t="s">
        <v>244</v>
      </c>
      <c r="D539" s="7"/>
      <c r="E539" s="6" t="s">
        <v>243</v>
      </c>
      <c r="F539" s="9">
        <f>F540</f>
        <v>7208.4</v>
      </c>
      <c r="G539" s="9"/>
      <c r="H539" s="9">
        <f>H540</f>
        <v>7208.4</v>
      </c>
      <c r="I539" s="9">
        <f>I540</f>
        <v>7208.4</v>
      </c>
      <c r="J539" s="335"/>
      <c r="K539" s="9">
        <f>K540</f>
        <v>7208.4</v>
      </c>
      <c r="L539" s="9">
        <f>L540</f>
        <v>7208.4</v>
      </c>
      <c r="M539" s="9"/>
      <c r="N539" s="9">
        <f>N540</f>
        <v>7208.4</v>
      </c>
    </row>
    <row r="540" spans="1:14" ht="26.25" x14ac:dyDescent="0.25">
      <c r="A540" s="8"/>
      <c r="B540" s="8"/>
      <c r="C540" s="7"/>
      <c r="D540" s="7" t="s">
        <v>57</v>
      </c>
      <c r="E540" s="6" t="s">
        <v>56</v>
      </c>
      <c r="F540" s="9">
        <v>7208.4</v>
      </c>
      <c r="G540" s="9"/>
      <c r="H540" s="9">
        <v>7208.4</v>
      </c>
      <c r="I540" s="9">
        <v>7208.4</v>
      </c>
      <c r="J540" s="335"/>
      <c r="K540" s="9">
        <v>7208.4</v>
      </c>
      <c r="L540" s="9">
        <v>7208.4</v>
      </c>
      <c r="M540" s="9"/>
      <c r="N540" s="9">
        <v>7208.4</v>
      </c>
    </row>
    <row r="541" spans="1:14" ht="26.25" x14ac:dyDescent="0.25">
      <c r="A541" s="8"/>
      <c r="B541" s="8"/>
      <c r="C541" s="7" t="s">
        <v>242</v>
      </c>
      <c r="D541" s="7"/>
      <c r="E541" s="6" t="s">
        <v>241</v>
      </c>
      <c r="F541" s="9">
        <f>F542</f>
        <v>419.8</v>
      </c>
      <c r="G541" s="9"/>
      <c r="H541" s="9">
        <f>H542</f>
        <v>419.8</v>
      </c>
      <c r="I541" s="9">
        <f>I542</f>
        <v>419.8</v>
      </c>
      <c r="J541" s="335"/>
      <c r="K541" s="9">
        <f>K542</f>
        <v>419.8</v>
      </c>
      <c r="L541" s="9">
        <f>L542</f>
        <v>419.8</v>
      </c>
      <c r="M541" s="9"/>
      <c r="N541" s="9">
        <f>N542</f>
        <v>419.8</v>
      </c>
    </row>
    <row r="542" spans="1:14" ht="26.25" x14ac:dyDescent="0.25">
      <c r="A542" s="8"/>
      <c r="B542" s="8"/>
      <c r="C542" s="7"/>
      <c r="D542" s="7" t="s">
        <v>57</v>
      </c>
      <c r="E542" s="6" t="s">
        <v>56</v>
      </c>
      <c r="F542" s="9">
        <v>419.8</v>
      </c>
      <c r="G542" s="9"/>
      <c r="H542" s="9">
        <v>419.8</v>
      </c>
      <c r="I542" s="9">
        <v>419.8</v>
      </c>
      <c r="J542" s="335"/>
      <c r="K542" s="9">
        <v>419.8</v>
      </c>
      <c r="L542" s="9">
        <v>419.8</v>
      </c>
      <c r="M542" s="9"/>
      <c r="N542" s="9">
        <v>419.8</v>
      </c>
    </row>
    <row r="543" spans="1:14" ht="26.25" x14ac:dyDescent="0.25">
      <c r="A543" s="8"/>
      <c r="B543" s="8"/>
      <c r="C543" s="7" t="s">
        <v>240</v>
      </c>
      <c r="D543" s="7"/>
      <c r="E543" s="6" t="s">
        <v>239</v>
      </c>
      <c r="F543" s="9">
        <f>F544</f>
        <v>113.8</v>
      </c>
      <c r="G543" s="9"/>
      <c r="H543" s="9">
        <f>H544</f>
        <v>113.8</v>
      </c>
      <c r="I543" s="9">
        <f>I544</f>
        <v>113.8</v>
      </c>
      <c r="J543" s="335"/>
      <c r="K543" s="9">
        <f>K544</f>
        <v>113.8</v>
      </c>
      <c r="L543" s="9">
        <f>L544</f>
        <v>113.8</v>
      </c>
      <c r="M543" s="9"/>
      <c r="N543" s="9">
        <f>N544</f>
        <v>113.8</v>
      </c>
    </row>
    <row r="544" spans="1:14" ht="26.25" x14ac:dyDescent="0.25">
      <c r="A544" s="8"/>
      <c r="B544" s="8"/>
      <c r="C544" s="7"/>
      <c r="D544" s="7" t="s">
        <v>57</v>
      </c>
      <c r="E544" s="6" t="s">
        <v>56</v>
      </c>
      <c r="F544" s="9">
        <v>113.8</v>
      </c>
      <c r="G544" s="9"/>
      <c r="H544" s="9">
        <v>113.8</v>
      </c>
      <c r="I544" s="9">
        <v>113.8</v>
      </c>
      <c r="J544" s="335"/>
      <c r="K544" s="9">
        <v>113.8</v>
      </c>
      <c r="L544" s="9">
        <v>113.8</v>
      </c>
      <c r="M544" s="9"/>
      <c r="N544" s="9">
        <v>113.8</v>
      </c>
    </row>
    <row r="545" spans="1:14" ht="26.25" x14ac:dyDescent="0.25">
      <c r="A545" s="8"/>
      <c r="B545" s="8"/>
      <c r="C545" s="7" t="s">
        <v>793</v>
      </c>
      <c r="D545" s="7"/>
      <c r="E545" s="6" t="s">
        <v>238</v>
      </c>
      <c r="F545" s="9">
        <f>F546</f>
        <v>11589.1</v>
      </c>
      <c r="G545" s="9"/>
      <c r="H545" s="9">
        <f>H546</f>
        <v>11589.1</v>
      </c>
      <c r="I545" s="9">
        <f>I546</f>
        <v>11589.1</v>
      </c>
      <c r="J545" s="335"/>
      <c r="K545" s="9">
        <f>K546</f>
        <v>11589.1</v>
      </c>
      <c r="L545" s="9">
        <f>L546</f>
        <v>11589.1</v>
      </c>
      <c r="M545" s="9"/>
      <c r="N545" s="9">
        <f>N546</f>
        <v>11589.1</v>
      </c>
    </row>
    <row r="546" spans="1:14" ht="26.25" x14ac:dyDescent="0.25">
      <c r="A546" s="8"/>
      <c r="B546" s="8"/>
      <c r="C546" s="7"/>
      <c r="D546" s="7" t="s">
        <v>57</v>
      </c>
      <c r="E546" s="6" t="s">
        <v>56</v>
      </c>
      <c r="F546" s="9">
        <v>11589.1</v>
      </c>
      <c r="G546" s="9"/>
      <c r="H546" s="9">
        <v>11589.1</v>
      </c>
      <c r="I546" s="9">
        <v>11589.1</v>
      </c>
      <c r="J546" s="335"/>
      <c r="K546" s="9">
        <v>11589.1</v>
      </c>
      <c r="L546" s="9">
        <v>11589.1</v>
      </c>
      <c r="M546" s="9"/>
      <c r="N546" s="9">
        <v>11589.1</v>
      </c>
    </row>
    <row r="547" spans="1:14" ht="26.25" x14ac:dyDescent="0.25">
      <c r="A547" s="8"/>
      <c r="B547" s="8"/>
      <c r="C547" s="7" t="s">
        <v>237</v>
      </c>
      <c r="D547" s="7"/>
      <c r="E547" s="6" t="s">
        <v>236</v>
      </c>
      <c r="F547" s="9">
        <f>F548</f>
        <v>11596.8</v>
      </c>
      <c r="G547" s="9"/>
      <c r="H547" s="9">
        <f>H548</f>
        <v>11596.8</v>
      </c>
      <c r="I547" s="9">
        <f>I548</f>
        <v>11213.5</v>
      </c>
      <c r="J547" s="335"/>
      <c r="K547" s="9">
        <f>K548</f>
        <v>11213.5</v>
      </c>
      <c r="L547" s="9">
        <f>L548</f>
        <v>10569</v>
      </c>
      <c r="M547" s="9"/>
      <c r="N547" s="9">
        <f>N548</f>
        <v>10569</v>
      </c>
    </row>
    <row r="548" spans="1:14" ht="26.25" x14ac:dyDescent="0.25">
      <c r="A548" s="8"/>
      <c r="B548" s="8"/>
      <c r="C548" s="7"/>
      <c r="D548" s="7" t="s">
        <v>57</v>
      </c>
      <c r="E548" s="6" t="s">
        <v>56</v>
      </c>
      <c r="F548" s="9">
        <v>11596.8</v>
      </c>
      <c r="G548" s="9"/>
      <c r="H548" s="9">
        <v>11596.8</v>
      </c>
      <c r="I548" s="9">
        <v>11213.5</v>
      </c>
      <c r="J548" s="335"/>
      <c r="K548" s="9">
        <v>11213.5</v>
      </c>
      <c r="L548" s="9">
        <v>10569</v>
      </c>
      <c r="M548" s="9"/>
      <c r="N548" s="9">
        <v>10569</v>
      </c>
    </row>
    <row r="549" spans="1:14" s="72" customFormat="1" ht="27" customHeight="1" x14ac:dyDescent="0.25">
      <c r="A549" s="217"/>
      <c r="B549" s="217"/>
      <c r="C549" s="366" t="s">
        <v>866</v>
      </c>
      <c r="D549" s="367"/>
      <c r="E549" s="368" t="s">
        <v>867</v>
      </c>
      <c r="F549" s="210">
        <f t="shared" ref="F549:N550" si="95">F550</f>
        <v>428.48340000000002</v>
      </c>
      <c r="G549" s="210"/>
      <c r="H549" s="210">
        <f t="shared" si="95"/>
        <v>428.48340000000002</v>
      </c>
      <c r="I549" s="210">
        <f t="shared" si="95"/>
        <v>518.0498</v>
      </c>
      <c r="J549" s="210"/>
      <c r="K549" s="210">
        <f t="shared" si="95"/>
        <v>518.0498</v>
      </c>
      <c r="L549" s="210">
        <f t="shared" si="95"/>
        <v>518.0498</v>
      </c>
      <c r="M549" s="210"/>
      <c r="N549" s="210">
        <f t="shared" si="95"/>
        <v>518.0498</v>
      </c>
    </row>
    <row r="550" spans="1:14" ht="39" x14ac:dyDescent="0.25">
      <c r="A550" s="8"/>
      <c r="B550" s="8"/>
      <c r="C550" s="369" t="s">
        <v>868</v>
      </c>
      <c r="D550" s="369"/>
      <c r="E550" s="321" t="s">
        <v>233</v>
      </c>
      <c r="F550" s="9">
        <f t="shared" si="95"/>
        <v>428.48340000000002</v>
      </c>
      <c r="G550" s="9"/>
      <c r="H550" s="9">
        <f t="shared" si="95"/>
        <v>428.48340000000002</v>
      </c>
      <c r="I550" s="9">
        <f t="shared" si="95"/>
        <v>518.0498</v>
      </c>
      <c r="J550" s="9"/>
      <c r="K550" s="9">
        <f t="shared" si="95"/>
        <v>518.0498</v>
      </c>
      <c r="L550" s="9">
        <f t="shared" si="95"/>
        <v>518.0498</v>
      </c>
      <c r="M550" s="9"/>
      <c r="N550" s="9">
        <f t="shared" si="95"/>
        <v>518.0498</v>
      </c>
    </row>
    <row r="551" spans="1:14" ht="26.25" x14ac:dyDescent="0.25">
      <c r="A551" s="8"/>
      <c r="B551" s="8"/>
      <c r="C551" s="71"/>
      <c r="D551" s="71" t="s">
        <v>57</v>
      </c>
      <c r="E551" s="70" t="s">
        <v>56</v>
      </c>
      <c r="F551" s="9">
        <v>428.48340000000002</v>
      </c>
      <c r="G551" s="9"/>
      <c r="H551" s="9">
        <v>428.48340000000002</v>
      </c>
      <c r="I551" s="9">
        <v>518.0498</v>
      </c>
      <c r="J551" s="9"/>
      <c r="K551" s="9">
        <v>518.0498</v>
      </c>
      <c r="L551" s="9">
        <v>518.0498</v>
      </c>
      <c r="M551" s="9"/>
      <c r="N551" s="9">
        <v>518.0498</v>
      </c>
    </row>
    <row r="552" spans="1:14" x14ac:dyDescent="0.25">
      <c r="A552" s="30"/>
      <c r="B552" s="30"/>
      <c r="C552" s="30" t="s">
        <v>85</v>
      </c>
      <c r="D552" s="30"/>
      <c r="E552" s="50" t="s">
        <v>84</v>
      </c>
      <c r="F552" s="28">
        <f t="shared" ref="F552:N554" si="96">F553</f>
        <v>5104.0924000000005</v>
      </c>
      <c r="G552" s="28"/>
      <c r="H552" s="28">
        <f t="shared" si="96"/>
        <v>5104.0924000000005</v>
      </c>
      <c r="I552" s="28">
        <f t="shared" si="96"/>
        <v>5306.6017000000002</v>
      </c>
      <c r="J552" s="333"/>
      <c r="K552" s="28">
        <f t="shared" si="96"/>
        <v>5306.6017000000002</v>
      </c>
      <c r="L552" s="28">
        <f t="shared" si="96"/>
        <v>5306.6673000000001</v>
      </c>
      <c r="M552" s="28"/>
      <c r="N552" s="28">
        <f t="shared" si="96"/>
        <v>5306.6673000000001</v>
      </c>
    </row>
    <row r="553" spans="1:14" ht="26.25" x14ac:dyDescent="0.25">
      <c r="A553" s="208"/>
      <c r="B553" s="208"/>
      <c r="C553" s="208" t="s">
        <v>83</v>
      </c>
      <c r="D553" s="208"/>
      <c r="E553" s="209" t="s">
        <v>82</v>
      </c>
      <c r="F553" s="210">
        <f t="shared" si="96"/>
        <v>5104.0924000000005</v>
      </c>
      <c r="G553" s="210"/>
      <c r="H553" s="210">
        <f t="shared" si="96"/>
        <v>5104.0924000000005</v>
      </c>
      <c r="I553" s="210">
        <f t="shared" si="96"/>
        <v>5306.6017000000002</v>
      </c>
      <c r="J553" s="334"/>
      <c r="K553" s="210">
        <f t="shared" si="96"/>
        <v>5306.6017000000002</v>
      </c>
      <c r="L553" s="210">
        <f t="shared" si="96"/>
        <v>5306.6673000000001</v>
      </c>
      <c r="M553" s="210"/>
      <c r="N553" s="210">
        <f t="shared" si="96"/>
        <v>5306.6673000000001</v>
      </c>
    </row>
    <row r="554" spans="1:14" ht="26.25" x14ac:dyDescent="0.25">
      <c r="A554" s="8"/>
      <c r="B554" s="8"/>
      <c r="C554" s="7" t="s">
        <v>182</v>
      </c>
      <c r="D554" s="7"/>
      <c r="E554" s="6" t="s">
        <v>181</v>
      </c>
      <c r="F554" s="9">
        <f t="shared" si="96"/>
        <v>5104.0924000000005</v>
      </c>
      <c r="G554" s="9"/>
      <c r="H554" s="9">
        <f t="shared" si="96"/>
        <v>5104.0924000000005</v>
      </c>
      <c r="I554" s="9">
        <f t="shared" si="96"/>
        <v>5306.6017000000002</v>
      </c>
      <c r="J554" s="335"/>
      <c r="K554" s="9">
        <f t="shared" si="96"/>
        <v>5306.6017000000002</v>
      </c>
      <c r="L554" s="9">
        <f t="shared" si="96"/>
        <v>5306.6673000000001</v>
      </c>
      <c r="M554" s="9"/>
      <c r="N554" s="9">
        <f t="shared" si="96"/>
        <v>5306.6673000000001</v>
      </c>
    </row>
    <row r="555" spans="1:14" ht="26.25" x14ac:dyDescent="0.25">
      <c r="A555" s="8"/>
      <c r="B555" s="8"/>
      <c r="C555" s="7"/>
      <c r="D555" s="67" t="s">
        <v>57</v>
      </c>
      <c r="E555" s="66" t="s">
        <v>56</v>
      </c>
      <c r="F555" s="9">
        <v>5104.0924000000005</v>
      </c>
      <c r="G555" s="9"/>
      <c r="H555" s="9">
        <v>5104.0924000000005</v>
      </c>
      <c r="I555" s="9">
        <v>5306.6017000000002</v>
      </c>
      <c r="J555" s="335"/>
      <c r="K555" s="9">
        <v>5306.6017000000002</v>
      </c>
      <c r="L555" s="9">
        <v>5306.6673000000001</v>
      </c>
      <c r="M555" s="9"/>
      <c r="N555" s="9">
        <v>5306.6673000000001</v>
      </c>
    </row>
    <row r="556" spans="1:14" x14ac:dyDescent="0.25">
      <c r="A556" s="30"/>
      <c r="B556" s="30"/>
      <c r="C556" s="30" t="s">
        <v>232</v>
      </c>
      <c r="D556" s="30"/>
      <c r="E556" s="50" t="s">
        <v>231</v>
      </c>
      <c r="F556" s="28">
        <f>F557+F569+F574</f>
        <v>87739.634870000009</v>
      </c>
      <c r="G556" s="28">
        <f>G557+G569+G574</f>
        <v>5613.7</v>
      </c>
      <c r="H556" s="28">
        <f>H557+H569+H574</f>
        <v>93353.334869999991</v>
      </c>
      <c r="I556" s="28">
        <f>I557</f>
        <v>5997.4</v>
      </c>
      <c r="J556" s="28">
        <f>J557</f>
        <v>-4599.8999999999996</v>
      </c>
      <c r="K556" s="28">
        <f>K557</f>
        <v>1397.5</v>
      </c>
      <c r="L556" s="28">
        <f>L557</f>
        <v>7500</v>
      </c>
      <c r="M556" s="28"/>
      <c r="N556" s="28">
        <f>N557</f>
        <v>7500</v>
      </c>
    </row>
    <row r="557" spans="1:14" ht="26.25" x14ac:dyDescent="0.25">
      <c r="A557" s="216"/>
      <c r="B557" s="216"/>
      <c r="C557" s="216" t="s">
        <v>230</v>
      </c>
      <c r="D557" s="216"/>
      <c r="E557" s="209" t="s">
        <v>229</v>
      </c>
      <c r="F557" s="210">
        <f>F558+F561+F563+F565+F567</f>
        <v>1284.9000000000001</v>
      </c>
      <c r="G557" s="210">
        <f t="shared" ref="G557:N557" si="97">G558+G561+G563+G565+G567</f>
        <v>5613.7</v>
      </c>
      <c r="H557" s="210">
        <f t="shared" si="97"/>
        <v>6898.6</v>
      </c>
      <c r="I557" s="210">
        <f t="shared" si="97"/>
        <v>5997.4</v>
      </c>
      <c r="J557" s="210">
        <f t="shared" si="97"/>
        <v>-4599.8999999999996</v>
      </c>
      <c r="K557" s="210">
        <f t="shared" si="97"/>
        <v>1397.5</v>
      </c>
      <c r="L557" s="210">
        <f t="shared" si="97"/>
        <v>7500</v>
      </c>
      <c r="M557" s="210"/>
      <c r="N557" s="210">
        <f t="shared" si="97"/>
        <v>7500</v>
      </c>
    </row>
    <row r="558" spans="1:14" ht="26.25" x14ac:dyDescent="0.25">
      <c r="A558" s="358"/>
      <c r="B558" s="358"/>
      <c r="C558" s="7" t="s">
        <v>835</v>
      </c>
      <c r="D558" s="318"/>
      <c r="E558" s="319" t="s">
        <v>836</v>
      </c>
      <c r="F558" s="337">
        <f t="shared" ref="F558:L558" si="98">F559</f>
        <v>0</v>
      </c>
      <c r="G558" s="337"/>
      <c r="H558" s="337">
        <f t="shared" si="98"/>
        <v>0</v>
      </c>
      <c r="I558" s="337">
        <f t="shared" si="98"/>
        <v>0</v>
      </c>
      <c r="J558" s="337"/>
      <c r="K558" s="337">
        <f t="shared" si="98"/>
        <v>0</v>
      </c>
      <c r="L558" s="337">
        <f t="shared" si="98"/>
        <v>7500</v>
      </c>
      <c r="M558" s="337"/>
      <c r="N558" s="337">
        <f>N559</f>
        <v>7500</v>
      </c>
    </row>
    <row r="559" spans="1:14" ht="26.25" x14ac:dyDescent="0.25">
      <c r="A559" s="358"/>
      <c r="B559" s="358"/>
      <c r="C559" s="318"/>
      <c r="D559" s="7" t="s">
        <v>57</v>
      </c>
      <c r="E559" s="136" t="s">
        <v>56</v>
      </c>
      <c r="F559" s="337">
        <v>0</v>
      </c>
      <c r="G559" s="337"/>
      <c r="H559" s="337">
        <v>0</v>
      </c>
      <c r="I559" s="337">
        <v>0</v>
      </c>
      <c r="J559" s="337"/>
      <c r="K559" s="337">
        <v>0</v>
      </c>
      <c r="L559" s="337">
        <f>L560</f>
        <v>7500</v>
      </c>
      <c r="M559" s="337"/>
      <c r="N559" s="337">
        <f>N560</f>
        <v>7500</v>
      </c>
    </row>
    <row r="560" spans="1:14" x14ac:dyDescent="0.25">
      <c r="A560" s="358"/>
      <c r="B560" s="358"/>
      <c r="C560" s="318"/>
      <c r="D560" s="318"/>
      <c r="E560" s="136" t="s">
        <v>77</v>
      </c>
      <c r="F560" s="337">
        <v>0</v>
      </c>
      <c r="G560" s="337"/>
      <c r="H560" s="337">
        <v>0</v>
      </c>
      <c r="I560" s="337">
        <v>0</v>
      </c>
      <c r="J560" s="337"/>
      <c r="K560" s="337">
        <v>0</v>
      </c>
      <c r="L560" s="337">
        <v>7500</v>
      </c>
      <c r="M560" s="337"/>
      <c r="N560" s="337">
        <v>7500</v>
      </c>
    </row>
    <row r="561" spans="1:14" ht="26.25" x14ac:dyDescent="0.25">
      <c r="A561" s="394"/>
      <c r="B561" s="394"/>
      <c r="C561" s="401" t="s">
        <v>879</v>
      </c>
      <c r="D561" s="390"/>
      <c r="E561" s="391" t="s">
        <v>880</v>
      </c>
      <c r="F561" s="395">
        <f>F562</f>
        <v>953.80000000000007</v>
      </c>
      <c r="G561" s="395">
        <f>G562</f>
        <v>435.7</v>
      </c>
      <c r="H561" s="395">
        <f>H562</f>
        <v>1389.5</v>
      </c>
      <c r="I561" s="395">
        <v>0</v>
      </c>
      <c r="J561" s="395"/>
      <c r="K561" s="395">
        <v>0</v>
      </c>
      <c r="L561" s="395">
        <v>0</v>
      </c>
      <c r="M561" s="395"/>
      <c r="N561" s="395">
        <v>0</v>
      </c>
    </row>
    <row r="562" spans="1:14" ht="26.25" x14ac:dyDescent="0.25">
      <c r="A562" s="394"/>
      <c r="B562" s="394"/>
      <c r="C562" s="402"/>
      <c r="D562" s="390" t="s">
        <v>57</v>
      </c>
      <c r="E562" s="391" t="s">
        <v>56</v>
      </c>
      <c r="F562" s="395">
        <v>953.80000000000007</v>
      </c>
      <c r="G562" s="395">
        <v>435.7</v>
      </c>
      <c r="H562" s="395">
        <f>0+401+197.7+355.1+435.7</f>
        <v>1389.5</v>
      </c>
      <c r="I562" s="395">
        <v>0</v>
      </c>
      <c r="J562" s="395"/>
      <c r="K562" s="395">
        <v>0</v>
      </c>
      <c r="L562" s="395">
        <v>0</v>
      </c>
      <c r="M562" s="395"/>
      <c r="N562" s="395">
        <v>0</v>
      </c>
    </row>
    <row r="563" spans="1:14" ht="51" x14ac:dyDescent="0.25">
      <c r="A563" s="394"/>
      <c r="B563" s="394"/>
      <c r="C563" s="403" t="s">
        <v>881</v>
      </c>
      <c r="D563" s="392"/>
      <c r="E563" s="393" t="s">
        <v>882</v>
      </c>
      <c r="F563" s="395">
        <f t="shared" ref="F563:K563" si="99">F564</f>
        <v>331.1</v>
      </c>
      <c r="G563" s="395">
        <f t="shared" si="99"/>
        <v>4578.1000000000004</v>
      </c>
      <c r="H563" s="395">
        <f t="shared" si="99"/>
        <v>4909.2000000000007</v>
      </c>
      <c r="I563" s="395">
        <f t="shared" si="99"/>
        <v>4000</v>
      </c>
      <c r="J563" s="395">
        <f t="shared" si="99"/>
        <v>-4000</v>
      </c>
      <c r="K563" s="395">
        <f t="shared" si="99"/>
        <v>0</v>
      </c>
      <c r="L563" s="395">
        <v>0</v>
      </c>
      <c r="M563" s="395"/>
      <c r="N563" s="395">
        <v>0</v>
      </c>
    </row>
    <row r="564" spans="1:14" ht="26.25" x14ac:dyDescent="0.25">
      <c r="A564" s="394"/>
      <c r="B564" s="394"/>
      <c r="C564" s="390"/>
      <c r="D564" s="390" t="s">
        <v>57</v>
      </c>
      <c r="E564" s="391" t="s">
        <v>56</v>
      </c>
      <c r="F564" s="395">
        <v>331.1</v>
      </c>
      <c r="G564" s="395">
        <v>4578.1000000000004</v>
      </c>
      <c r="H564" s="395">
        <f>SUM(F564:G564)</f>
        <v>4909.2000000000007</v>
      </c>
      <c r="I564" s="395">
        <v>4000</v>
      </c>
      <c r="J564" s="395">
        <v>-4000</v>
      </c>
      <c r="K564" s="395">
        <v>0</v>
      </c>
      <c r="L564" s="395">
        <v>0</v>
      </c>
      <c r="M564" s="395"/>
      <c r="N564" s="395">
        <v>0</v>
      </c>
    </row>
    <row r="565" spans="1:14" x14ac:dyDescent="0.25">
      <c r="A565" s="394"/>
      <c r="B565" s="394"/>
      <c r="C565" s="7" t="s">
        <v>896</v>
      </c>
      <c r="D565" s="318"/>
      <c r="E565" s="319" t="s">
        <v>895</v>
      </c>
      <c r="F565" s="395">
        <f t="shared" ref="F565:K565" si="100">F566</f>
        <v>0</v>
      </c>
      <c r="G565" s="395">
        <f t="shared" si="100"/>
        <v>599.9</v>
      </c>
      <c r="H565" s="395">
        <f t="shared" si="100"/>
        <v>599.9</v>
      </c>
      <c r="I565" s="395">
        <f t="shared" si="100"/>
        <v>1673</v>
      </c>
      <c r="J565" s="395">
        <f t="shared" si="100"/>
        <v>-599.9</v>
      </c>
      <c r="K565" s="395">
        <f t="shared" si="100"/>
        <v>1073.0999999999999</v>
      </c>
      <c r="L565" s="395">
        <v>0</v>
      </c>
      <c r="M565" s="395"/>
      <c r="N565" s="395">
        <v>0</v>
      </c>
    </row>
    <row r="566" spans="1:14" ht="26.25" x14ac:dyDescent="0.25">
      <c r="A566" s="394"/>
      <c r="B566" s="394"/>
      <c r="C566" s="318"/>
      <c r="D566" s="318" t="s">
        <v>57</v>
      </c>
      <c r="E566" s="321" t="s">
        <v>56</v>
      </c>
      <c r="F566" s="395">
        <v>0</v>
      </c>
      <c r="G566" s="395">
        <v>599.9</v>
      </c>
      <c r="H566" s="395">
        <f>SUM(G566)</f>
        <v>599.9</v>
      </c>
      <c r="I566" s="395">
        <v>1673</v>
      </c>
      <c r="J566" s="395">
        <v>-599.9</v>
      </c>
      <c r="K566" s="395">
        <f>1673-599.9</f>
        <v>1073.0999999999999</v>
      </c>
      <c r="L566" s="395">
        <v>0</v>
      </c>
      <c r="M566" s="395"/>
      <c r="N566" s="395">
        <v>0</v>
      </c>
    </row>
    <row r="567" spans="1:14" ht="39" x14ac:dyDescent="0.25">
      <c r="A567" s="394"/>
      <c r="B567" s="394"/>
      <c r="C567" s="7" t="s">
        <v>897</v>
      </c>
      <c r="D567" s="409"/>
      <c r="E567" s="419" t="s">
        <v>898</v>
      </c>
      <c r="F567" s="395">
        <f>F568</f>
        <v>0</v>
      </c>
      <c r="G567" s="395"/>
      <c r="H567" s="395">
        <f>H568</f>
        <v>0</v>
      </c>
      <c r="I567" s="395">
        <f>I568</f>
        <v>324.39999999999998</v>
      </c>
      <c r="J567" s="395">
        <f>J568</f>
        <v>0</v>
      </c>
      <c r="K567" s="395">
        <f>K568</f>
        <v>324.39999999999998</v>
      </c>
      <c r="L567" s="395">
        <v>0</v>
      </c>
      <c r="M567" s="395"/>
      <c r="N567" s="395">
        <v>0</v>
      </c>
    </row>
    <row r="568" spans="1:14" ht="26.25" x14ac:dyDescent="0.25">
      <c r="A568" s="394"/>
      <c r="B568" s="394"/>
      <c r="C568" s="409"/>
      <c r="D568" s="7" t="s">
        <v>272</v>
      </c>
      <c r="E568" s="6" t="s">
        <v>271</v>
      </c>
      <c r="F568" s="395">
        <v>0</v>
      </c>
      <c r="G568" s="395"/>
      <c r="H568" s="395">
        <v>0</v>
      </c>
      <c r="I568" s="395">
        <v>324.39999999999998</v>
      </c>
      <c r="J568" s="395"/>
      <c r="K568" s="395">
        <v>324.39999999999998</v>
      </c>
      <c r="L568" s="395">
        <v>0</v>
      </c>
      <c r="M568" s="395"/>
      <c r="N568" s="395">
        <v>0</v>
      </c>
    </row>
    <row r="569" spans="1:14" x14ac:dyDescent="0.25">
      <c r="A569" s="208"/>
      <c r="B569" s="208"/>
      <c r="C569" s="325" t="s">
        <v>860</v>
      </c>
      <c r="D569" s="361"/>
      <c r="E569" s="362" t="s">
        <v>839</v>
      </c>
      <c r="F569" s="210">
        <f>F570</f>
        <v>18400</v>
      </c>
      <c r="G569" s="210"/>
      <c r="H569" s="210">
        <f t="shared" ref="H569:N570" si="101">H570</f>
        <v>18400</v>
      </c>
      <c r="I569" s="210">
        <f t="shared" si="101"/>
        <v>0</v>
      </c>
      <c r="J569" s="210"/>
      <c r="K569" s="210">
        <f t="shared" si="101"/>
        <v>0</v>
      </c>
      <c r="L569" s="210">
        <f t="shared" si="101"/>
        <v>0</v>
      </c>
      <c r="M569" s="210"/>
      <c r="N569" s="210">
        <f t="shared" si="101"/>
        <v>0</v>
      </c>
    </row>
    <row r="570" spans="1:14" ht="25.5" x14ac:dyDescent="0.25">
      <c r="A570" s="358"/>
      <c r="B570" s="358"/>
      <c r="C570" s="318" t="s">
        <v>861</v>
      </c>
      <c r="D570" s="318"/>
      <c r="E570" s="363" t="s">
        <v>228</v>
      </c>
      <c r="F570" s="5">
        <f>F571</f>
        <v>18400</v>
      </c>
      <c r="G570" s="5"/>
      <c r="H570" s="5">
        <f t="shared" si="101"/>
        <v>18400</v>
      </c>
      <c r="I570" s="5">
        <f t="shared" si="101"/>
        <v>0</v>
      </c>
      <c r="J570" s="5"/>
      <c r="K570" s="5">
        <f t="shared" si="101"/>
        <v>0</v>
      </c>
      <c r="L570" s="5">
        <f t="shared" si="101"/>
        <v>0</v>
      </c>
      <c r="M570" s="5"/>
      <c r="N570" s="5">
        <f t="shared" si="101"/>
        <v>0</v>
      </c>
    </row>
    <row r="571" spans="1:14" ht="26.25" x14ac:dyDescent="0.25">
      <c r="A571" s="358"/>
      <c r="B571" s="358"/>
      <c r="C571" s="318"/>
      <c r="D571" s="318" t="s">
        <v>57</v>
      </c>
      <c r="E571" s="321" t="s">
        <v>56</v>
      </c>
      <c r="F571" s="5">
        <f>F572+F573</f>
        <v>18400</v>
      </c>
      <c r="G571" s="5"/>
      <c r="H571" s="5">
        <f>H572+H573</f>
        <v>18400</v>
      </c>
      <c r="I571" s="337">
        <v>0</v>
      </c>
      <c r="J571" s="337"/>
      <c r="K571" s="337">
        <v>0</v>
      </c>
      <c r="L571" s="337">
        <v>0</v>
      </c>
      <c r="M571" s="337"/>
      <c r="N571" s="337">
        <v>0</v>
      </c>
    </row>
    <row r="572" spans="1:14" x14ac:dyDescent="0.25">
      <c r="A572" s="358"/>
      <c r="B572" s="358"/>
      <c r="C572" s="318"/>
      <c r="D572" s="318"/>
      <c r="E572" s="321" t="s">
        <v>165</v>
      </c>
      <c r="F572" s="5">
        <v>16560</v>
      </c>
      <c r="G572" s="5"/>
      <c r="H572" s="5">
        <v>16560</v>
      </c>
      <c r="I572" s="337">
        <v>0</v>
      </c>
      <c r="J572" s="337"/>
      <c r="K572" s="337">
        <v>0</v>
      </c>
      <c r="L572" s="337">
        <v>0</v>
      </c>
      <c r="M572" s="337"/>
      <c r="N572" s="337">
        <v>0</v>
      </c>
    </row>
    <row r="573" spans="1:14" x14ac:dyDescent="0.25">
      <c r="A573" s="358"/>
      <c r="B573" s="358"/>
      <c r="C573" s="318"/>
      <c r="D573" s="318"/>
      <c r="E573" s="321" t="s">
        <v>164</v>
      </c>
      <c r="F573" s="5">
        <v>1840</v>
      </c>
      <c r="G573" s="5"/>
      <c r="H573" s="5">
        <v>1840</v>
      </c>
      <c r="I573" s="337">
        <v>0</v>
      </c>
      <c r="J573" s="337"/>
      <c r="K573" s="337">
        <v>0</v>
      </c>
      <c r="L573" s="337">
        <v>0</v>
      </c>
      <c r="M573" s="337"/>
      <c r="N573" s="337">
        <v>0</v>
      </c>
    </row>
    <row r="574" spans="1:14" x14ac:dyDescent="0.25">
      <c r="A574" s="208"/>
      <c r="B574" s="208"/>
      <c r="C574" s="325" t="s">
        <v>862</v>
      </c>
      <c r="D574" s="361"/>
      <c r="E574" s="328" t="s">
        <v>863</v>
      </c>
      <c r="F574" s="210">
        <f>F575</f>
        <v>68054.73487</v>
      </c>
      <c r="G574" s="210"/>
      <c r="H574" s="210">
        <f>H575</f>
        <v>68054.73487</v>
      </c>
      <c r="I574" s="210"/>
      <c r="J574" s="210"/>
      <c r="K574" s="210"/>
      <c r="L574" s="210"/>
      <c r="M574" s="210"/>
      <c r="N574" s="210"/>
    </row>
    <row r="575" spans="1:14" x14ac:dyDescent="0.25">
      <c r="A575" s="358"/>
      <c r="B575" s="358"/>
      <c r="C575" s="364" t="s">
        <v>864</v>
      </c>
      <c r="D575" s="360"/>
      <c r="E575" s="365" t="s">
        <v>865</v>
      </c>
      <c r="F575" s="5">
        <f>F576</f>
        <v>68054.73487</v>
      </c>
      <c r="G575" s="5"/>
      <c r="H575" s="5">
        <f t="shared" ref="H575:N575" si="102">H576</f>
        <v>68054.73487</v>
      </c>
      <c r="I575" s="5">
        <f t="shared" si="102"/>
        <v>0</v>
      </c>
      <c r="J575" s="5"/>
      <c r="K575" s="5">
        <f t="shared" si="102"/>
        <v>0</v>
      </c>
      <c r="L575" s="5">
        <f t="shared" si="102"/>
        <v>0</v>
      </c>
      <c r="M575" s="5"/>
      <c r="N575" s="5">
        <f t="shared" si="102"/>
        <v>0</v>
      </c>
    </row>
    <row r="576" spans="1:14" ht="26.25" x14ac:dyDescent="0.25">
      <c r="A576" s="358"/>
      <c r="B576" s="358"/>
      <c r="C576" s="360"/>
      <c r="D576" s="318" t="s">
        <v>57</v>
      </c>
      <c r="E576" s="321" t="s">
        <v>56</v>
      </c>
      <c r="F576" s="5">
        <f>F578+F579+F577</f>
        <v>68054.73487</v>
      </c>
      <c r="G576" s="5"/>
      <c r="H576" s="5">
        <f t="shared" ref="H576:N576" si="103">H578+H579+H577</f>
        <v>68054.73487</v>
      </c>
      <c r="I576" s="5">
        <f t="shared" si="103"/>
        <v>0</v>
      </c>
      <c r="J576" s="5"/>
      <c r="K576" s="5">
        <f t="shared" si="103"/>
        <v>0</v>
      </c>
      <c r="L576" s="5">
        <f t="shared" si="103"/>
        <v>0</v>
      </c>
      <c r="M576" s="5"/>
      <c r="N576" s="5">
        <f t="shared" si="103"/>
        <v>0</v>
      </c>
    </row>
    <row r="577" spans="1:14" x14ac:dyDescent="0.25">
      <c r="A577" s="358"/>
      <c r="B577" s="358"/>
      <c r="C577" s="360"/>
      <c r="D577" s="318"/>
      <c r="E577" s="321" t="s">
        <v>744</v>
      </c>
      <c r="F577" s="5">
        <v>48355.3</v>
      </c>
      <c r="G577" s="5"/>
      <c r="H577" s="5">
        <v>48355.3</v>
      </c>
      <c r="I577" s="337">
        <v>0</v>
      </c>
      <c r="J577" s="337"/>
      <c r="K577" s="337">
        <v>0</v>
      </c>
      <c r="L577" s="337">
        <v>0</v>
      </c>
      <c r="M577" s="337"/>
      <c r="N577" s="337">
        <v>0</v>
      </c>
    </row>
    <row r="578" spans="1:14" x14ac:dyDescent="0.25">
      <c r="A578" s="358"/>
      <c r="B578" s="358"/>
      <c r="C578" s="360"/>
      <c r="D578" s="318"/>
      <c r="E578" s="321" t="s">
        <v>234</v>
      </c>
      <c r="F578" s="5">
        <v>14443.79091</v>
      </c>
      <c r="G578" s="5"/>
      <c r="H578" s="5">
        <v>14443.79091</v>
      </c>
      <c r="I578" s="337">
        <v>0</v>
      </c>
      <c r="J578" s="337"/>
      <c r="K578" s="337">
        <v>0</v>
      </c>
      <c r="L578" s="337">
        <v>0</v>
      </c>
      <c r="M578" s="337"/>
      <c r="N578" s="337">
        <v>0</v>
      </c>
    </row>
    <row r="579" spans="1:14" x14ac:dyDescent="0.25">
      <c r="A579" s="358"/>
      <c r="B579" s="358"/>
      <c r="C579" s="360"/>
      <c r="D579" s="318"/>
      <c r="E579" s="321" t="s">
        <v>77</v>
      </c>
      <c r="F579" s="5">
        <v>5255.6439600000003</v>
      </c>
      <c r="G579" s="5"/>
      <c r="H579" s="5">
        <v>5255.6439600000003</v>
      </c>
      <c r="I579" s="337">
        <v>0</v>
      </c>
      <c r="J579" s="337"/>
      <c r="K579" s="337">
        <v>0</v>
      </c>
      <c r="L579" s="337">
        <v>0</v>
      </c>
      <c r="M579" s="337"/>
      <c r="N579" s="337">
        <v>0</v>
      </c>
    </row>
    <row r="580" spans="1:14" ht="25.5" x14ac:dyDescent="0.25">
      <c r="A580" s="34"/>
      <c r="B580" s="33"/>
      <c r="C580" s="34" t="s">
        <v>307</v>
      </c>
      <c r="D580" s="33"/>
      <c r="E580" s="32" t="s">
        <v>306</v>
      </c>
      <c r="F580" s="31">
        <f>F581</f>
        <v>0</v>
      </c>
      <c r="G580" s="31"/>
      <c r="H580" s="31">
        <f>H581</f>
        <v>0</v>
      </c>
      <c r="I580" s="31">
        <f>I581</f>
        <v>1422.3</v>
      </c>
      <c r="J580" s="31">
        <f>J581</f>
        <v>0</v>
      </c>
      <c r="K580" s="31">
        <f>K581</f>
        <v>1422.3</v>
      </c>
      <c r="L580" s="31">
        <f>L581</f>
        <v>0</v>
      </c>
      <c r="M580" s="31"/>
      <c r="N580" s="31">
        <f>N581+N585</f>
        <v>0</v>
      </c>
    </row>
    <row r="581" spans="1:14" ht="26.25" x14ac:dyDescent="0.25">
      <c r="A581" s="30"/>
      <c r="B581" s="30"/>
      <c r="C581" s="30" t="s">
        <v>305</v>
      </c>
      <c r="D581" s="30"/>
      <c r="E581" s="77" t="s">
        <v>304</v>
      </c>
      <c r="F581" s="28">
        <f t="shared" ref="F581:N582" si="104">F582</f>
        <v>0</v>
      </c>
      <c r="G581" s="28"/>
      <c r="H581" s="28">
        <f t="shared" si="104"/>
        <v>0</v>
      </c>
      <c r="I581" s="28">
        <f t="shared" si="104"/>
        <v>1422.3</v>
      </c>
      <c r="J581" s="28">
        <f t="shared" si="104"/>
        <v>0</v>
      </c>
      <c r="K581" s="28">
        <f t="shared" si="104"/>
        <v>1422.3</v>
      </c>
      <c r="L581" s="28">
        <f t="shared" si="104"/>
        <v>0</v>
      </c>
      <c r="M581" s="28"/>
      <c r="N581" s="28">
        <f t="shared" si="104"/>
        <v>0</v>
      </c>
    </row>
    <row r="582" spans="1:14" x14ac:dyDescent="0.25">
      <c r="A582" s="208"/>
      <c r="B582" s="208"/>
      <c r="C582" s="208" t="s">
        <v>303</v>
      </c>
      <c r="D582" s="216"/>
      <c r="E582" s="220" t="s">
        <v>302</v>
      </c>
      <c r="F582" s="210">
        <f t="shared" si="104"/>
        <v>0</v>
      </c>
      <c r="G582" s="210"/>
      <c r="H582" s="210">
        <f t="shared" si="104"/>
        <v>0</v>
      </c>
      <c r="I582" s="210">
        <f t="shared" si="104"/>
        <v>1422.3</v>
      </c>
      <c r="J582" s="210">
        <f t="shared" si="104"/>
        <v>0</v>
      </c>
      <c r="K582" s="210">
        <f t="shared" si="104"/>
        <v>1422.3</v>
      </c>
      <c r="L582" s="210">
        <f t="shared" si="104"/>
        <v>0</v>
      </c>
      <c r="M582" s="210"/>
      <c r="N582" s="210">
        <f t="shared" si="104"/>
        <v>0</v>
      </c>
    </row>
    <row r="583" spans="1:14" x14ac:dyDescent="0.25">
      <c r="A583" s="8"/>
      <c r="B583" s="8"/>
      <c r="C583" s="7" t="s">
        <v>361</v>
      </c>
      <c r="D583" s="69"/>
      <c r="E583" s="12" t="s">
        <v>360</v>
      </c>
      <c r="F583" s="5">
        <f>F584</f>
        <v>0</v>
      </c>
      <c r="G583" s="5"/>
      <c r="H583" s="5">
        <f>H584</f>
        <v>0</v>
      </c>
      <c r="I583" s="5">
        <f>I584</f>
        <v>1422.3</v>
      </c>
      <c r="J583" s="5">
        <f>J584</f>
        <v>0</v>
      </c>
      <c r="K583" s="5">
        <f>K584</f>
        <v>1422.3</v>
      </c>
      <c r="L583" s="5">
        <v>0</v>
      </c>
      <c r="M583" s="5"/>
      <c r="N583" s="5">
        <v>0</v>
      </c>
    </row>
    <row r="584" spans="1:14" ht="26.25" x14ac:dyDescent="0.25">
      <c r="A584" s="8"/>
      <c r="B584" s="8"/>
      <c r="C584" s="7"/>
      <c r="D584" s="318" t="s">
        <v>57</v>
      </c>
      <c r="E584" s="321" t="s">
        <v>56</v>
      </c>
      <c r="F584" s="5">
        <v>0</v>
      </c>
      <c r="G584" s="5"/>
      <c r="H584" s="5">
        <v>0</v>
      </c>
      <c r="I584" s="5">
        <v>1422.3</v>
      </c>
      <c r="J584" s="337"/>
      <c r="K584" s="5">
        <f>0+1422.3</f>
        <v>1422.3</v>
      </c>
      <c r="L584" s="5">
        <v>0</v>
      </c>
      <c r="M584" s="5"/>
      <c r="N584" s="5">
        <v>0</v>
      </c>
    </row>
    <row r="585" spans="1:14" x14ac:dyDescent="0.25">
      <c r="A585" s="18"/>
      <c r="B585" s="18"/>
      <c r="C585" s="18" t="s">
        <v>18</v>
      </c>
      <c r="D585" s="18"/>
      <c r="E585" s="17" t="s">
        <v>17</v>
      </c>
      <c r="F585" s="16">
        <f t="shared" ref="F585:I586" si="105">F586</f>
        <v>350.3</v>
      </c>
      <c r="G585" s="16"/>
      <c r="H585" s="16">
        <f t="shared" si="105"/>
        <v>350.3</v>
      </c>
      <c r="I585" s="16">
        <f t="shared" si="105"/>
        <v>0</v>
      </c>
      <c r="J585" s="16"/>
      <c r="K585" s="16">
        <f>K586</f>
        <v>0</v>
      </c>
      <c r="L585" s="16">
        <f>L586</f>
        <v>0</v>
      </c>
      <c r="M585" s="16"/>
      <c r="N585" s="16">
        <f>N586</f>
        <v>0</v>
      </c>
    </row>
    <row r="586" spans="1:14" ht="26.25" x14ac:dyDescent="0.25">
      <c r="A586" s="15"/>
      <c r="B586" s="15"/>
      <c r="C586" s="15" t="s">
        <v>16</v>
      </c>
      <c r="D586" s="15"/>
      <c r="E586" s="14" t="s">
        <v>15</v>
      </c>
      <c r="F586" s="13">
        <f t="shared" si="105"/>
        <v>350.3</v>
      </c>
      <c r="G586" s="13"/>
      <c r="H586" s="13">
        <f t="shared" si="105"/>
        <v>350.3</v>
      </c>
      <c r="I586" s="13">
        <f t="shared" si="105"/>
        <v>0</v>
      </c>
      <c r="J586" s="13"/>
      <c r="K586" s="13">
        <f>K587</f>
        <v>0</v>
      </c>
      <c r="L586" s="13">
        <f>L587</f>
        <v>0</v>
      </c>
      <c r="M586" s="13"/>
      <c r="N586" s="13">
        <f>N587</f>
        <v>0</v>
      </c>
    </row>
    <row r="587" spans="1:14" x14ac:dyDescent="0.25">
      <c r="A587" s="8"/>
      <c r="B587" s="8"/>
      <c r="C587" s="52" t="s">
        <v>526</v>
      </c>
      <c r="D587" s="52"/>
      <c r="E587" s="10" t="s">
        <v>525</v>
      </c>
      <c r="F587" s="9">
        <f>F588</f>
        <v>350.3</v>
      </c>
      <c r="G587" s="9"/>
      <c r="H587" s="9">
        <f>H588</f>
        <v>350.3</v>
      </c>
      <c r="I587" s="9">
        <v>0</v>
      </c>
      <c r="J587" s="335"/>
      <c r="K587" s="9">
        <v>0</v>
      </c>
      <c r="L587" s="9">
        <v>0</v>
      </c>
      <c r="M587" s="9"/>
      <c r="N587" s="9">
        <v>0</v>
      </c>
    </row>
    <row r="588" spans="1:14" ht="26.25" x14ac:dyDescent="0.25">
      <c r="A588" s="8"/>
      <c r="B588" s="8"/>
      <c r="C588" s="52"/>
      <c r="D588" s="7" t="s">
        <v>57</v>
      </c>
      <c r="E588" s="6" t="s">
        <v>56</v>
      </c>
      <c r="F588" s="9">
        <v>350.3</v>
      </c>
      <c r="G588" s="9"/>
      <c r="H588" s="9">
        <f>0+350.3</f>
        <v>350.3</v>
      </c>
      <c r="I588" s="9">
        <f>1193.9-1193.9</f>
        <v>0</v>
      </c>
      <c r="J588" s="335"/>
      <c r="K588" s="9">
        <f>1193.9-1193.9</f>
        <v>0</v>
      </c>
      <c r="L588" s="9">
        <f>1243.6-1243.6</f>
        <v>0</v>
      </c>
      <c r="M588" s="9"/>
      <c r="N588" s="9">
        <f>1243.6-1243.6</f>
        <v>0</v>
      </c>
    </row>
    <row r="589" spans="1:14" x14ac:dyDescent="0.25">
      <c r="A589" s="36"/>
      <c r="B589" s="22" t="s">
        <v>160</v>
      </c>
      <c r="C589" s="21"/>
      <c r="D589" s="22"/>
      <c r="E589" s="27" t="s">
        <v>159</v>
      </c>
      <c r="F589" s="26">
        <f t="shared" ref="F589:N592" si="106">F590</f>
        <v>35859.1</v>
      </c>
      <c r="G589" s="26">
        <f t="shared" si="106"/>
        <v>-2.9</v>
      </c>
      <c r="H589" s="26">
        <f t="shared" si="106"/>
        <v>35856.199999999997</v>
      </c>
      <c r="I589" s="26">
        <f t="shared" si="106"/>
        <v>34668.400000000001</v>
      </c>
      <c r="J589" s="336"/>
      <c r="K589" s="26">
        <f t="shared" si="106"/>
        <v>34668.400000000001</v>
      </c>
      <c r="L589" s="26">
        <f t="shared" si="106"/>
        <v>34668.400000000001</v>
      </c>
      <c r="M589" s="26"/>
      <c r="N589" s="26">
        <f t="shared" si="106"/>
        <v>34668.400000000001</v>
      </c>
    </row>
    <row r="590" spans="1:14" x14ac:dyDescent="0.25">
      <c r="A590" s="36"/>
      <c r="B590" s="22"/>
      <c r="C590" s="21" t="s">
        <v>36</v>
      </c>
      <c r="D590" s="21"/>
      <c r="E590" s="27" t="s">
        <v>35</v>
      </c>
      <c r="F590" s="26">
        <f t="shared" si="106"/>
        <v>35859.1</v>
      </c>
      <c r="G590" s="26">
        <f t="shared" si="106"/>
        <v>-2.9</v>
      </c>
      <c r="H590" s="26">
        <f t="shared" si="106"/>
        <v>35856.199999999997</v>
      </c>
      <c r="I590" s="26">
        <f t="shared" si="106"/>
        <v>34668.400000000001</v>
      </c>
      <c r="J590" s="336"/>
      <c r="K590" s="26">
        <f t="shared" si="106"/>
        <v>34668.400000000001</v>
      </c>
      <c r="L590" s="26">
        <f t="shared" si="106"/>
        <v>34668.400000000001</v>
      </c>
      <c r="M590" s="26"/>
      <c r="N590" s="26">
        <f t="shared" si="106"/>
        <v>34668.400000000001</v>
      </c>
    </row>
    <row r="591" spans="1:14" ht="25.5" x14ac:dyDescent="0.25">
      <c r="A591" s="34"/>
      <c r="B591" s="33"/>
      <c r="C591" s="34" t="s">
        <v>87</v>
      </c>
      <c r="D591" s="33"/>
      <c r="E591" s="32" t="s">
        <v>227</v>
      </c>
      <c r="F591" s="31">
        <f t="shared" si="106"/>
        <v>35859.1</v>
      </c>
      <c r="G591" s="31">
        <f t="shared" si="106"/>
        <v>-2.9</v>
      </c>
      <c r="H591" s="31">
        <f t="shared" si="106"/>
        <v>35856.199999999997</v>
      </c>
      <c r="I591" s="31">
        <f t="shared" si="106"/>
        <v>34668.400000000001</v>
      </c>
      <c r="J591" s="332"/>
      <c r="K591" s="31">
        <f t="shared" si="106"/>
        <v>34668.400000000001</v>
      </c>
      <c r="L591" s="31">
        <f t="shared" si="106"/>
        <v>34668.400000000001</v>
      </c>
      <c r="M591" s="31"/>
      <c r="N591" s="31">
        <f t="shared" si="106"/>
        <v>34668.400000000001</v>
      </c>
    </row>
    <row r="592" spans="1:14" x14ac:dyDescent="0.25">
      <c r="A592" s="30"/>
      <c r="B592" s="30"/>
      <c r="C592" s="30" t="s">
        <v>222</v>
      </c>
      <c r="D592" s="30"/>
      <c r="E592" s="50" t="s">
        <v>221</v>
      </c>
      <c r="F592" s="28">
        <f t="shared" si="106"/>
        <v>35859.1</v>
      </c>
      <c r="G592" s="28">
        <f t="shared" si="106"/>
        <v>-2.9</v>
      </c>
      <c r="H592" s="28">
        <f t="shared" si="106"/>
        <v>35856.199999999997</v>
      </c>
      <c r="I592" s="28">
        <f t="shared" si="106"/>
        <v>34668.400000000001</v>
      </c>
      <c r="J592" s="333"/>
      <c r="K592" s="28">
        <f t="shared" si="106"/>
        <v>34668.400000000001</v>
      </c>
      <c r="L592" s="28">
        <f t="shared" si="106"/>
        <v>34668.400000000001</v>
      </c>
      <c r="M592" s="28"/>
      <c r="N592" s="28">
        <f t="shared" si="106"/>
        <v>34668.400000000001</v>
      </c>
    </row>
    <row r="593" spans="1:14" ht="26.25" x14ac:dyDescent="0.25">
      <c r="A593" s="208"/>
      <c r="B593" s="208"/>
      <c r="C593" s="208" t="s">
        <v>220</v>
      </c>
      <c r="D593" s="216"/>
      <c r="E593" s="209" t="s">
        <v>219</v>
      </c>
      <c r="F593" s="210">
        <f>F594+F596</f>
        <v>35859.1</v>
      </c>
      <c r="G593" s="210">
        <f>G594+G596</f>
        <v>-2.9</v>
      </c>
      <c r="H593" s="210">
        <f>H594+H596</f>
        <v>35856.199999999997</v>
      </c>
      <c r="I593" s="210">
        <f>I594+I596</f>
        <v>34668.400000000001</v>
      </c>
      <c r="J593" s="334"/>
      <c r="K593" s="210">
        <f>K594+K596</f>
        <v>34668.400000000001</v>
      </c>
      <c r="L593" s="210">
        <f>L594+L596</f>
        <v>34668.400000000001</v>
      </c>
      <c r="M593" s="210"/>
      <c r="N593" s="210">
        <f>N594+N596</f>
        <v>34668.400000000001</v>
      </c>
    </row>
    <row r="594" spans="1:14" ht="30" customHeight="1" x14ac:dyDescent="0.25">
      <c r="A594" s="8"/>
      <c r="B594" s="8"/>
      <c r="C594" s="7" t="s">
        <v>226</v>
      </c>
      <c r="D594" s="57"/>
      <c r="E594" s="6" t="s">
        <v>225</v>
      </c>
      <c r="F594" s="9">
        <f>F595</f>
        <v>22533.7</v>
      </c>
      <c r="G594" s="9">
        <f>G595</f>
        <v>-2.9</v>
      </c>
      <c r="H594" s="9">
        <f>H595</f>
        <v>22530.799999999999</v>
      </c>
      <c r="I594" s="9">
        <f>I595</f>
        <v>21343</v>
      </c>
      <c r="J594" s="335"/>
      <c r="K594" s="9">
        <f>K595</f>
        <v>21343</v>
      </c>
      <c r="L594" s="9">
        <f>L595</f>
        <v>21343</v>
      </c>
      <c r="M594" s="9"/>
      <c r="N594" s="9">
        <f>N595</f>
        <v>21343</v>
      </c>
    </row>
    <row r="595" spans="1:14" ht="26.25" x14ac:dyDescent="0.25">
      <c r="A595" s="8"/>
      <c r="B595" s="8"/>
      <c r="C595" s="7"/>
      <c r="D595" s="7" t="s">
        <v>57</v>
      </c>
      <c r="E595" s="6" t="s">
        <v>56</v>
      </c>
      <c r="F595" s="9">
        <v>22533.7</v>
      </c>
      <c r="G595" s="9">
        <v>-2.9</v>
      </c>
      <c r="H595" s="9">
        <f>SUM(F595:G595)</f>
        <v>22530.799999999999</v>
      </c>
      <c r="I595" s="9">
        <v>21343</v>
      </c>
      <c r="J595" s="335"/>
      <c r="K595" s="9">
        <v>21343</v>
      </c>
      <c r="L595" s="9">
        <v>21343</v>
      </c>
      <c r="M595" s="9"/>
      <c r="N595" s="9">
        <v>21343</v>
      </c>
    </row>
    <row r="596" spans="1:14" ht="27" customHeight="1" x14ac:dyDescent="0.25">
      <c r="A596" s="8"/>
      <c r="B596" s="8"/>
      <c r="C596" s="7" t="s">
        <v>224</v>
      </c>
      <c r="D596" s="57"/>
      <c r="E596" s="6" t="s">
        <v>223</v>
      </c>
      <c r="F596" s="9">
        <f>F597</f>
        <v>13325.4</v>
      </c>
      <c r="G596" s="9"/>
      <c r="H596" s="9">
        <f>H597</f>
        <v>13325.4</v>
      </c>
      <c r="I596" s="9">
        <f>I597</f>
        <v>13325.4</v>
      </c>
      <c r="J596" s="335"/>
      <c r="K596" s="9">
        <f>K597</f>
        <v>13325.4</v>
      </c>
      <c r="L596" s="9">
        <f>L597</f>
        <v>13325.4</v>
      </c>
      <c r="M596" s="9"/>
      <c r="N596" s="9">
        <f>N597</f>
        <v>13325.4</v>
      </c>
    </row>
    <row r="597" spans="1:14" ht="26.25" x14ac:dyDescent="0.25">
      <c r="A597" s="8"/>
      <c r="B597" s="8"/>
      <c r="C597" s="7"/>
      <c r="D597" s="7" t="s">
        <v>57</v>
      </c>
      <c r="E597" s="6" t="s">
        <v>56</v>
      </c>
      <c r="F597" s="9">
        <v>13325.4</v>
      </c>
      <c r="G597" s="9"/>
      <c r="H597" s="9">
        <v>13325.4</v>
      </c>
      <c r="I597" s="9">
        <v>13325.4</v>
      </c>
      <c r="J597" s="335"/>
      <c r="K597" s="9">
        <v>13325.4</v>
      </c>
      <c r="L597" s="9">
        <v>13325.4</v>
      </c>
      <c r="M597" s="9"/>
      <c r="N597" s="9">
        <v>13325.4</v>
      </c>
    </row>
    <row r="598" spans="1:14" x14ac:dyDescent="0.25">
      <c r="A598" s="36"/>
      <c r="B598" s="22" t="s">
        <v>144</v>
      </c>
      <c r="C598" s="21"/>
      <c r="D598" s="22"/>
      <c r="E598" s="27" t="s">
        <v>143</v>
      </c>
      <c r="F598" s="26">
        <f>F599+F639</f>
        <v>14464</v>
      </c>
      <c r="G598" s="26">
        <f t="shared" ref="G598:H598" si="107">G599+G639</f>
        <v>27.862520000000004</v>
      </c>
      <c r="H598" s="26">
        <f t="shared" si="107"/>
        <v>14491.862519999999</v>
      </c>
      <c r="I598" s="26">
        <f>I599</f>
        <v>14519.2</v>
      </c>
      <c r="J598" s="336"/>
      <c r="K598" s="26">
        <f>K599</f>
        <v>14519.2</v>
      </c>
      <c r="L598" s="26">
        <f>L599</f>
        <v>14729.6</v>
      </c>
      <c r="M598" s="26"/>
      <c r="N598" s="26">
        <f>N599</f>
        <v>14729.6</v>
      </c>
    </row>
    <row r="599" spans="1:14" x14ac:dyDescent="0.25">
      <c r="A599" s="36"/>
      <c r="B599" s="22"/>
      <c r="C599" s="21" t="s">
        <v>36</v>
      </c>
      <c r="D599" s="22"/>
      <c r="E599" s="27" t="s">
        <v>35</v>
      </c>
      <c r="F599" s="26">
        <f>F600+F606</f>
        <v>14464</v>
      </c>
      <c r="G599" s="26">
        <f>G600+G606</f>
        <v>-41.7</v>
      </c>
      <c r="H599" s="26">
        <f>H600+H606</f>
        <v>14422.3</v>
      </c>
      <c r="I599" s="26">
        <f>I600+I606</f>
        <v>14519.2</v>
      </c>
      <c r="J599" s="336"/>
      <c r="K599" s="26">
        <f>K600+K606</f>
        <v>14519.2</v>
      </c>
      <c r="L599" s="26">
        <f>L600+L606</f>
        <v>14729.6</v>
      </c>
      <c r="M599" s="26"/>
      <c r="N599" s="26">
        <f>N600+N606</f>
        <v>14729.6</v>
      </c>
    </row>
    <row r="600" spans="1:14" ht="25.5" x14ac:dyDescent="0.25">
      <c r="A600" s="34"/>
      <c r="B600" s="33"/>
      <c r="C600" s="34" t="s">
        <v>34</v>
      </c>
      <c r="D600" s="33"/>
      <c r="E600" s="32" t="s">
        <v>33</v>
      </c>
      <c r="F600" s="31">
        <f t="shared" ref="F600:N602" si="108">F601</f>
        <v>7108.8</v>
      </c>
      <c r="G600" s="31">
        <f t="shared" si="108"/>
        <v>0</v>
      </c>
      <c r="H600" s="31">
        <f t="shared" si="108"/>
        <v>7108.8</v>
      </c>
      <c r="I600" s="31">
        <f t="shared" si="108"/>
        <v>7164</v>
      </c>
      <c r="J600" s="332"/>
      <c r="K600" s="31">
        <f t="shared" si="108"/>
        <v>7164</v>
      </c>
      <c r="L600" s="31">
        <f t="shared" si="108"/>
        <v>7374.4</v>
      </c>
      <c r="M600" s="31"/>
      <c r="N600" s="31">
        <f t="shared" si="108"/>
        <v>7374.4</v>
      </c>
    </row>
    <row r="601" spans="1:14" ht="26.25" x14ac:dyDescent="0.25">
      <c r="A601" s="30"/>
      <c r="B601" s="30"/>
      <c r="C601" s="30" t="s">
        <v>32</v>
      </c>
      <c r="D601" s="30"/>
      <c r="E601" s="29" t="s">
        <v>31</v>
      </c>
      <c r="F601" s="28">
        <f t="shared" si="108"/>
        <v>7108.8</v>
      </c>
      <c r="G601" s="28"/>
      <c r="H601" s="28">
        <f t="shared" si="108"/>
        <v>7108.8</v>
      </c>
      <c r="I601" s="28">
        <f t="shared" si="108"/>
        <v>7164</v>
      </c>
      <c r="J601" s="333"/>
      <c r="K601" s="28">
        <f t="shared" si="108"/>
        <v>7164</v>
      </c>
      <c r="L601" s="28">
        <f t="shared" si="108"/>
        <v>7374.4</v>
      </c>
      <c r="M601" s="28"/>
      <c r="N601" s="28">
        <f t="shared" si="108"/>
        <v>7374.4</v>
      </c>
    </row>
    <row r="602" spans="1:14" ht="39" x14ac:dyDescent="0.25">
      <c r="A602" s="208"/>
      <c r="B602" s="208"/>
      <c r="C602" s="208" t="s">
        <v>30</v>
      </c>
      <c r="D602" s="208"/>
      <c r="E602" s="209" t="s">
        <v>29</v>
      </c>
      <c r="F602" s="210">
        <f t="shared" si="108"/>
        <v>7108.8</v>
      </c>
      <c r="G602" s="210"/>
      <c r="H602" s="210">
        <f t="shared" si="108"/>
        <v>7108.8</v>
      </c>
      <c r="I602" s="210">
        <f t="shared" si="108"/>
        <v>7164</v>
      </c>
      <c r="J602" s="334"/>
      <c r="K602" s="210">
        <f t="shared" si="108"/>
        <v>7164</v>
      </c>
      <c r="L602" s="210">
        <f t="shared" si="108"/>
        <v>7374.4</v>
      </c>
      <c r="M602" s="210"/>
      <c r="N602" s="210">
        <f t="shared" si="108"/>
        <v>7374.4</v>
      </c>
    </row>
    <row r="603" spans="1:14" ht="25.5" x14ac:dyDescent="0.25">
      <c r="A603" s="8"/>
      <c r="B603" s="8"/>
      <c r="C603" s="7" t="s">
        <v>28</v>
      </c>
      <c r="D603" s="7"/>
      <c r="E603" s="10" t="s">
        <v>27</v>
      </c>
      <c r="F603" s="9">
        <f>F604+F605</f>
        <v>7108.8</v>
      </c>
      <c r="G603" s="9"/>
      <c r="H603" s="9">
        <f>H604+H605</f>
        <v>7108.8</v>
      </c>
      <c r="I603" s="9">
        <f>I604+I605</f>
        <v>7164</v>
      </c>
      <c r="J603" s="335"/>
      <c r="K603" s="9">
        <f>K604+K605</f>
        <v>7164</v>
      </c>
      <c r="L603" s="9">
        <f>L604+L605</f>
        <v>7374.4</v>
      </c>
      <c r="M603" s="9"/>
      <c r="N603" s="9">
        <f>N604+N605</f>
        <v>7374.4</v>
      </c>
    </row>
    <row r="604" spans="1:14" ht="39" x14ac:dyDescent="0.25">
      <c r="A604" s="8"/>
      <c r="B604" s="8"/>
      <c r="C604" s="7"/>
      <c r="D604" s="7" t="s">
        <v>2</v>
      </c>
      <c r="E604" s="6" t="s">
        <v>1</v>
      </c>
      <c r="F604" s="9">
        <f>6634.1+264.3</f>
        <v>6898.4000000000005</v>
      </c>
      <c r="G604" s="9"/>
      <c r="H604" s="9">
        <f>6634.1+264.3</f>
        <v>6898.4000000000005</v>
      </c>
      <c r="I604" s="9">
        <f>6864.9+299.1</f>
        <v>7164</v>
      </c>
      <c r="J604" s="335"/>
      <c r="K604" s="9">
        <f>6864.9+299.1</f>
        <v>7164</v>
      </c>
      <c r="L604" s="9">
        <f>6864.9+299.1</f>
        <v>7164</v>
      </c>
      <c r="M604" s="9"/>
      <c r="N604" s="9">
        <f>6864.9+299.1</f>
        <v>7164</v>
      </c>
    </row>
    <row r="605" spans="1:14" x14ac:dyDescent="0.25">
      <c r="A605" s="8"/>
      <c r="B605" s="8"/>
      <c r="C605" s="7"/>
      <c r="D605" s="7" t="s">
        <v>12</v>
      </c>
      <c r="E605" s="6" t="s">
        <v>11</v>
      </c>
      <c r="F605" s="9">
        <v>210.4</v>
      </c>
      <c r="G605" s="9"/>
      <c r="H605" s="9">
        <v>210.4</v>
      </c>
      <c r="I605" s="9">
        <v>0</v>
      </c>
      <c r="J605" s="335"/>
      <c r="K605" s="9">
        <v>0</v>
      </c>
      <c r="L605" s="9">
        <v>210.4</v>
      </c>
      <c r="M605" s="9"/>
      <c r="N605" s="9">
        <v>210.4</v>
      </c>
    </row>
    <row r="606" spans="1:14" ht="25.5" x14ac:dyDescent="0.25">
      <c r="A606" s="34"/>
      <c r="B606" s="33"/>
      <c r="C606" s="34" t="s">
        <v>87</v>
      </c>
      <c r="D606" s="33"/>
      <c r="E606" s="32" t="s">
        <v>86</v>
      </c>
      <c r="F606" s="31">
        <f>F607+F629+F635+F619</f>
        <v>7355.2000000000007</v>
      </c>
      <c r="G606" s="31">
        <f>G607+G629+G635+G619</f>
        <v>-41.7</v>
      </c>
      <c r="H606" s="31">
        <f>H607+H629+H635+H619</f>
        <v>7313.5</v>
      </c>
      <c r="I606" s="31">
        <f>I607+I629+I635+I619</f>
        <v>7355.2000000000007</v>
      </c>
      <c r="J606" s="332"/>
      <c r="K606" s="31">
        <f>K607+K629+K635+K619</f>
        <v>7355.2000000000007</v>
      </c>
      <c r="L606" s="31">
        <f>L607+L629+L635+L619</f>
        <v>7355.2000000000007</v>
      </c>
      <c r="M606" s="31"/>
      <c r="N606" s="31">
        <f>N607+N629+N635+N619</f>
        <v>7355.2000000000007</v>
      </c>
    </row>
    <row r="607" spans="1:14" x14ac:dyDescent="0.25">
      <c r="A607" s="30"/>
      <c r="B607" s="30"/>
      <c r="C607" s="30" t="s">
        <v>222</v>
      </c>
      <c r="D607" s="30"/>
      <c r="E607" s="29" t="s">
        <v>221</v>
      </c>
      <c r="F607" s="28">
        <f>F608</f>
        <v>741.09999999999991</v>
      </c>
      <c r="G607" s="28"/>
      <c r="H607" s="28">
        <f>H608</f>
        <v>741.09999999999991</v>
      </c>
      <c r="I607" s="28">
        <f>I608</f>
        <v>741.09999999999991</v>
      </c>
      <c r="J607" s="333"/>
      <c r="K607" s="28">
        <f>K608</f>
        <v>741.09999999999991</v>
      </c>
      <c r="L607" s="28">
        <f>L608</f>
        <v>741.09999999999991</v>
      </c>
      <c r="M607" s="28"/>
      <c r="N607" s="28">
        <f>N608</f>
        <v>741.09999999999991</v>
      </c>
    </row>
    <row r="608" spans="1:14" ht="26.25" x14ac:dyDescent="0.25">
      <c r="A608" s="208"/>
      <c r="B608" s="208"/>
      <c r="C608" s="208" t="s">
        <v>220</v>
      </c>
      <c r="D608" s="208"/>
      <c r="E608" s="209" t="s">
        <v>219</v>
      </c>
      <c r="F608" s="210">
        <f>F609+F611+F613+F615+F617</f>
        <v>741.09999999999991</v>
      </c>
      <c r="G608" s="210"/>
      <c r="H608" s="210">
        <f>H609+H611+H613+H615+H617</f>
        <v>741.09999999999991</v>
      </c>
      <c r="I608" s="210">
        <f>I609+I611+I613+I615+I617</f>
        <v>741.09999999999991</v>
      </c>
      <c r="J608" s="334"/>
      <c r="K608" s="210">
        <f>K609+K611+K613+K615+K617</f>
        <v>741.09999999999991</v>
      </c>
      <c r="L608" s="210">
        <f>L609+L611+L613+L615+L617</f>
        <v>741.09999999999991</v>
      </c>
      <c r="M608" s="210"/>
      <c r="N608" s="210">
        <f>N609+N611+N613+N615+N617</f>
        <v>741.09999999999991</v>
      </c>
    </row>
    <row r="609" spans="1:14" x14ac:dyDescent="0.25">
      <c r="A609" s="8"/>
      <c r="B609" s="8"/>
      <c r="C609" s="7" t="s">
        <v>218</v>
      </c>
      <c r="D609" s="7"/>
      <c r="E609" s="6" t="s">
        <v>217</v>
      </c>
      <c r="F609" s="9">
        <f>F610</f>
        <v>290.5</v>
      </c>
      <c r="G609" s="9"/>
      <c r="H609" s="9">
        <f>H610</f>
        <v>290.5</v>
      </c>
      <c r="I609" s="9">
        <f>I610</f>
        <v>290.5</v>
      </c>
      <c r="J609" s="335"/>
      <c r="K609" s="9">
        <f>K610</f>
        <v>290.5</v>
      </c>
      <c r="L609" s="9">
        <f>L610</f>
        <v>290.5</v>
      </c>
      <c r="M609" s="9"/>
      <c r="N609" s="9">
        <f>N610</f>
        <v>290.5</v>
      </c>
    </row>
    <row r="610" spans="1:14" ht="26.25" x14ac:dyDescent="0.25">
      <c r="A610" s="8"/>
      <c r="B610" s="8"/>
      <c r="C610" s="7"/>
      <c r="D610" s="7" t="s">
        <v>57</v>
      </c>
      <c r="E610" s="6" t="s">
        <v>56</v>
      </c>
      <c r="F610" s="9">
        <v>290.5</v>
      </c>
      <c r="G610" s="9"/>
      <c r="H610" s="9">
        <v>290.5</v>
      </c>
      <c r="I610" s="9">
        <v>290.5</v>
      </c>
      <c r="J610" s="335"/>
      <c r="K610" s="9">
        <v>290.5</v>
      </c>
      <c r="L610" s="9">
        <v>290.5</v>
      </c>
      <c r="M610" s="9"/>
      <c r="N610" s="9">
        <v>290.5</v>
      </c>
    </row>
    <row r="611" spans="1:14" x14ac:dyDescent="0.25">
      <c r="A611" s="8"/>
      <c r="B611" s="8"/>
      <c r="C611" s="7" t="s">
        <v>216</v>
      </c>
      <c r="D611" s="7"/>
      <c r="E611" s="6" t="s">
        <v>215</v>
      </c>
      <c r="F611" s="9">
        <f>F612</f>
        <v>120.3</v>
      </c>
      <c r="G611" s="9"/>
      <c r="H611" s="9">
        <f>H612</f>
        <v>120.3</v>
      </c>
      <c r="I611" s="9">
        <f>I612</f>
        <v>120.3</v>
      </c>
      <c r="J611" s="335"/>
      <c r="K611" s="9">
        <f>K612</f>
        <v>120.3</v>
      </c>
      <c r="L611" s="9">
        <f>L612</f>
        <v>120.3</v>
      </c>
      <c r="M611" s="9"/>
      <c r="N611" s="9">
        <f>N612</f>
        <v>120.3</v>
      </c>
    </row>
    <row r="612" spans="1:14" ht="26.25" x14ac:dyDescent="0.25">
      <c r="A612" s="8"/>
      <c r="B612" s="8"/>
      <c r="C612" s="7"/>
      <c r="D612" s="7" t="s">
        <v>57</v>
      </c>
      <c r="E612" s="6" t="s">
        <v>56</v>
      </c>
      <c r="F612" s="9">
        <v>120.3</v>
      </c>
      <c r="G612" s="9"/>
      <c r="H612" s="9">
        <v>120.3</v>
      </c>
      <c r="I612" s="9">
        <v>120.3</v>
      </c>
      <c r="J612" s="335"/>
      <c r="K612" s="9">
        <v>120.3</v>
      </c>
      <c r="L612" s="9">
        <v>120.3</v>
      </c>
      <c r="M612" s="9"/>
      <c r="N612" s="9">
        <v>120.3</v>
      </c>
    </row>
    <row r="613" spans="1:14" x14ac:dyDescent="0.25">
      <c r="A613" s="8"/>
      <c r="B613" s="8"/>
      <c r="C613" s="7" t="s">
        <v>214</v>
      </c>
      <c r="D613" s="7"/>
      <c r="E613" s="6" t="s">
        <v>213</v>
      </c>
      <c r="F613" s="9">
        <f>F614</f>
        <v>70.2</v>
      </c>
      <c r="G613" s="9"/>
      <c r="H613" s="9">
        <f>H614</f>
        <v>70.2</v>
      </c>
      <c r="I613" s="9">
        <f>I614</f>
        <v>70.2</v>
      </c>
      <c r="J613" s="335"/>
      <c r="K613" s="9">
        <f>K614</f>
        <v>70.2</v>
      </c>
      <c r="L613" s="9">
        <f>L614</f>
        <v>70.2</v>
      </c>
      <c r="M613" s="9"/>
      <c r="N613" s="9">
        <f>N614</f>
        <v>70.2</v>
      </c>
    </row>
    <row r="614" spans="1:14" ht="26.25" x14ac:dyDescent="0.25">
      <c r="A614" s="8"/>
      <c r="B614" s="8"/>
      <c r="C614" s="7"/>
      <c r="D614" s="7" t="s">
        <v>57</v>
      </c>
      <c r="E614" s="6" t="s">
        <v>56</v>
      </c>
      <c r="F614" s="9">
        <v>70.2</v>
      </c>
      <c r="G614" s="9"/>
      <c r="H614" s="9">
        <v>70.2</v>
      </c>
      <c r="I614" s="9">
        <v>70.2</v>
      </c>
      <c r="J614" s="335"/>
      <c r="K614" s="9">
        <v>70.2</v>
      </c>
      <c r="L614" s="9">
        <v>70.2</v>
      </c>
      <c r="M614" s="9"/>
      <c r="N614" s="9">
        <v>70.2</v>
      </c>
    </row>
    <row r="615" spans="1:14" ht="27" customHeight="1" x14ac:dyDescent="0.25">
      <c r="A615" s="8"/>
      <c r="B615" s="8"/>
      <c r="C615" s="7" t="s">
        <v>212</v>
      </c>
      <c r="D615" s="7"/>
      <c r="E615" s="6" t="s">
        <v>211</v>
      </c>
      <c r="F615" s="9">
        <f>F616</f>
        <v>85.9</v>
      </c>
      <c r="G615" s="9"/>
      <c r="H615" s="9">
        <f>H616</f>
        <v>85.9</v>
      </c>
      <c r="I615" s="9">
        <f>I616</f>
        <v>85.9</v>
      </c>
      <c r="J615" s="335"/>
      <c r="K615" s="9">
        <f>K616</f>
        <v>85.9</v>
      </c>
      <c r="L615" s="9">
        <f>L616</f>
        <v>85.9</v>
      </c>
      <c r="M615" s="9"/>
      <c r="N615" s="9">
        <f>N616</f>
        <v>85.9</v>
      </c>
    </row>
    <row r="616" spans="1:14" ht="26.25" x14ac:dyDescent="0.25">
      <c r="A616" s="8"/>
      <c r="B616" s="8"/>
      <c r="C616" s="7"/>
      <c r="D616" s="7" t="s">
        <v>57</v>
      </c>
      <c r="E616" s="6" t="s">
        <v>56</v>
      </c>
      <c r="F616" s="9">
        <v>85.9</v>
      </c>
      <c r="G616" s="9"/>
      <c r="H616" s="9">
        <v>85.9</v>
      </c>
      <c r="I616" s="9">
        <v>85.9</v>
      </c>
      <c r="J616" s="335"/>
      <c r="K616" s="9">
        <v>85.9</v>
      </c>
      <c r="L616" s="9">
        <v>85.9</v>
      </c>
      <c r="M616" s="9"/>
      <c r="N616" s="9">
        <v>85.9</v>
      </c>
    </row>
    <row r="617" spans="1:14" ht="14.25" customHeight="1" x14ac:dyDescent="0.25">
      <c r="A617" s="8"/>
      <c r="B617" s="8"/>
      <c r="C617" s="7" t="s">
        <v>210</v>
      </c>
      <c r="D617" s="7"/>
      <c r="E617" s="6" t="s">
        <v>209</v>
      </c>
      <c r="F617" s="9">
        <f>F618</f>
        <v>174.2</v>
      </c>
      <c r="G617" s="9"/>
      <c r="H617" s="9">
        <f>H618</f>
        <v>174.2</v>
      </c>
      <c r="I617" s="9">
        <f>I618</f>
        <v>174.2</v>
      </c>
      <c r="J617" s="335"/>
      <c r="K617" s="9">
        <f>K618</f>
        <v>174.2</v>
      </c>
      <c r="L617" s="9">
        <f>L618</f>
        <v>174.2</v>
      </c>
      <c r="M617" s="9"/>
      <c r="N617" s="9">
        <f>N618</f>
        <v>174.2</v>
      </c>
    </row>
    <row r="618" spans="1:14" ht="26.25" x14ac:dyDescent="0.25">
      <c r="A618" s="8"/>
      <c r="B618" s="8"/>
      <c r="C618" s="7"/>
      <c r="D618" s="7" t="s">
        <v>57</v>
      </c>
      <c r="E618" s="6" t="s">
        <v>56</v>
      </c>
      <c r="F618" s="9">
        <v>174.2</v>
      </c>
      <c r="G618" s="9"/>
      <c r="H618" s="9">
        <v>174.2</v>
      </c>
      <c r="I618" s="9">
        <v>174.2</v>
      </c>
      <c r="J618" s="335"/>
      <c r="K618" s="9">
        <v>174.2</v>
      </c>
      <c r="L618" s="9">
        <v>174.2</v>
      </c>
      <c r="M618" s="9"/>
      <c r="N618" s="9">
        <v>174.2</v>
      </c>
    </row>
    <row r="619" spans="1:14" x14ac:dyDescent="0.25">
      <c r="A619" s="30"/>
      <c r="B619" s="30"/>
      <c r="C619" s="30" t="s">
        <v>142</v>
      </c>
      <c r="D619" s="30"/>
      <c r="E619" s="29" t="s">
        <v>141</v>
      </c>
      <c r="F619" s="28">
        <f>F620</f>
        <v>6282.6</v>
      </c>
      <c r="G619" s="28">
        <f>G620</f>
        <v>-41.7</v>
      </c>
      <c r="H619" s="28">
        <f>H620</f>
        <v>6240.9000000000005</v>
      </c>
      <c r="I619" s="28">
        <f>I620</f>
        <v>6282.6</v>
      </c>
      <c r="J619" s="333"/>
      <c r="K619" s="28">
        <f>K620</f>
        <v>6282.6</v>
      </c>
      <c r="L619" s="28">
        <f>L620</f>
        <v>6282.6</v>
      </c>
      <c r="M619" s="28"/>
      <c r="N619" s="28">
        <f>N620</f>
        <v>6282.6</v>
      </c>
    </row>
    <row r="620" spans="1:14" ht="26.25" customHeight="1" x14ac:dyDescent="0.25">
      <c r="A620" s="208"/>
      <c r="B620" s="208"/>
      <c r="C620" s="208" t="s">
        <v>140</v>
      </c>
      <c r="D620" s="208"/>
      <c r="E620" s="209" t="s">
        <v>139</v>
      </c>
      <c r="F620" s="210">
        <f>F625+F621+F623</f>
        <v>6282.6</v>
      </c>
      <c r="G620" s="210">
        <f>G625+G621+G623</f>
        <v>-41.7</v>
      </c>
      <c r="H620" s="210">
        <f>H625+H621+H623</f>
        <v>6240.9000000000005</v>
      </c>
      <c r="I620" s="210">
        <f>I625+I621+I623</f>
        <v>6282.6</v>
      </c>
      <c r="J620" s="334"/>
      <c r="K620" s="210">
        <f>K625+K621+K623</f>
        <v>6282.6</v>
      </c>
      <c r="L620" s="210">
        <f>L625+L621+L623</f>
        <v>6282.6</v>
      </c>
      <c r="M620" s="210"/>
      <c r="N620" s="210">
        <f>N625+N621+N623</f>
        <v>6282.6</v>
      </c>
    </row>
    <row r="621" spans="1:14" ht="25.5" customHeight="1" x14ac:dyDescent="0.25">
      <c r="A621" s="8"/>
      <c r="B621" s="8"/>
      <c r="C621" s="7" t="s">
        <v>208</v>
      </c>
      <c r="D621" s="7"/>
      <c r="E621" s="136" t="s">
        <v>802</v>
      </c>
      <c r="F621" s="9">
        <f>F622</f>
        <v>115.7</v>
      </c>
      <c r="G621" s="9">
        <f>G622</f>
        <v>-41.7</v>
      </c>
      <c r="H621" s="9">
        <f>H622</f>
        <v>74</v>
      </c>
      <c r="I621" s="9">
        <f>I622</f>
        <v>115.7</v>
      </c>
      <c r="J621" s="335"/>
      <c r="K621" s="9">
        <f>K622</f>
        <v>115.7</v>
      </c>
      <c r="L621" s="9">
        <f>L622</f>
        <v>115.7</v>
      </c>
      <c r="M621" s="9"/>
      <c r="N621" s="9">
        <f>N622</f>
        <v>115.7</v>
      </c>
    </row>
    <row r="622" spans="1:14" ht="26.25" x14ac:dyDescent="0.25">
      <c r="A622" s="8"/>
      <c r="B622" s="8"/>
      <c r="C622" s="7"/>
      <c r="D622" s="7" t="s">
        <v>57</v>
      </c>
      <c r="E622" s="6" t="s">
        <v>56</v>
      </c>
      <c r="F622" s="9">
        <v>115.7</v>
      </c>
      <c r="G622" s="9">
        <v>-41.7</v>
      </c>
      <c r="H622" s="9">
        <f>SUM(F622:G622)</f>
        <v>74</v>
      </c>
      <c r="I622" s="9">
        <v>115.7</v>
      </c>
      <c r="J622" s="335"/>
      <c r="K622" s="9">
        <v>115.7</v>
      </c>
      <c r="L622" s="9">
        <v>115.7</v>
      </c>
      <c r="M622" s="9"/>
      <c r="N622" s="9">
        <v>115.7</v>
      </c>
    </row>
    <row r="623" spans="1:14" ht="26.25" x14ac:dyDescent="0.25">
      <c r="A623" s="8"/>
      <c r="B623" s="8"/>
      <c r="C623" s="7" t="s">
        <v>138</v>
      </c>
      <c r="D623" s="7"/>
      <c r="E623" s="6" t="s">
        <v>137</v>
      </c>
      <c r="F623" s="9">
        <f>F624</f>
        <v>1560.8</v>
      </c>
      <c r="G623" s="9"/>
      <c r="H623" s="9">
        <f>H624</f>
        <v>1560.8</v>
      </c>
      <c r="I623" s="9">
        <f>I624</f>
        <v>1560.8</v>
      </c>
      <c r="J623" s="335"/>
      <c r="K623" s="9">
        <f>K624</f>
        <v>1560.8</v>
      </c>
      <c r="L623" s="9">
        <f>L624</f>
        <v>1560.8</v>
      </c>
      <c r="M623" s="9"/>
      <c r="N623" s="9">
        <f>N624</f>
        <v>1560.8</v>
      </c>
    </row>
    <row r="624" spans="1:14" ht="26.25" x14ac:dyDescent="0.25">
      <c r="A624" s="8"/>
      <c r="B624" s="8"/>
      <c r="C624" s="7"/>
      <c r="D624" s="7" t="s">
        <v>57</v>
      </c>
      <c r="E624" s="6" t="s">
        <v>56</v>
      </c>
      <c r="F624" s="9">
        <v>1560.8</v>
      </c>
      <c r="G624" s="9"/>
      <c r="H624" s="9">
        <v>1560.8</v>
      </c>
      <c r="I624" s="9">
        <v>1560.8</v>
      </c>
      <c r="J624" s="335"/>
      <c r="K624" s="9">
        <v>1560.8</v>
      </c>
      <c r="L624" s="9">
        <v>1560.8</v>
      </c>
      <c r="M624" s="9"/>
      <c r="N624" s="9">
        <v>1560.8</v>
      </c>
    </row>
    <row r="625" spans="1:14" ht="27.75" customHeight="1" x14ac:dyDescent="0.25">
      <c r="A625" s="8"/>
      <c r="B625" s="8"/>
      <c r="C625" s="7" t="s">
        <v>207</v>
      </c>
      <c r="D625" s="7"/>
      <c r="E625" s="6" t="s">
        <v>206</v>
      </c>
      <c r="F625" s="9">
        <f>F627</f>
        <v>4606.1000000000004</v>
      </c>
      <c r="G625" s="9"/>
      <c r="H625" s="9">
        <f>H627</f>
        <v>4606.1000000000004</v>
      </c>
      <c r="I625" s="9">
        <f>I627</f>
        <v>4606.1000000000004</v>
      </c>
      <c r="J625" s="335"/>
      <c r="K625" s="9">
        <f>K627</f>
        <v>4606.1000000000004</v>
      </c>
      <c r="L625" s="9">
        <f>L627</f>
        <v>4606.1000000000004</v>
      </c>
      <c r="M625" s="9"/>
      <c r="N625" s="9">
        <f>N627</f>
        <v>4606.1000000000004</v>
      </c>
    </row>
    <row r="626" spans="1:14" x14ac:dyDescent="0.25">
      <c r="A626" s="8"/>
      <c r="B626" s="8"/>
      <c r="C626" s="7"/>
      <c r="D626" s="7" t="s">
        <v>79</v>
      </c>
      <c r="E626" s="6" t="s">
        <v>78</v>
      </c>
      <c r="F626" s="9">
        <v>0</v>
      </c>
      <c r="G626" s="9"/>
      <c r="H626" s="9">
        <v>0</v>
      </c>
      <c r="I626" s="9">
        <v>0</v>
      </c>
      <c r="J626" s="335"/>
      <c r="K626" s="9">
        <v>0</v>
      </c>
      <c r="L626" s="9">
        <v>0</v>
      </c>
      <c r="M626" s="9"/>
      <c r="N626" s="9">
        <v>0</v>
      </c>
    </row>
    <row r="627" spans="1:14" ht="26.25" x14ac:dyDescent="0.25">
      <c r="A627" s="8"/>
      <c r="B627" s="8"/>
      <c r="C627" s="7"/>
      <c r="D627" s="7" t="s">
        <v>57</v>
      </c>
      <c r="E627" s="6" t="s">
        <v>56</v>
      </c>
      <c r="F627" s="9">
        <v>4606.1000000000004</v>
      </c>
      <c r="G627" s="9"/>
      <c r="H627" s="9">
        <v>4606.1000000000004</v>
      </c>
      <c r="I627" s="9">
        <v>4606.1000000000004</v>
      </c>
      <c r="J627" s="335"/>
      <c r="K627" s="9">
        <v>4606.1000000000004</v>
      </c>
      <c r="L627" s="9">
        <v>4606.1000000000004</v>
      </c>
      <c r="M627" s="9"/>
      <c r="N627" s="9">
        <v>4606.1000000000004</v>
      </c>
    </row>
    <row r="628" spans="1:14" x14ac:dyDescent="0.25">
      <c r="A628" s="8"/>
      <c r="B628" s="8"/>
      <c r="C628" s="7"/>
      <c r="D628" s="7" t="s">
        <v>22</v>
      </c>
      <c r="E628" s="6" t="s">
        <v>21</v>
      </c>
      <c r="F628" s="9">
        <v>0</v>
      </c>
      <c r="G628" s="9"/>
      <c r="H628" s="9">
        <v>0</v>
      </c>
      <c r="I628" s="9">
        <v>0</v>
      </c>
      <c r="J628" s="335"/>
      <c r="K628" s="9">
        <v>0</v>
      </c>
      <c r="L628" s="9">
        <v>0</v>
      </c>
      <c r="M628" s="9"/>
      <c r="N628" s="9">
        <v>0</v>
      </c>
    </row>
    <row r="629" spans="1:14" x14ac:dyDescent="0.25">
      <c r="A629" s="30"/>
      <c r="B629" s="30"/>
      <c r="C629" s="30" t="s">
        <v>85</v>
      </c>
      <c r="D629" s="30"/>
      <c r="E629" s="50" t="s">
        <v>84</v>
      </c>
      <c r="F629" s="28">
        <f>F630</f>
        <v>278.2</v>
      </c>
      <c r="G629" s="28"/>
      <c r="H629" s="28">
        <f>H630</f>
        <v>278.2</v>
      </c>
      <c r="I629" s="28">
        <f>I630</f>
        <v>278.2</v>
      </c>
      <c r="J629" s="333"/>
      <c r="K629" s="28">
        <f>K630</f>
        <v>278.2</v>
      </c>
      <c r="L629" s="28">
        <f>L630</f>
        <v>278.2</v>
      </c>
      <c r="M629" s="28"/>
      <c r="N629" s="28">
        <f>N630</f>
        <v>278.2</v>
      </c>
    </row>
    <row r="630" spans="1:14" ht="26.25" x14ac:dyDescent="0.25">
      <c r="A630" s="208"/>
      <c r="B630" s="208"/>
      <c r="C630" s="208" t="s">
        <v>205</v>
      </c>
      <c r="D630" s="208"/>
      <c r="E630" s="209" t="s">
        <v>204</v>
      </c>
      <c r="F630" s="210">
        <f>F633+F631</f>
        <v>278.2</v>
      </c>
      <c r="G630" s="210"/>
      <c r="H630" s="210">
        <f>H633+H631</f>
        <v>278.2</v>
      </c>
      <c r="I630" s="210">
        <f>I633+I631</f>
        <v>278.2</v>
      </c>
      <c r="J630" s="334"/>
      <c r="K630" s="210">
        <f>K633+K631</f>
        <v>278.2</v>
      </c>
      <c r="L630" s="210">
        <f>L633+L631</f>
        <v>278.2</v>
      </c>
      <c r="M630" s="210"/>
      <c r="N630" s="210">
        <f>N633+N631</f>
        <v>278.2</v>
      </c>
    </row>
    <row r="631" spans="1:14" x14ac:dyDescent="0.25">
      <c r="A631" s="67"/>
      <c r="B631" s="67"/>
      <c r="C631" s="67" t="s">
        <v>203</v>
      </c>
      <c r="D631" s="67"/>
      <c r="E631" s="66" t="s">
        <v>202</v>
      </c>
      <c r="F631" s="9">
        <f>F632</f>
        <v>175</v>
      </c>
      <c r="G631" s="9"/>
      <c r="H631" s="9">
        <f>H632</f>
        <v>175</v>
      </c>
      <c r="I631" s="9">
        <f>I632</f>
        <v>175</v>
      </c>
      <c r="J631" s="335"/>
      <c r="K631" s="9">
        <f>K632</f>
        <v>175</v>
      </c>
      <c r="L631" s="9">
        <f>L632</f>
        <v>175</v>
      </c>
      <c r="M631" s="9"/>
      <c r="N631" s="9">
        <f>N632</f>
        <v>175</v>
      </c>
    </row>
    <row r="632" spans="1:14" ht="26.25" x14ac:dyDescent="0.25">
      <c r="A632" s="67"/>
      <c r="B632" s="67"/>
      <c r="C632" s="67"/>
      <c r="D632" s="67" t="s">
        <v>57</v>
      </c>
      <c r="E632" s="66" t="s">
        <v>56</v>
      </c>
      <c r="F632" s="9">
        <v>175</v>
      </c>
      <c r="G632" s="9"/>
      <c r="H632" s="9">
        <v>175</v>
      </c>
      <c r="I632" s="9">
        <v>175</v>
      </c>
      <c r="J632" s="335"/>
      <c r="K632" s="9">
        <v>175</v>
      </c>
      <c r="L632" s="9">
        <v>175</v>
      </c>
      <c r="M632" s="9"/>
      <c r="N632" s="9">
        <v>175</v>
      </c>
    </row>
    <row r="633" spans="1:14" ht="26.25" x14ac:dyDescent="0.25">
      <c r="A633" s="7"/>
      <c r="B633" s="7"/>
      <c r="C633" s="7" t="s">
        <v>201</v>
      </c>
      <c r="D633" s="7"/>
      <c r="E633" s="6" t="s">
        <v>200</v>
      </c>
      <c r="F633" s="9">
        <f>F634</f>
        <v>103.2</v>
      </c>
      <c r="G633" s="9"/>
      <c r="H633" s="9">
        <f>H634</f>
        <v>103.2</v>
      </c>
      <c r="I633" s="9">
        <f>I634</f>
        <v>103.2</v>
      </c>
      <c r="J633" s="335"/>
      <c r="K633" s="9">
        <f>K634</f>
        <v>103.2</v>
      </c>
      <c r="L633" s="9">
        <f>L634</f>
        <v>103.2</v>
      </c>
      <c r="M633" s="9"/>
      <c r="N633" s="9">
        <f>N634</f>
        <v>103.2</v>
      </c>
    </row>
    <row r="634" spans="1:14" ht="26.25" x14ac:dyDescent="0.25">
      <c r="A634" s="7"/>
      <c r="B634" s="7"/>
      <c r="C634" s="7"/>
      <c r="D634" s="67" t="s">
        <v>57</v>
      </c>
      <c r="E634" s="66" t="s">
        <v>56</v>
      </c>
      <c r="F634" s="9">
        <v>103.2</v>
      </c>
      <c r="G634" s="9"/>
      <c r="H634" s="9">
        <v>103.2</v>
      </c>
      <c r="I634" s="9">
        <v>103.2</v>
      </c>
      <c r="J634" s="335"/>
      <c r="K634" s="9">
        <v>103.2</v>
      </c>
      <c r="L634" s="9">
        <v>103.2</v>
      </c>
      <c r="M634" s="9"/>
      <c r="N634" s="9">
        <v>103.2</v>
      </c>
    </row>
    <row r="635" spans="1:14" x14ac:dyDescent="0.25">
      <c r="A635" s="30"/>
      <c r="B635" s="30"/>
      <c r="C635" s="30" t="s">
        <v>199</v>
      </c>
      <c r="D635" s="30"/>
      <c r="E635" s="50" t="s">
        <v>198</v>
      </c>
      <c r="F635" s="28">
        <f t="shared" ref="F635:N637" si="109">F636</f>
        <v>53.3</v>
      </c>
      <c r="G635" s="28"/>
      <c r="H635" s="28">
        <f t="shared" si="109"/>
        <v>53.3</v>
      </c>
      <c r="I635" s="28">
        <f t="shared" si="109"/>
        <v>53.3</v>
      </c>
      <c r="J635" s="333"/>
      <c r="K635" s="28">
        <f t="shared" si="109"/>
        <v>53.3</v>
      </c>
      <c r="L635" s="28">
        <f t="shared" si="109"/>
        <v>53.3</v>
      </c>
      <c r="M635" s="28"/>
      <c r="N635" s="28">
        <f t="shared" si="109"/>
        <v>53.3</v>
      </c>
    </row>
    <row r="636" spans="1:14" x14ac:dyDescent="0.25">
      <c r="A636" s="208"/>
      <c r="B636" s="208"/>
      <c r="C636" s="208" t="s">
        <v>197</v>
      </c>
      <c r="D636" s="208"/>
      <c r="E636" s="209" t="s">
        <v>196</v>
      </c>
      <c r="F636" s="210">
        <f t="shared" si="109"/>
        <v>53.3</v>
      </c>
      <c r="G636" s="210"/>
      <c r="H636" s="210">
        <f t="shared" si="109"/>
        <v>53.3</v>
      </c>
      <c r="I636" s="210">
        <f t="shared" si="109"/>
        <v>53.3</v>
      </c>
      <c r="J636" s="334"/>
      <c r="K636" s="210">
        <f t="shared" si="109"/>
        <v>53.3</v>
      </c>
      <c r="L636" s="210">
        <f t="shared" si="109"/>
        <v>53.3</v>
      </c>
      <c r="M636" s="210"/>
      <c r="N636" s="210">
        <f t="shared" si="109"/>
        <v>53.3</v>
      </c>
    </row>
    <row r="637" spans="1:14" ht="26.25" x14ac:dyDescent="0.25">
      <c r="A637" s="8"/>
      <c r="B637" s="8"/>
      <c r="C637" s="7" t="s">
        <v>195</v>
      </c>
      <c r="D637" s="7"/>
      <c r="E637" s="6" t="s">
        <v>194</v>
      </c>
      <c r="F637" s="9">
        <f t="shared" si="109"/>
        <v>53.3</v>
      </c>
      <c r="G637" s="9"/>
      <c r="H637" s="9">
        <f t="shared" si="109"/>
        <v>53.3</v>
      </c>
      <c r="I637" s="9">
        <f t="shared" si="109"/>
        <v>53.3</v>
      </c>
      <c r="J637" s="335"/>
      <c r="K637" s="9">
        <f t="shared" si="109"/>
        <v>53.3</v>
      </c>
      <c r="L637" s="9">
        <f t="shared" si="109"/>
        <v>53.3</v>
      </c>
      <c r="M637" s="9"/>
      <c r="N637" s="9">
        <f t="shared" si="109"/>
        <v>53.3</v>
      </c>
    </row>
    <row r="638" spans="1:14" ht="26.25" x14ac:dyDescent="0.25">
      <c r="A638" s="8"/>
      <c r="B638" s="8"/>
      <c r="C638" s="7"/>
      <c r="D638" s="7" t="s">
        <v>57</v>
      </c>
      <c r="E638" s="6" t="s">
        <v>56</v>
      </c>
      <c r="F638" s="9">
        <v>53.3</v>
      </c>
      <c r="G638" s="9"/>
      <c r="H638" s="9">
        <v>53.3</v>
      </c>
      <c r="I638" s="9">
        <v>53.3</v>
      </c>
      <c r="J638" s="335"/>
      <c r="K638" s="9">
        <v>53.3</v>
      </c>
      <c r="L638" s="9">
        <v>53.3</v>
      </c>
      <c r="M638" s="9"/>
      <c r="N638" s="9">
        <v>53.3</v>
      </c>
    </row>
    <row r="639" spans="1:14" x14ac:dyDescent="0.25">
      <c r="A639" s="105"/>
      <c r="B639" s="105"/>
      <c r="C639" s="47" t="s">
        <v>52</v>
      </c>
      <c r="D639" s="46"/>
      <c r="E639" s="45" t="s">
        <v>51</v>
      </c>
      <c r="F639" s="103">
        <f>F640</f>
        <v>0</v>
      </c>
      <c r="G639" s="103">
        <f>G640</f>
        <v>69.562520000000006</v>
      </c>
      <c r="H639" s="103">
        <f t="shared" ref="H639:N640" si="110">H640</f>
        <v>69.562520000000006</v>
      </c>
      <c r="I639" s="103">
        <f t="shared" si="110"/>
        <v>0</v>
      </c>
      <c r="J639" s="339"/>
      <c r="K639" s="103">
        <f t="shared" si="110"/>
        <v>0</v>
      </c>
      <c r="L639" s="103">
        <f t="shared" si="110"/>
        <v>0</v>
      </c>
      <c r="M639" s="103"/>
      <c r="N639" s="103">
        <f t="shared" si="110"/>
        <v>0</v>
      </c>
    </row>
    <row r="640" spans="1:14" ht="25.5" x14ac:dyDescent="0.25">
      <c r="A640" s="117"/>
      <c r="B640" s="117"/>
      <c r="C640" s="116" t="s">
        <v>16</v>
      </c>
      <c r="D640" s="115"/>
      <c r="E640" s="114" t="s">
        <v>44</v>
      </c>
      <c r="F640" s="113">
        <f>F641</f>
        <v>0</v>
      </c>
      <c r="G640" s="113">
        <f t="shared" ref="G640" si="111">G641</f>
        <v>69.562520000000006</v>
      </c>
      <c r="H640" s="113">
        <f t="shared" si="110"/>
        <v>69.562520000000006</v>
      </c>
      <c r="I640" s="113">
        <f t="shared" si="110"/>
        <v>0</v>
      </c>
      <c r="J640" s="340"/>
      <c r="K640" s="113">
        <f t="shared" si="110"/>
        <v>0</v>
      </c>
      <c r="L640" s="113">
        <f t="shared" si="110"/>
        <v>0</v>
      </c>
      <c r="M640" s="113"/>
      <c r="N640" s="113">
        <f t="shared" si="110"/>
        <v>0</v>
      </c>
    </row>
    <row r="641" spans="1:14" x14ac:dyDescent="0.25">
      <c r="A641" s="455"/>
      <c r="B641" s="455"/>
      <c r="C641" s="454" t="s">
        <v>933</v>
      </c>
      <c r="D641" s="296"/>
      <c r="E641" s="285" t="s">
        <v>932</v>
      </c>
      <c r="F641" s="456">
        <v>0</v>
      </c>
      <c r="G641" s="456">
        <f>G642</f>
        <v>69.562520000000006</v>
      </c>
      <c r="H641" s="456">
        <f>H642</f>
        <v>69.562520000000006</v>
      </c>
      <c r="I641" s="456">
        <v>0</v>
      </c>
      <c r="J641" s="456"/>
      <c r="K641" s="456">
        <v>0</v>
      </c>
      <c r="L641" s="456"/>
      <c r="M641" s="456"/>
      <c r="N641" s="456">
        <v>0</v>
      </c>
    </row>
    <row r="642" spans="1:14" ht="39" x14ac:dyDescent="0.25">
      <c r="A642" s="455"/>
      <c r="B642" s="455"/>
      <c r="C642" s="454"/>
      <c r="D642" s="7" t="s">
        <v>2</v>
      </c>
      <c r="E642" s="6" t="s">
        <v>1</v>
      </c>
      <c r="F642" s="456">
        <v>0</v>
      </c>
      <c r="G642" s="456">
        <v>69.562520000000006</v>
      </c>
      <c r="H642" s="456">
        <f>F642+G642</f>
        <v>69.562520000000006</v>
      </c>
      <c r="I642" s="456">
        <v>0</v>
      </c>
      <c r="J642" s="456"/>
      <c r="K642" s="456">
        <v>0</v>
      </c>
      <c r="L642" s="456"/>
      <c r="M642" s="456"/>
      <c r="N642" s="456">
        <v>0</v>
      </c>
    </row>
    <row r="643" spans="1:14" x14ac:dyDescent="0.25">
      <c r="A643" s="8"/>
      <c r="B643" s="22">
        <v>1000</v>
      </c>
      <c r="C643" s="21"/>
      <c r="D643" s="21"/>
      <c r="E643" s="20" t="s">
        <v>89</v>
      </c>
      <c r="F643" s="26">
        <f>F644+F666</f>
        <v>29695.971000000001</v>
      </c>
      <c r="G643" s="26"/>
      <c r="H643" s="26">
        <f>H644+H666</f>
        <v>29695.971000000001</v>
      </c>
      <c r="I643" s="26">
        <f>I644+I666</f>
        <v>28831.996000000003</v>
      </c>
      <c r="J643" s="336"/>
      <c r="K643" s="26">
        <f>K644+K666</f>
        <v>28831.996000000003</v>
      </c>
      <c r="L643" s="26">
        <f>L644+L666</f>
        <v>28603.496000000003</v>
      </c>
      <c r="M643" s="26"/>
      <c r="N643" s="26">
        <f>N644+N666</f>
        <v>28603.496000000003</v>
      </c>
    </row>
    <row r="644" spans="1:14" x14ac:dyDescent="0.25">
      <c r="A644" s="8"/>
      <c r="B644" s="22">
        <v>1003</v>
      </c>
      <c r="C644" s="21"/>
      <c r="D644" s="21"/>
      <c r="E644" s="20" t="s">
        <v>88</v>
      </c>
      <c r="F644" s="26">
        <f t="shared" ref="F644:N645" si="112">F645</f>
        <v>25121.671000000002</v>
      </c>
      <c r="G644" s="26"/>
      <c r="H644" s="26">
        <f t="shared" si="112"/>
        <v>25121.671000000002</v>
      </c>
      <c r="I644" s="26">
        <f t="shared" si="112"/>
        <v>25259.796000000002</v>
      </c>
      <c r="J644" s="336"/>
      <c r="K644" s="26">
        <f t="shared" si="112"/>
        <v>25259.796000000002</v>
      </c>
      <c r="L644" s="26">
        <f t="shared" si="112"/>
        <v>25089.596000000001</v>
      </c>
      <c r="M644" s="26"/>
      <c r="N644" s="26">
        <f t="shared" si="112"/>
        <v>25089.596000000001</v>
      </c>
    </row>
    <row r="645" spans="1:14" x14ac:dyDescent="0.25">
      <c r="A645" s="8"/>
      <c r="B645" s="22"/>
      <c r="C645" s="21" t="s">
        <v>36</v>
      </c>
      <c r="D645" s="21"/>
      <c r="E645" s="27" t="s">
        <v>35</v>
      </c>
      <c r="F645" s="26">
        <f t="shared" si="112"/>
        <v>25121.671000000002</v>
      </c>
      <c r="G645" s="26"/>
      <c r="H645" s="26">
        <f t="shared" si="112"/>
        <v>25121.671000000002</v>
      </c>
      <c r="I645" s="26">
        <f t="shared" si="112"/>
        <v>25259.796000000002</v>
      </c>
      <c r="J645" s="336"/>
      <c r="K645" s="26">
        <f t="shared" si="112"/>
        <v>25259.796000000002</v>
      </c>
      <c r="L645" s="26">
        <f t="shared" si="112"/>
        <v>25089.596000000001</v>
      </c>
      <c r="M645" s="26"/>
      <c r="N645" s="26">
        <f t="shared" si="112"/>
        <v>25089.596000000001</v>
      </c>
    </row>
    <row r="646" spans="1:14" ht="25.5" x14ac:dyDescent="0.25">
      <c r="A646" s="34"/>
      <c r="B646" s="34"/>
      <c r="C646" s="34" t="s">
        <v>87</v>
      </c>
      <c r="D646" s="33"/>
      <c r="E646" s="32" t="s">
        <v>86</v>
      </c>
      <c r="F646" s="31">
        <f>F647+F651+F659</f>
        <v>25121.671000000002</v>
      </c>
      <c r="G646" s="31"/>
      <c r="H646" s="31">
        <f>H647+H651+H659</f>
        <v>25121.671000000002</v>
      </c>
      <c r="I646" s="31">
        <f>I647+I651+I659</f>
        <v>25259.796000000002</v>
      </c>
      <c r="J646" s="332"/>
      <c r="K646" s="31">
        <f>K647+K651+K659</f>
        <v>25259.796000000002</v>
      </c>
      <c r="L646" s="31">
        <f>L647+L651+L659</f>
        <v>25089.596000000001</v>
      </c>
      <c r="M646" s="31"/>
      <c r="N646" s="31">
        <f>N647+N651+N659</f>
        <v>25089.596000000001</v>
      </c>
    </row>
    <row r="647" spans="1:14" x14ac:dyDescent="0.25">
      <c r="A647" s="30"/>
      <c r="B647" s="30"/>
      <c r="C647" s="30" t="s">
        <v>177</v>
      </c>
      <c r="D647" s="30"/>
      <c r="E647" s="50" t="s">
        <v>176</v>
      </c>
      <c r="F647" s="28">
        <f t="shared" ref="F647:N649" si="113">F648</f>
        <v>138.19999999999999</v>
      </c>
      <c r="G647" s="28"/>
      <c r="H647" s="28">
        <f t="shared" si="113"/>
        <v>138.19999999999999</v>
      </c>
      <c r="I647" s="28">
        <f t="shared" si="113"/>
        <v>138.19999999999999</v>
      </c>
      <c r="J647" s="333"/>
      <c r="K647" s="28">
        <f t="shared" si="113"/>
        <v>138.19999999999999</v>
      </c>
      <c r="L647" s="28">
        <f t="shared" si="113"/>
        <v>138.19999999999999</v>
      </c>
      <c r="M647" s="28"/>
      <c r="N647" s="28">
        <f t="shared" si="113"/>
        <v>138.19999999999999</v>
      </c>
    </row>
    <row r="648" spans="1:14" ht="26.25" x14ac:dyDescent="0.25">
      <c r="A648" s="208"/>
      <c r="B648" s="208"/>
      <c r="C648" s="208" t="s">
        <v>175</v>
      </c>
      <c r="D648" s="208"/>
      <c r="E648" s="209" t="s">
        <v>193</v>
      </c>
      <c r="F648" s="210">
        <f t="shared" si="113"/>
        <v>138.19999999999999</v>
      </c>
      <c r="G648" s="210"/>
      <c r="H648" s="210">
        <f t="shared" si="113"/>
        <v>138.19999999999999</v>
      </c>
      <c r="I648" s="210">
        <f t="shared" si="113"/>
        <v>138.19999999999999</v>
      </c>
      <c r="J648" s="334"/>
      <c r="K648" s="210">
        <f t="shared" si="113"/>
        <v>138.19999999999999</v>
      </c>
      <c r="L648" s="210">
        <f t="shared" si="113"/>
        <v>138.19999999999999</v>
      </c>
      <c r="M648" s="210"/>
      <c r="N648" s="210">
        <f t="shared" si="113"/>
        <v>138.19999999999999</v>
      </c>
    </row>
    <row r="649" spans="1:14" ht="26.25" x14ac:dyDescent="0.25">
      <c r="A649" s="8"/>
      <c r="B649" s="8"/>
      <c r="C649" s="52" t="s">
        <v>192</v>
      </c>
      <c r="D649" s="7"/>
      <c r="E649" s="6" t="s">
        <v>742</v>
      </c>
      <c r="F649" s="9">
        <f t="shared" si="113"/>
        <v>138.19999999999999</v>
      </c>
      <c r="G649" s="9"/>
      <c r="H649" s="9">
        <f t="shared" si="113"/>
        <v>138.19999999999999</v>
      </c>
      <c r="I649" s="9">
        <f t="shared" si="113"/>
        <v>138.19999999999999</v>
      </c>
      <c r="J649" s="335"/>
      <c r="K649" s="9">
        <f t="shared" si="113"/>
        <v>138.19999999999999</v>
      </c>
      <c r="L649" s="9">
        <f t="shared" si="113"/>
        <v>138.19999999999999</v>
      </c>
      <c r="M649" s="9"/>
      <c r="N649" s="9">
        <f t="shared" si="113"/>
        <v>138.19999999999999</v>
      </c>
    </row>
    <row r="650" spans="1:14" ht="26.25" x14ac:dyDescent="0.25">
      <c r="A650" s="8"/>
      <c r="B650" s="8"/>
      <c r="C650" s="52"/>
      <c r="D650" s="7" t="s">
        <v>57</v>
      </c>
      <c r="E650" s="6" t="s">
        <v>56</v>
      </c>
      <c r="F650" s="9">
        <v>138.19999999999999</v>
      </c>
      <c r="G650" s="9"/>
      <c r="H650" s="9">
        <v>138.19999999999999</v>
      </c>
      <c r="I650" s="9">
        <v>138.19999999999999</v>
      </c>
      <c r="J650" s="335"/>
      <c r="K650" s="9">
        <v>138.19999999999999</v>
      </c>
      <c r="L650" s="9">
        <v>138.19999999999999</v>
      </c>
      <c r="M650" s="9"/>
      <c r="N650" s="9">
        <v>138.19999999999999</v>
      </c>
    </row>
    <row r="651" spans="1:14" x14ac:dyDescent="0.25">
      <c r="A651" s="30"/>
      <c r="B651" s="30"/>
      <c r="C651" s="30" t="s">
        <v>191</v>
      </c>
      <c r="D651" s="30"/>
      <c r="E651" s="50" t="s">
        <v>190</v>
      </c>
      <c r="F651" s="28">
        <f>F652</f>
        <v>9490.7000000000007</v>
      </c>
      <c r="G651" s="28"/>
      <c r="H651" s="28">
        <f>H652</f>
        <v>9490.7000000000007</v>
      </c>
      <c r="I651" s="28">
        <f>I652</f>
        <v>9755.7000000000007</v>
      </c>
      <c r="J651" s="333"/>
      <c r="K651" s="28">
        <f>K652</f>
        <v>9755.7000000000007</v>
      </c>
      <c r="L651" s="28">
        <f>L652</f>
        <v>9585.5</v>
      </c>
      <c r="M651" s="28"/>
      <c r="N651" s="28">
        <f>N652</f>
        <v>9585.5</v>
      </c>
    </row>
    <row r="652" spans="1:14" ht="26.25" x14ac:dyDescent="0.25">
      <c r="A652" s="208"/>
      <c r="B652" s="208"/>
      <c r="C652" s="208" t="s">
        <v>189</v>
      </c>
      <c r="D652" s="208"/>
      <c r="E652" s="209" t="s">
        <v>188</v>
      </c>
      <c r="F652" s="210">
        <f>F653+F655+F657</f>
        <v>9490.7000000000007</v>
      </c>
      <c r="G652" s="210"/>
      <c r="H652" s="210">
        <f>H653+H655+H657</f>
        <v>9490.7000000000007</v>
      </c>
      <c r="I652" s="210">
        <f>I653+I655+I657</f>
        <v>9755.7000000000007</v>
      </c>
      <c r="J652" s="334"/>
      <c r="K652" s="210">
        <f>K653+K655+K657</f>
        <v>9755.7000000000007</v>
      </c>
      <c r="L652" s="210">
        <f>L653+L655+L657</f>
        <v>9585.5</v>
      </c>
      <c r="M652" s="210"/>
      <c r="N652" s="210">
        <f>N653+N655+N657</f>
        <v>9585.5</v>
      </c>
    </row>
    <row r="653" spans="1:14" ht="25.5" x14ac:dyDescent="0.25">
      <c r="A653" s="8"/>
      <c r="B653" s="8"/>
      <c r="C653" s="65" t="s">
        <v>187</v>
      </c>
      <c r="D653" s="7"/>
      <c r="E653" s="10" t="s">
        <v>186</v>
      </c>
      <c r="F653" s="9">
        <f>F654</f>
        <v>3726.4</v>
      </c>
      <c r="G653" s="9"/>
      <c r="H653" s="9">
        <f>H654</f>
        <v>3726.4</v>
      </c>
      <c r="I653" s="9">
        <f>I654</f>
        <v>3953.5</v>
      </c>
      <c r="J653" s="335"/>
      <c r="K653" s="9">
        <f>K654</f>
        <v>3953.5</v>
      </c>
      <c r="L653" s="9">
        <f>L654</f>
        <v>3915.7</v>
      </c>
      <c r="M653" s="9"/>
      <c r="N653" s="9">
        <f>N654</f>
        <v>3915.7</v>
      </c>
    </row>
    <row r="654" spans="1:14" ht="26.25" x14ac:dyDescent="0.25">
      <c r="A654" s="8"/>
      <c r="B654" s="8"/>
      <c r="C654" s="65"/>
      <c r="D654" s="7" t="s">
        <v>57</v>
      </c>
      <c r="E654" s="6" t="s">
        <v>56</v>
      </c>
      <c r="F654" s="9">
        <v>3726.4</v>
      </c>
      <c r="G654" s="9"/>
      <c r="H654" s="9">
        <v>3726.4</v>
      </c>
      <c r="I654" s="9">
        <v>3953.5</v>
      </c>
      <c r="J654" s="335"/>
      <c r="K654" s="9">
        <v>3953.5</v>
      </c>
      <c r="L654" s="9">
        <v>3915.7</v>
      </c>
      <c r="M654" s="9"/>
      <c r="N654" s="9">
        <v>3915.7</v>
      </c>
    </row>
    <row r="655" spans="1:14" ht="16.5" customHeight="1" x14ac:dyDescent="0.25">
      <c r="A655" s="8"/>
      <c r="B655" s="8"/>
      <c r="C655" s="65" t="s">
        <v>185</v>
      </c>
      <c r="D655" s="7"/>
      <c r="E655" s="6" t="s">
        <v>184</v>
      </c>
      <c r="F655" s="9">
        <f>F656</f>
        <v>4104.8</v>
      </c>
      <c r="G655" s="9"/>
      <c r="H655" s="9">
        <f>H656</f>
        <v>4104.8</v>
      </c>
      <c r="I655" s="9">
        <f>I656</f>
        <v>4142.7</v>
      </c>
      <c r="J655" s="335"/>
      <c r="K655" s="9">
        <f>K656</f>
        <v>4142.7</v>
      </c>
      <c r="L655" s="9">
        <f>L656</f>
        <v>4010.3</v>
      </c>
      <c r="M655" s="9"/>
      <c r="N655" s="9">
        <f>N656</f>
        <v>4010.3</v>
      </c>
    </row>
    <row r="656" spans="1:14" ht="26.25" x14ac:dyDescent="0.25">
      <c r="A656" s="8"/>
      <c r="B656" s="8"/>
      <c r="C656" s="65"/>
      <c r="D656" s="7" t="s">
        <v>57</v>
      </c>
      <c r="E656" s="6" t="s">
        <v>56</v>
      </c>
      <c r="F656" s="9">
        <v>4104.8</v>
      </c>
      <c r="G656" s="9"/>
      <c r="H656" s="9">
        <v>4104.8</v>
      </c>
      <c r="I656" s="9">
        <v>4142.7</v>
      </c>
      <c r="J656" s="335"/>
      <c r="K656" s="9">
        <v>4142.7</v>
      </c>
      <c r="L656" s="9">
        <v>4010.3</v>
      </c>
      <c r="M656" s="9"/>
      <c r="N656" s="9">
        <v>4010.3</v>
      </c>
    </row>
    <row r="657" spans="1:14" ht="26.25" x14ac:dyDescent="0.25">
      <c r="A657" s="8"/>
      <c r="B657" s="8"/>
      <c r="C657" s="7" t="s">
        <v>183</v>
      </c>
      <c r="D657" s="7"/>
      <c r="E657" s="6" t="s">
        <v>800</v>
      </c>
      <c r="F657" s="9">
        <f>F658</f>
        <v>1659.5</v>
      </c>
      <c r="G657" s="9"/>
      <c r="H657" s="9">
        <f>H658</f>
        <v>1659.5</v>
      </c>
      <c r="I657" s="9">
        <f>I658</f>
        <v>1659.5</v>
      </c>
      <c r="J657" s="335"/>
      <c r="K657" s="9">
        <f>K658</f>
        <v>1659.5</v>
      </c>
      <c r="L657" s="9">
        <f>L658</f>
        <v>1659.5</v>
      </c>
      <c r="M657" s="9"/>
      <c r="N657" s="9">
        <f>N658</f>
        <v>1659.5</v>
      </c>
    </row>
    <row r="658" spans="1:14" ht="26.25" x14ac:dyDescent="0.25">
      <c r="A658" s="8"/>
      <c r="B658" s="8"/>
      <c r="C658" s="7"/>
      <c r="D658" s="7" t="s">
        <v>57</v>
      </c>
      <c r="E658" s="6" t="s">
        <v>56</v>
      </c>
      <c r="F658" s="9">
        <f>1519.4+140.1</f>
        <v>1659.5</v>
      </c>
      <c r="G658" s="9"/>
      <c r="H658" s="9">
        <f>1519.4+140.1</f>
        <v>1659.5</v>
      </c>
      <c r="I658" s="9">
        <f>1519.4+140.1</f>
        <v>1659.5</v>
      </c>
      <c r="J658" s="335"/>
      <c r="K658" s="9">
        <f>1519.4+140.1</f>
        <v>1659.5</v>
      </c>
      <c r="L658" s="9">
        <f>1519.4+140.1</f>
        <v>1659.5</v>
      </c>
      <c r="M658" s="9"/>
      <c r="N658" s="9">
        <f>1519.4+140.1</f>
        <v>1659.5</v>
      </c>
    </row>
    <row r="659" spans="1:14" x14ac:dyDescent="0.25">
      <c r="A659" s="30"/>
      <c r="B659" s="30"/>
      <c r="C659" s="30" t="s">
        <v>85</v>
      </c>
      <c r="D659" s="30"/>
      <c r="E659" s="50" t="s">
        <v>84</v>
      </c>
      <c r="F659" s="28">
        <f>F660</f>
        <v>15492.771000000001</v>
      </c>
      <c r="G659" s="28"/>
      <c r="H659" s="28">
        <f>H660</f>
        <v>15492.771000000001</v>
      </c>
      <c r="I659" s="28">
        <f>I660</f>
        <v>15365.896000000001</v>
      </c>
      <c r="J659" s="333"/>
      <c r="K659" s="28">
        <f>K660</f>
        <v>15365.896000000001</v>
      </c>
      <c r="L659" s="28">
        <f>L660</f>
        <v>15365.896000000001</v>
      </c>
      <c r="M659" s="28"/>
      <c r="N659" s="28">
        <f>N660</f>
        <v>15365.896000000001</v>
      </c>
    </row>
    <row r="660" spans="1:14" ht="26.25" x14ac:dyDescent="0.25">
      <c r="A660" s="208"/>
      <c r="B660" s="208"/>
      <c r="C660" s="208" t="s">
        <v>83</v>
      </c>
      <c r="D660" s="208"/>
      <c r="E660" s="209" t="s">
        <v>82</v>
      </c>
      <c r="F660" s="210">
        <f>F661+F663</f>
        <v>15492.771000000001</v>
      </c>
      <c r="G660" s="210"/>
      <c r="H660" s="210">
        <f>H661+H663</f>
        <v>15492.771000000001</v>
      </c>
      <c r="I660" s="210">
        <f>I661+I663</f>
        <v>15365.896000000001</v>
      </c>
      <c r="J660" s="334"/>
      <c r="K660" s="210">
        <f>K661+K663</f>
        <v>15365.896000000001</v>
      </c>
      <c r="L660" s="210">
        <f>L661+L663</f>
        <v>15365.896000000001</v>
      </c>
      <c r="M660" s="210"/>
      <c r="N660" s="210">
        <f>N661+N663</f>
        <v>15365.896000000001</v>
      </c>
    </row>
    <row r="661" spans="1:14" ht="26.25" x14ac:dyDescent="0.25">
      <c r="A661" s="8"/>
      <c r="B661" s="8"/>
      <c r="C661" s="7" t="s">
        <v>182</v>
      </c>
      <c r="D661" s="7"/>
      <c r="E661" s="6" t="s">
        <v>181</v>
      </c>
      <c r="F661" s="9">
        <f>SUM(F662)</f>
        <v>913.5</v>
      </c>
      <c r="G661" s="9"/>
      <c r="H661" s="9">
        <f>SUM(H662)</f>
        <v>913.5</v>
      </c>
      <c r="I661" s="9">
        <f>SUM(I662)</f>
        <v>786.625</v>
      </c>
      <c r="J661" s="335"/>
      <c r="K661" s="9">
        <f>SUM(K662)</f>
        <v>786.625</v>
      </c>
      <c r="L661" s="9">
        <f>SUM(L662)</f>
        <v>786.625</v>
      </c>
      <c r="M661" s="9"/>
      <c r="N661" s="9">
        <f>SUM(N662)</f>
        <v>786.625</v>
      </c>
    </row>
    <row r="662" spans="1:14" x14ac:dyDescent="0.25">
      <c r="A662" s="8"/>
      <c r="B662" s="8"/>
      <c r="C662" s="7"/>
      <c r="D662" s="7" t="s">
        <v>79</v>
      </c>
      <c r="E662" s="6" t="s">
        <v>78</v>
      </c>
      <c r="F662" s="9">
        <v>913.5</v>
      </c>
      <c r="G662" s="9"/>
      <c r="H662" s="9">
        <v>913.5</v>
      </c>
      <c r="I662" s="9">
        <v>786.625</v>
      </c>
      <c r="J662" s="335"/>
      <c r="K662" s="9">
        <v>786.625</v>
      </c>
      <c r="L662" s="9">
        <v>786.625</v>
      </c>
      <c r="M662" s="9"/>
      <c r="N662" s="9">
        <v>786.625</v>
      </c>
    </row>
    <row r="663" spans="1:14" ht="36.75" customHeight="1" x14ac:dyDescent="0.25">
      <c r="A663" s="8"/>
      <c r="B663" s="8"/>
      <c r="C663" s="7" t="s">
        <v>81</v>
      </c>
      <c r="D663" s="7"/>
      <c r="E663" s="6" t="s">
        <v>180</v>
      </c>
      <c r="F663" s="9">
        <f>F664+F665</f>
        <v>14579.271000000001</v>
      </c>
      <c r="G663" s="9"/>
      <c r="H663" s="9">
        <f>H664+H665</f>
        <v>14579.271000000001</v>
      </c>
      <c r="I663" s="9">
        <f>I664+I665</f>
        <v>14579.271000000001</v>
      </c>
      <c r="J663" s="335"/>
      <c r="K663" s="9">
        <f>K664+K665</f>
        <v>14579.271000000001</v>
      </c>
      <c r="L663" s="9">
        <f>L664+L665</f>
        <v>14579.271000000001</v>
      </c>
      <c r="M663" s="9"/>
      <c r="N663" s="9">
        <f>N664+N665</f>
        <v>14579.271000000001</v>
      </c>
    </row>
    <row r="664" spans="1:14" x14ac:dyDescent="0.25">
      <c r="A664" s="8"/>
      <c r="B664" s="8"/>
      <c r="C664" s="7"/>
      <c r="D664" s="7" t="s">
        <v>79</v>
      </c>
      <c r="E664" s="6" t="s">
        <v>78</v>
      </c>
      <c r="F664" s="9">
        <v>6854.4</v>
      </c>
      <c r="G664" s="9"/>
      <c r="H664" s="9">
        <v>6854.4</v>
      </c>
      <c r="I664" s="9">
        <v>6854.4</v>
      </c>
      <c r="J664" s="335"/>
      <c r="K664" s="9">
        <v>6854.4</v>
      </c>
      <c r="L664" s="9">
        <v>6854.4</v>
      </c>
      <c r="M664" s="9"/>
      <c r="N664" s="9">
        <v>6854.4</v>
      </c>
    </row>
    <row r="665" spans="1:14" ht="26.25" x14ac:dyDescent="0.25">
      <c r="A665" s="8"/>
      <c r="B665" s="8"/>
      <c r="C665" s="7"/>
      <c r="D665" s="7" t="s">
        <v>57</v>
      </c>
      <c r="E665" s="6" t="s">
        <v>56</v>
      </c>
      <c r="F665" s="9">
        <v>7724.8710000000001</v>
      </c>
      <c r="G665" s="9"/>
      <c r="H665" s="9">
        <v>7724.8710000000001</v>
      </c>
      <c r="I665" s="9">
        <v>7724.8710000000001</v>
      </c>
      <c r="J665" s="335"/>
      <c r="K665" s="9">
        <v>7724.8710000000001</v>
      </c>
      <c r="L665" s="9">
        <v>7724.8710000000001</v>
      </c>
      <c r="M665" s="9"/>
      <c r="N665" s="9">
        <v>7724.8710000000001</v>
      </c>
    </row>
    <row r="666" spans="1:14" x14ac:dyDescent="0.25">
      <c r="A666" s="21"/>
      <c r="B666" s="22">
        <v>1004</v>
      </c>
      <c r="C666" s="21"/>
      <c r="D666" s="21"/>
      <c r="E666" s="20" t="s">
        <v>179</v>
      </c>
      <c r="F666" s="26">
        <f t="shared" ref="F666:N671" si="114">F667</f>
        <v>4574.3</v>
      </c>
      <c r="G666" s="26"/>
      <c r="H666" s="26">
        <f t="shared" si="114"/>
        <v>4574.3</v>
      </c>
      <c r="I666" s="26">
        <f t="shared" si="114"/>
        <v>3572.2</v>
      </c>
      <c r="J666" s="336"/>
      <c r="K666" s="26">
        <f t="shared" si="114"/>
        <v>3572.2</v>
      </c>
      <c r="L666" s="26">
        <f t="shared" si="114"/>
        <v>3513.9</v>
      </c>
      <c r="M666" s="26"/>
      <c r="N666" s="26">
        <f t="shared" si="114"/>
        <v>3513.9</v>
      </c>
    </row>
    <row r="667" spans="1:14" x14ac:dyDescent="0.25">
      <c r="A667" s="21"/>
      <c r="B667" s="22"/>
      <c r="C667" s="21" t="s">
        <v>36</v>
      </c>
      <c r="D667" s="22"/>
      <c r="E667" s="53" t="s">
        <v>178</v>
      </c>
      <c r="F667" s="26">
        <f t="shared" si="114"/>
        <v>4574.3</v>
      </c>
      <c r="G667" s="26"/>
      <c r="H667" s="26">
        <f t="shared" si="114"/>
        <v>4574.3</v>
      </c>
      <c r="I667" s="26">
        <f t="shared" si="114"/>
        <v>3572.2</v>
      </c>
      <c r="J667" s="336"/>
      <c r="K667" s="26">
        <f t="shared" si="114"/>
        <v>3572.2</v>
      </c>
      <c r="L667" s="26">
        <f t="shared" si="114"/>
        <v>3513.9</v>
      </c>
      <c r="M667" s="26"/>
      <c r="N667" s="26">
        <f t="shared" si="114"/>
        <v>3513.9</v>
      </c>
    </row>
    <row r="668" spans="1:14" ht="25.5" x14ac:dyDescent="0.25">
      <c r="A668" s="34"/>
      <c r="B668" s="33"/>
      <c r="C668" s="34" t="s">
        <v>87</v>
      </c>
      <c r="D668" s="33"/>
      <c r="E668" s="32" t="s">
        <v>86</v>
      </c>
      <c r="F668" s="31">
        <f t="shared" si="114"/>
        <v>4574.3</v>
      </c>
      <c r="G668" s="31"/>
      <c r="H668" s="31">
        <f t="shared" si="114"/>
        <v>4574.3</v>
      </c>
      <c r="I668" s="31">
        <f t="shared" si="114"/>
        <v>3572.2</v>
      </c>
      <c r="J668" s="332"/>
      <c r="K668" s="31">
        <f t="shared" si="114"/>
        <v>3572.2</v>
      </c>
      <c r="L668" s="31">
        <f t="shared" si="114"/>
        <v>3513.9</v>
      </c>
      <c r="M668" s="31"/>
      <c r="N668" s="31">
        <f t="shared" si="114"/>
        <v>3513.9</v>
      </c>
    </row>
    <row r="669" spans="1:14" x14ac:dyDescent="0.25">
      <c r="A669" s="64"/>
      <c r="B669" s="63"/>
      <c r="C669" s="64" t="s">
        <v>177</v>
      </c>
      <c r="D669" s="63"/>
      <c r="E669" s="62" t="s">
        <v>176</v>
      </c>
      <c r="F669" s="61">
        <f t="shared" si="114"/>
        <v>4574.3</v>
      </c>
      <c r="G669" s="61"/>
      <c r="H669" s="61">
        <f t="shared" si="114"/>
        <v>4574.3</v>
      </c>
      <c r="I669" s="61">
        <f t="shared" si="114"/>
        <v>3572.2</v>
      </c>
      <c r="J669" s="342"/>
      <c r="K669" s="61">
        <f t="shared" si="114"/>
        <v>3572.2</v>
      </c>
      <c r="L669" s="61">
        <f t="shared" si="114"/>
        <v>3513.9</v>
      </c>
      <c r="M669" s="61"/>
      <c r="N669" s="61">
        <f t="shared" si="114"/>
        <v>3513.9</v>
      </c>
    </row>
    <row r="670" spans="1:14" ht="26.25" x14ac:dyDescent="0.25">
      <c r="A670" s="208"/>
      <c r="B670" s="208"/>
      <c r="C670" s="208" t="s">
        <v>175</v>
      </c>
      <c r="D670" s="208"/>
      <c r="E670" s="209" t="s">
        <v>174</v>
      </c>
      <c r="F670" s="210">
        <f t="shared" si="114"/>
        <v>4574.3</v>
      </c>
      <c r="G670" s="210"/>
      <c r="H670" s="210">
        <f t="shared" si="114"/>
        <v>4574.3</v>
      </c>
      <c r="I670" s="210">
        <f t="shared" si="114"/>
        <v>3572.2</v>
      </c>
      <c r="J670" s="334"/>
      <c r="K670" s="210">
        <f t="shared" si="114"/>
        <v>3572.2</v>
      </c>
      <c r="L670" s="210">
        <f t="shared" si="114"/>
        <v>3513.9</v>
      </c>
      <c r="M670" s="210"/>
      <c r="N670" s="210">
        <f t="shared" si="114"/>
        <v>3513.9</v>
      </c>
    </row>
    <row r="671" spans="1:14" ht="39" x14ac:dyDescent="0.25">
      <c r="A671" s="8"/>
      <c r="B671" s="8"/>
      <c r="C671" s="7" t="s">
        <v>173</v>
      </c>
      <c r="D671" s="7"/>
      <c r="E671" s="6" t="s">
        <v>9</v>
      </c>
      <c r="F671" s="9">
        <f t="shared" si="114"/>
        <v>4574.3</v>
      </c>
      <c r="G671" s="9"/>
      <c r="H671" s="9">
        <f t="shared" si="114"/>
        <v>4574.3</v>
      </c>
      <c r="I671" s="9">
        <f t="shared" si="114"/>
        <v>3572.2</v>
      </c>
      <c r="J671" s="335"/>
      <c r="K671" s="9">
        <f t="shared" si="114"/>
        <v>3572.2</v>
      </c>
      <c r="L671" s="9">
        <f t="shared" si="114"/>
        <v>3513.9</v>
      </c>
      <c r="M671" s="9"/>
      <c r="N671" s="9">
        <f t="shared" si="114"/>
        <v>3513.9</v>
      </c>
    </row>
    <row r="672" spans="1:14" ht="26.25" x14ac:dyDescent="0.25">
      <c r="A672" s="8"/>
      <c r="B672" s="8"/>
      <c r="C672" s="7"/>
      <c r="D672" s="7" t="s">
        <v>57</v>
      </c>
      <c r="E672" s="6" t="s">
        <v>56</v>
      </c>
      <c r="F672" s="9">
        <v>4574.3</v>
      </c>
      <c r="G672" s="9"/>
      <c r="H672" s="9">
        <v>4574.3</v>
      </c>
      <c r="I672" s="9">
        <v>3572.2</v>
      </c>
      <c r="J672" s="335"/>
      <c r="K672" s="9">
        <v>3572.2</v>
      </c>
      <c r="L672" s="9">
        <v>3513.9</v>
      </c>
      <c r="M672" s="9"/>
      <c r="N672" s="9">
        <v>3513.9</v>
      </c>
    </row>
    <row r="673" spans="1:14" x14ac:dyDescent="0.25">
      <c r="A673" s="36"/>
      <c r="B673" s="22">
        <v>1100</v>
      </c>
      <c r="C673" s="21"/>
      <c r="D673" s="21"/>
      <c r="E673" s="20" t="s">
        <v>76</v>
      </c>
      <c r="F673" s="26">
        <f t="shared" ref="F673:N675" si="115">F674</f>
        <v>2261.3541</v>
      </c>
      <c r="G673" s="26"/>
      <c r="H673" s="26">
        <f t="shared" si="115"/>
        <v>2261.3541</v>
      </c>
      <c r="I673" s="26">
        <f t="shared" si="115"/>
        <v>2150</v>
      </c>
      <c r="J673" s="336"/>
      <c r="K673" s="26">
        <f t="shared" si="115"/>
        <v>2150</v>
      </c>
      <c r="L673" s="26">
        <f t="shared" si="115"/>
        <v>14714.342860000001</v>
      </c>
      <c r="M673" s="26"/>
      <c r="N673" s="26">
        <f t="shared" si="115"/>
        <v>14714.342860000001</v>
      </c>
    </row>
    <row r="674" spans="1:14" x14ac:dyDescent="0.25">
      <c r="A674" s="36"/>
      <c r="B674" s="22" t="s">
        <v>75</v>
      </c>
      <c r="C674" s="21"/>
      <c r="D674" s="22"/>
      <c r="E674" s="27" t="s">
        <v>74</v>
      </c>
      <c r="F674" s="26">
        <f t="shared" si="115"/>
        <v>2261.3541</v>
      </c>
      <c r="G674" s="26"/>
      <c r="H674" s="26">
        <f t="shared" si="115"/>
        <v>2261.3541</v>
      </c>
      <c r="I674" s="26">
        <f t="shared" si="115"/>
        <v>2150</v>
      </c>
      <c r="J674" s="336"/>
      <c r="K674" s="26">
        <f t="shared" si="115"/>
        <v>2150</v>
      </c>
      <c r="L674" s="26">
        <f t="shared" si="115"/>
        <v>14714.342860000001</v>
      </c>
      <c r="M674" s="26"/>
      <c r="N674" s="26">
        <f t="shared" si="115"/>
        <v>14714.342860000001</v>
      </c>
    </row>
    <row r="675" spans="1:14" x14ac:dyDescent="0.25">
      <c r="A675" s="36"/>
      <c r="B675" s="22"/>
      <c r="C675" s="21" t="s">
        <v>36</v>
      </c>
      <c r="D675" s="22"/>
      <c r="E675" s="27" t="s">
        <v>35</v>
      </c>
      <c r="F675" s="26">
        <f t="shared" si="115"/>
        <v>2261.3541</v>
      </c>
      <c r="G675" s="26"/>
      <c r="H675" s="26">
        <f t="shared" si="115"/>
        <v>2261.3541</v>
      </c>
      <c r="I675" s="26">
        <f t="shared" si="115"/>
        <v>2150</v>
      </c>
      <c r="J675" s="336"/>
      <c r="K675" s="26">
        <f t="shared" si="115"/>
        <v>2150</v>
      </c>
      <c r="L675" s="26">
        <f t="shared" si="115"/>
        <v>14714.342860000001</v>
      </c>
      <c r="M675" s="26"/>
      <c r="N675" s="26">
        <f t="shared" si="115"/>
        <v>14714.342860000001</v>
      </c>
    </row>
    <row r="676" spans="1:14" ht="25.5" x14ac:dyDescent="0.25">
      <c r="A676" s="34"/>
      <c r="B676" s="33"/>
      <c r="C676" s="34" t="s">
        <v>73</v>
      </c>
      <c r="D676" s="33"/>
      <c r="E676" s="32" t="s">
        <v>72</v>
      </c>
      <c r="F676" s="31">
        <f>F677+F685</f>
        <v>2261.3541</v>
      </c>
      <c r="G676" s="31"/>
      <c r="H676" s="31">
        <f>H677+H685</f>
        <v>2261.3541</v>
      </c>
      <c r="I676" s="31">
        <f>I677+I685</f>
        <v>2150</v>
      </c>
      <c r="J676" s="332"/>
      <c r="K676" s="31">
        <f>K677+K685</f>
        <v>2150</v>
      </c>
      <c r="L676" s="31">
        <f>L677+L685</f>
        <v>14714.342860000001</v>
      </c>
      <c r="M676" s="31"/>
      <c r="N676" s="31">
        <f>N677+N685</f>
        <v>14714.342860000001</v>
      </c>
    </row>
    <row r="677" spans="1:14" ht="26.25" x14ac:dyDescent="0.25">
      <c r="A677" s="208"/>
      <c r="B677" s="208"/>
      <c r="C677" s="208" t="s">
        <v>71</v>
      </c>
      <c r="D677" s="208"/>
      <c r="E677" s="209" t="s">
        <v>172</v>
      </c>
      <c r="F677" s="210">
        <f>F678+F680++F683</f>
        <v>2261.3541</v>
      </c>
      <c r="G677" s="210"/>
      <c r="H677" s="210">
        <f>H678+H680++H683</f>
        <v>2261.3541</v>
      </c>
      <c r="I677" s="210">
        <f>I678+I680</f>
        <v>299.2</v>
      </c>
      <c r="J677" s="334"/>
      <c r="K677" s="210">
        <f>K678+K680</f>
        <v>299.2</v>
      </c>
      <c r="L677" s="210">
        <f>L678+L680</f>
        <v>1857.2</v>
      </c>
      <c r="M677" s="210"/>
      <c r="N677" s="210">
        <f>N678+N680</f>
        <v>1857.2</v>
      </c>
    </row>
    <row r="678" spans="1:14" ht="39" x14ac:dyDescent="0.25">
      <c r="A678" s="8"/>
      <c r="B678" s="8"/>
      <c r="C678" s="7" t="s">
        <v>69</v>
      </c>
      <c r="D678" s="7"/>
      <c r="E678" s="6" t="s">
        <v>68</v>
      </c>
      <c r="F678" s="9">
        <f>F679</f>
        <v>1601.6</v>
      </c>
      <c r="G678" s="9"/>
      <c r="H678" s="9">
        <f>H679</f>
        <v>1601.6</v>
      </c>
      <c r="I678" s="9">
        <f>I679</f>
        <v>0</v>
      </c>
      <c r="J678" s="335"/>
      <c r="K678" s="9">
        <f>K679</f>
        <v>0</v>
      </c>
      <c r="L678" s="9">
        <f>L679</f>
        <v>1558</v>
      </c>
      <c r="M678" s="9"/>
      <c r="N678" s="9">
        <f>N679</f>
        <v>1558</v>
      </c>
    </row>
    <row r="679" spans="1:14" ht="26.25" x14ac:dyDescent="0.25">
      <c r="A679" s="8"/>
      <c r="B679" s="8"/>
      <c r="C679" s="7"/>
      <c r="D679" s="7" t="s">
        <v>57</v>
      </c>
      <c r="E679" s="6" t="s">
        <v>56</v>
      </c>
      <c r="F679" s="9">
        <f>1558+43.6</f>
        <v>1601.6</v>
      </c>
      <c r="G679" s="9"/>
      <c r="H679" s="9">
        <f>1558+43.6</f>
        <v>1601.6</v>
      </c>
      <c r="I679" s="9">
        <v>0</v>
      </c>
      <c r="J679" s="335"/>
      <c r="K679" s="9">
        <v>0</v>
      </c>
      <c r="L679" s="9">
        <v>1558</v>
      </c>
      <c r="M679" s="9"/>
      <c r="N679" s="9">
        <v>1558</v>
      </c>
    </row>
    <row r="680" spans="1:14" x14ac:dyDescent="0.25">
      <c r="A680" s="8"/>
      <c r="B680" s="8"/>
      <c r="C680" s="7" t="s">
        <v>171</v>
      </c>
      <c r="D680" s="7"/>
      <c r="E680" s="6" t="s">
        <v>170</v>
      </c>
      <c r="F680" s="9">
        <f t="shared" ref="F680:N681" si="116">F681</f>
        <v>299.2</v>
      </c>
      <c r="G680" s="9"/>
      <c r="H680" s="9">
        <f t="shared" si="116"/>
        <v>299.2</v>
      </c>
      <c r="I680" s="9">
        <f t="shared" si="116"/>
        <v>299.2</v>
      </c>
      <c r="J680" s="335"/>
      <c r="K680" s="9">
        <f t="shared" si="116"/>
        <v>299.2</v>
      </c>
      <c r="L680" s="9">
        <f t="shared" si="116"/>
        <v>299.2</v>
      </c>
      <c r="M680" s="9"/>
      <c r="N680" s="9">
        <f t="shared" si="116"/>
        <v>299.2</v>
      </c>
    </row>
    <row r="681" spans="1:14" ht="26.25" x14ac:dyDescent="0.25">
      <c r="A681" s="8"/>
      <c r="B681" s="8"/>
      <c r="C681" s="7"/>
      <c r="D681" s="7" t="s">
        <v>57</v>
      </c>
      <c r="E681" s="6" t="s">
        <v>56</v>
      </c>
      <c r="F681" s="9">
        <f t="shared" si="116"/>
        <v>299.2</v>
      </c>
      <c r="G681" s="9"/>
      <c r="H681" s="9">
        <f t="shared" si="116"/>
        <v>299.2</v>
      </c>
      <c r="I681" s="9">
        <f t="shared" si="116"/>
        <v>299.2</v>
      </c>
      <c r="J681" s="335"/>
      <c r="K681" s="9">
        <f t="shared" si="116"/>
        <v>299.2</v>
      </c>
      <c r="L681" s="9">
        <f t="shared" si="116"/>
        <v>299.2</v>
      </c>
      <c r="M681" s="9"/>
      <c r="N681" s="9">
        <f t="shared" si="116"/>
        <v>299.2</v>
      </c>
    </row>
    <row r="682" spans="1:14" x14ac:dyDescent="0.25">
      <c r="A682" s="8"/>
      <c r="B682" s="8"/>
      <c r="C682" s="7"/>
      <c r="D682" s="7"/>
      <c r="E682" s="10" t="s">
        <v>106</v>
      </c>
      <c r="F682" s="9">
        <v>299.2</v>
      </c>
      <c r="G682" s="9"/>
      <c r="H682" s="9">
        <v>299.2</v>
      </c>
      <c r="I682" s="9">
        <v>299.2</v>
      </c>
      <c r="J682" s="335"/>
      <c r="K682" s="9">
        <v>299.2</v>
      </c>
      <c r="L682" s="9">
        <v>299.2</v>
      </c>
      <c r="M682" s="9"/>
      <c r="N682" s="9">
        <v>299.2</v>
      </c>
    </row>
    <row r="683" spans="1:14" x14ac:dyDescent="0.25">
      <c r="A683" s="8"/>
      <c r="B683" s="8"/>
      <c r="C683" s="7" t="s">
        <v>803</v>
      </c>
      <c r="D683" s="7"/>
      <c r="E683" s="10" t="s">
        <v>804</v>
      </c>
      <c r="F683" s="9">
        <f>F684</f>
        <v>360.55410000000001</v>
      </c>
      <c r="G683" s="9"/>
      <c r="H683" s="9">
        <f>H684</f>
        <v>360.55410000000001</v>
      </c>
      <c r="I683" s="9"/>
      <c r="J683" s="335"/>
      <c r="K683" s="9"/>
      <c r="L683" s="9"/>
      <c r="M683" s="9"/>
      <c r="N683" s="9"/>
    </row>
    <row r="684" spans="1:14" ht="26.25" x14ac:dyDescent="0.25">
      <c r="A684" s="8"/>
      <c r="B684" s="8"/>
      <c r="C684" s="7"/>
      <c r="D684" s="7" t="s">
        <v>57</v>
      </c>
      <c r="E684" s="6" t="s">
        <v>56</v>
      </c>
      <c r="F684" s="9">
        <v>360.55410000000001</v>
      </c>
      <c r="G684" s="9"/>
      <c r="H684" s="9">
        <v>360.55410000000001</v>
      </c>
      <c r="I684" s="9"/>
      <c r="J684" s="335"/>
      <c r="K684" s="9"/>
      <c r="L684" s="9"/>
      <c r="M684" s="9"/>
      <c r="N684" s="9"/>
    </row>
    <row r="685" spans="1:14" ht="26.25" x14ac:dyDescent="0.25">
      <c r="A685" s="208"/>
      <c r="B685" s="208"/>
      <c r="C685" s="208" t="s">
        <v>169</v>
      </c>
      <c r="D685" s="208"/>
      <c r="E685" s="209" t="s">
        <v>168</v>
      </c>
      <c r="F685" s="210">
        <f>F688</f>
        <v>0</v>
      </c>
      <c r="G685" s="210"/>
      <c r="H685" s="210">
        <f>H688</f>
        <v>0</v>
      </c>
      <c r="I685" s="210">
        <f>I686</f>
        <v>1850.8</v>
      </c>
      <c r="J685" s="334"/>
      <c r="K685" s="210">
        <f>K686</f>
        <v>1850.8</v>
      </c>
      <c r="L685" s="210">
        <f>L688</f>
        <v>12857.14286</v>
      </c>
      <c r="M685" s="210"/>
      <c r="N685" s="210">
        <f>N688</f>
        <v>12857.14286</v>
      </c>
    </row>
    <row r="686" spans="1:14" ht="30.75" customHeight="1" x14ac:dyDescent="0.25">
      <c r="A686" s="8"/>
      <c r="B686" s="8"/>
      <c r="C686" s="7" t="s">
        <v>603</v>
      </c>
      <c r="D686" s="7"/>
      <c r="E686" s="6" t="s">
        <v>604</v>
      </c>
      <c r="F686" s="9">
        <v>0</v>
      </c>
      <c r="G686" s="9"/>
      <c r="H686" s="9">
        <v>0</v>
      </c>
      <c r="I686" s="9">
        <f>I687</f>
        <v>1850.8</v>
      </c>
      <c r="J686" s="335"/>
      <c r="K686" s="9">
        <f>K687</f>
        <v>1850.8</v>
      </c>
      <c r="L686" s="9">
        <f>L687</f>
        <v>0</v>
      </c>
      <c r="M686" s="9"/>
      <c r="N686" s="9">
        <f>N687</f>
        <v>0</v>
      </c>
    </row>
    <row r="687" spans="1:14" ht="26.25" x14ac:dyDescent="0.25">
      <c r="A687" s="8"/>
      <c r="B687" s="8"/>
      <c r="C687" s="7"/>
      <c r="D687" s="7" t="s">
        <v>57</v>
      </c>
      <c r="E687" s="6" t="s">
        <v>56</v>
      </c>
      <c r="F687" s="9">
        <v>0</v>
      </c>
      <c r="G687" s="9"/>
      <c r="H687" s="9">
        <v>0</v>
      </c>
      <c r="I687" s="9">
        <v>1850.8</v>
      </c>
      <c r="J687" s="335"/>
      <c r="K687" s="9">
        <v>1850.8</v>
      </c>
      <c r="L687" s="9">
        <v>0</v>
      </c>
      <c r="M687" s="9"/>
      <c r="N687" s="9">
        <v>0</v>
      </c>
    </row>
    <row r="688" spans="1:14" x14ac:dyDescent="0.25">
      <c r="A688" s="8"/>
      <c r="B688" s="8"/>
      <c r="C688" s="7" t="s">
        <v>167</v>
      </c>
      <c r="D688" s="7"/>
      <c r="E688" s="6" t="s">
        <v>166</v>
      </c>
      <c r="F688" s="9">
        <v>0</v>
      </c>
      <c r="G688" s="9"/>
      <c r="H688" s="9">
        <v>0</v>
      </c>
      <c r="I688" s="9">
        <v>0</v>
      </c>
      <c r="J688" s="335"/>
      <c r="K688" s="9">
        <v>0</v>
      </c>
      <c r="L688" s="9">
        <v>12857.14286</v>
      </c>
      <c r="M688" s="9"/>
      <c r="N688" s="9">
        <v>12857.14286</v>
      </c>
    </row>
    <row r="689" spans="1:14" ht="26.25" x14ac:dyDescent="0.25">
      <c r="A689" s="8"/>
      <c r="B689" s="8"/>
      <c r="C689" s="7"/>
      <c r="D689" s="7" t="s">
        <v>57</v>
      </c>
      <c r="E689" s="6" t="s">
        <v>56</v>
      </c>
      <c r="F689" s="9">
        <v>0</v>
      </c>
      <c r="G689" s="9"/>
      <c r="H689" s="9">
        <v>0</v>
      </c>
      <c r="I689" s="9">
        <v>0</v>
      </c>
      <c r="J689" s="335"/>
      <c r="K689" s="9">
        <v>0</v>
      </c>
      <c r="L689" s="9">
        <v>12857.14286</v>
      </c>
      <c r="M689" s="9"/>
      <c r="N689" s="9">
        <v>12857.14286</v>
      </c>
    </row>
    <row r="690" spans="1:14" x14ac:dyDescent="0.25">
      <c r="A690" s="8"/>
      <c r="B690" s="8"/>
      <c r="C690" s="7"/>
      <c r="D690" s="7"/>
      <c r="E690" s="6" t="s">
        <v>165</v>
      </c>
      <c r="F690" s="5">
        <v>0</v>
      </c>
      <c r="G690" s="5"/>
      <c r="H690" s="5">
        <v>0</v>
      </c>
      <c r="I690" s="5">
        <v>0</v>
      </c>
      <c r="J690" s="337"/>
      <c r="K690" s="5">
        <v>0</v>
      </c>
      <c r="L690" s="5">
        <v>0</v>
      </c>
      <c r="M690" s="5"/>
      <c r="N690" s="5">
        <v>0</v>
      </c>
    </row>
    <row r="691" spans="1:14" x14ac:dyDescent="0.25">
      <c r="A691" s="8"/>
      <c r="B691" s="8"/>
      <c r="C691" s="7"/>
      <c r="D691" s="7"/>
      <c r="E691" s="6" t="s">
        <v>164</v>
      </c>
      <c r="F691" s="9">
        <v>0</v>
      </c>
      <c r="G691" s="9"/>
      <c r="H691" s="9">
        <v>0</v>
      </c>
      <c r="I691" s="9">
        <v>0</v>
      </c>
      <c r="J691" s="335"/>
      <c r="K691" s="9">
        <v>0</v>
      </c>
      <c r="L691" s="9">
        <v>12857.14286</v>
      </c>
      <c r="M691" s="9"/>
      <c r="N691" s="9">
        <v>12857.14286</v>
      </c>
    </row>
    <row r="692" spans="1:14" ht="25.5" x14ac:dyDescent="0.25">
      <c r="A692" s="39">
        <v>621</v>
      </c>
      <c r="B692" s="40"/>
      <c r="C692" s="39"/>
      <c r="D692" s="39"/>
      <c r="E692" s="38" t="s">
        <v>163</v>
      </c>
      <c r="F692" s="37">
        <f t="shared" ref="F692:L692" si="117">F693+F723+F783+F792+F799</f>
        <v>109366.1</v>
      </c>
      <c r="G692" s="37">
        <f t="shared" si="117"/>
        <v>43.750029999999946</v>
      </c>
      <c r="H692" s="37">
        <f t="shared" si="117"/>
        <v>109409.85003</v>
      </c>
      <c r="I692" s="37">
        <f t="shared" si="117"/>
        <v>98468.957890000005</v>
      </c>
      <c r="J692" s="37">
        <f t="shared" si="117"/>
        <v>0</v>
      </c>
      <c r="K692" s="37">
        <f t="shared" si="117"/>
        <v>98468.957890000005</v>
      </c>
      <c r="L692" s="37">
        <f t="shared" si="117"/>
        <v>100821.8</v>
      </c>
      <c r="M692" s="37"/>
      <c r="N692" s="37">
        <f>N693+N723+N783+N792+N799</f>
        <v>100821.8</v>
      </c>
    </row>
    <row r="693" spans="1:14" x14ac:dyDescent="0.25">
      <c r="A693" s="60"/>
      <c r="B693" s="22" t="s">
        <v>162</v>
      </c>
      <c r="C693" s="21"/>
      <c r="D693" s="21"/>
      <c r="E693" s="20" t="s">
        <v>161</v>
      </c>
      <c r="F693" s="26">
        <f>F694+F705+F716</f>
        <v>23499.1</v>
      </c>
      <c r="G693" s="26">
        <f>G694+G705+G716</f>
        <v>0</v>
      </c>
      <c r="H693" s="26">
        <f>H694+H705+H716</f>
        <v>23499.1</v>
      </c>
      <c r="I693" s="26">
        <f>I694+I705+I716</f>
        <v>22565.699999999997</v>
      </c>
      <c r="J693" s="336"/>
      <c r="K693" s="26">
        <f>K694+K705+K716</f>
        <v>22565.699999999997</v>
      </c>
      <c r="L693" s="26">
        <f>L694+L705+L716</f>
        <v>22864.199999999997</v>
      </c>
      <c r="M693" s="26"/>
      <c r="N693" s="26">
        <f>N694+N705+N716</f>
        <v>22864.199999999997</v>
      </c>
    </row>
    <row r="694" spans="1:14" x14ac:dyDescent="0.25">
      <c r="A694" s="60"/>
      <c r="B694" s="22" t="s">
        <v>160</v>
      </c>
      <c r="C694" s="21"/>
      <c r="D694" s="21"/>
      <c r="E694" s="20" t="s">
        <v>159</v>
      </c>
      <c r="F694" s="26">
        <f>F695+F701</f>
        <v>23058.5</v>
      </c>
      <c r="G694" s="26">
        <f>G695+G701</f>
        <v>0</v>
      </c>
      <c r="H694" s="26">
        <f>H695+H701</f>
        <v>23058.5</v>
      </c>
      <c r="I694" s="26">
        <f t="shared" ref="F694:N699" si="118">I695</f>
        <v>22356.6</v>
      </c>
      <c r="J694" s="336"/>
      <c r="K694" s="26">
        <f t="shared" si="118"/>
        <v>22356.6</v>
      </c>
      <c r="L694" s="26">
        <f t="shared" si="118"/>
        <v>22356.6</v>
      </c>
      <c r="M694" s="26"/>
      <c r="N694" s="26">
        <f t="shared" si="118"/>
        <v>22356.6</v>
      </c>
    </row>
    <row r="695" spans="1:14" x14ac:dyDescent="0.25">
      <c r="A695" s="60"/>
      <c r="B695" s="22"/>
      <c r="C695" s="21" t="s">
        <v>36</v>
      </c>
      <c r="D695" s="22"/>
      <c r="E695" s="27" t="s">
        <v>35</v>
      </c>
      <c r="F695" s="26">
        <f t="shared" si="118"/>
        <v>22821.8</v>
      </c>
      <c r="G695" s="26">
        <f t="shared" si="118"/>
        <v>0</v>
      </c>
      <c r="H695" s="26">
        <f t="shared" si="118"/>
        <v>22821.8</v>
      </c>
      <c r="I695" s="26">
        <f t="shared" si="118"/>
        <v>22356.6</v>
      </c>
      <c r="J695" s="336"/>
      <c r="K695" s="26">
        <f t="shared" si="118"/>
        <v>22356.6</v>
      </c>
      <c r="L695" s="26">
        <f t="shared" si="118"/>
        <v>22356.6</v>
      </c>
      <c r="M695" s="26"/>
      <c r="N695" s="26">
        <f t="shared" si="118"/>
        <v>22356.6</v>
      </c>
    </row>
    <row r="696" spans="1:14" ht="25.5" x14ac:dyDescent="0.25">
      <c r="A696" s="34"/>
      <c r="B696" s="33"/>
      <c r="C696" s="34" t="s">
        <v>65</v>
      </c>
      <c r="D696" s="33"/>
      <c r="E696" s="32" t="s">
        <v>64</v>
      </c>
      <c r="F696" s="31">
        <f t="shared" si="118"/>
        <v>22821.8</v>
      </c>
      <c r="G696" s="31">
        <f t="shared" si="118"/>
        <v>0</v>
      </c>
      <c r="H696" s="31">
        <f t="shared" si="118"/>
        <v>22821.8</v>
      </c>
      <c r="I696" s="31">
        <f t="shared" si="118"/>
        <v>22356.6</v>
      </c>
      <c r="J696" s="332"/>
      <c r="K696" s="31">
        <f t="shared" si="118"/>
        <v>22356.6</v>
      </c>
      <c r="L696" s="31">
        <f t="shared" si="118"/>
        <v>22356.6</v>
      </c>
      <c r="M696" s="31"/>
      <c r="N696" s="31">
        <f t="shared" si="118"/>
        <v>22356.6</v>
      </c>
    </row>
    <row r="697" spans="1:14" ht="26.25" x14ac:dyDescent="0.25">
      <c r="A697" s="30"/>
      <c r="B697" s="30"/>
      <c r="C697" s="30" t="s">
        <v>101</v>
      </c>
      <c r="D697" s="30"/>
      <c r="E697" s="50" t="s">
        <v>100</v>
      </c>
      <c r="F697" s="28">
        <f t="shared" si="118"/>
        <v>22821.8</v>
      </c>
      <c r="G697" s="28">
        <f t="shared" si="118"/>
        <v>0</v>
      </c>
      <c r="H697" s="28">
        <f t="shared" si="118"/>
        <v>22821.8</v>
      </c>
      <c r="I697" s="28">
        <f t="shared" si="118"/>
        <v>22356.6</v>
      </c>
      <c r="J697" s="333"/>
      <c r="K697" s="28">
        <f t="shared" si="118"/>
        <v>22356.6</v>
      </c>
      <c r="L697" s="28">
        <f t="shared" si="118"/>
        <v>22356.6</v>
      </c>
      <c r="M697" s="28"/>
      <c r="N697" s="28">
        <f t="shared" si="118"/>
        <v>22356.6</v>
      </c>
    </row>
    <row r="698" spans="1:14" ht="26.25" x14ac:dyDescent="0.25">
      <c r="A698" s="208"/>
      <c r="B698" s="208"/>
      <c r="C698" s="208" t="s">
        <v>158</v>
      </c>
      <c r="D698" s="208"/>
      <c r="E698" s="209" t="s">
        <v>157</v>
      </c>
      <c r="F698" s="210">
        <f t="shared" si="118"/>
        <v>22821.8</v>
      </c>
      <c r="G698" s="210">
        <f t="shared" si="118"/>
        <v>0</v>
      </c>
      <c r="H698" s="210">
        <f t="shared" si="118"/>
        <v>22821.8</v>
      </c>
      <c r="I698" s="210">
        <f t="shared" si="118"/>
        <v>22356.6</v>
      </c>
      <c r="J698" s="334"/>
      <c r="K698" s="210">
        <f t="shared" si="118"/>
        <v>22356.6</v>
      </c>
      <c r="L698" s="210">
        <f t="shared" si="118"/>
        <v>22356.6</v>
      </c>
      <c r="M698" s="210"/>
      <c r="N698" s="210">
        <f t="shared" si="118"/>
        <v>22356.6</v>
      </c>
    </row>
    <row r="699" spans="1:14" x14ac:dyDescent="0.25">
      <c r="A699" s="8"/>
      <c r="B699" s="8"/>
      <c r="C699" s="7" t="s">
        <v>156</v>
      </c>
      <c r="D699" s="7"/>
      <c r="E699" s="12" t="s">
        <v>155</v>
      </c>
      <c r="F699" s="9">
        <f t="shared" si="118"/>
        <v>22821.8</v>
      </c>
      <c r="G699" s="9">
        <f t="shared" si="118"/>
        <v>0</v>
      </c>
      <c r="H699" s="9">
        <f t="shared" si="118"/>
        <v>22821.8</v>
      </c>
      <c r="I699" s="9">
        <f t="shared" si="118"/>
        <v>22356.6</v>
      </c>
      <c r="J699" s="335"/>
      <c r="K699" s="9">
        <f t="shared" si="118"/>
        <v>22356.6</v>
      </c>
      <c r="L699" s="9">
        <f t="shared" si="118"/>
        <v>22356.6</v>
      </c>
      <c r="M699" s="9"/>
      <c r="N699" s="9">
        <f t="shared" si="118"/>
        <v>22356.6</v>
      </c>
    </row>
    <row r="700" spans="1:14" ht="26.25" x14ac:dyDescent="0.25">
      <c r="A700" s="8"/>
      <c r="B700" s="8"/>
      <c r="C700" s="7"/>
      <c r="D700" s="7" t="s">
        <v>57</v>
      </c>
      <c r="E700" s="6" t="s">
        <v>56</v>
      </c>
      <c r="F700" s="9">
        <v>22821.8</v>
      </c>
      <c r="G700" s="9"/>
      <c r="H700" s="9">
        <f>22356.6+465.2</f>
        <v>22821.8</v>
      </c>
      <c r="I700" s="9">
        <v>22356.6</v>
      </c>
      <c r="J700" s="335"/>
      <c r="K700" s="9">
        <v>22356.6</v>
      </c>
      <c r="L700" s="9">
        <v>22356.6</v>
      </c>
      <c r="M700" s="9"/>
      <c r="N700" s="9">
        <v>22356.6</v>
      </c>
    </row>
    <row r="701" spans="1:14" x14ac:dyDescent="0.25">
      <c r="A701" s="18"/>
      <c r="B701" s="18"/>
      <c r="C701" s="18" t="s">
        <v>18</v>
      </c>
      <c r="D701" s="18"/>
      <c r="E701" s="17" t="s">
        <v>17</v>
      </c>
      <c r="F701" s="16">
        <f t="shared" ref="F701:I702" si="119">F702</f>
        <v>236.7</v>
      </c>
      <c r="G701" s="16"/>
      <c r="H701" s="16">
        <f t="shared" si="119"/>
        <v>236.7</v>
      </c>
      <c r="I701" s="16">
        <f t="shared" si="119"/>
        <v>0</v>
      </c>
      <c r="J701" s="16"/>
      <c r="K701" s="16">
        <f>K702</f>
        <v>0</v>
      </c>
      <c r="L701" s="16">
        <f>L702</f>
        <v>0</v>
      </c>
      <c r="M701" s="16"/>
      <c r="N701" s="16">
        <f>N702</f>
        <v>0</v>
      </c>
    </row>
    <row r="702" spans="1:14" ht="26.25" x14ac:dyDescent="0.25">
      <c r="A702" s="15"/>
      <c r="B702" s="15"/>
      <c r="C702" s="15" t="s">
        <v>16</v>
      </c>
      <c r="D702" s="15"/>
      <c r="E702" s="14" t="s">
        <v>15</v>
      </c>
      <c r="F702" s="13">
        <f>F703</f>
        <v>236.7</v>
      </c>
      <c r="G702" s="13"/>
      <c r="H702" s="13">
        <f t="shared" si="119"/>
        <v>236.7</v>
      </c>
      <c r="I702" s="13">
        <f t="shared" si="119"/>
        <v>0</v>
      </c>
      <c r="J702" s="13"/>
      <c r="K702" s="13">
        <f>K703</f>
        <v>0</v>
      </c>
      <c r="L702" s="13">
        <f>L703</f>
        <v>0</v>
      </c>
      <c r="M702" s="13"/>
      <c r="N702" s="13">
        <f>N703</f>
        <v>0</v>
      </c>
    </row>
    <row r="703" spans="1:14" x14ac:dyDescent="0.25">
      <c r="A703" s="8"/>
      <c r="B703" s="8"/>
      <c r="C703" s="52" t="s">
        <v>526</v>
      </c>
      <c r="D703" s="52"/>
      <c r="E703" s="10" t="s">
        <v>525</v>
      </c>
      <c r="F703" s="9">
        <f>F704</f>
        <v>236.7</v>
      </c>
      <c r="G703" s="9"/>
      <c r="H703" s="9">
        <f>H704</f>
        <v>236.7</v>
      </c>
      <c r="I703" s="9">
        <v>0</v>
      </c>
      <c r="J703" s="335"/>
      <c r="K703" s="9">
        <v>0</v>
      </c>
      <c r="L703" s="9">
        <v>0</v>
      </c>
      <c r="M703" s="9"/>
      <c r="N703" s="9">
        <v>0</v>
      </c>
    </row>
    <row r="704" spans="1:14" ht="26.25" x14ac:dyDescent="0.25">
      <c r="A704" s="8"/>
      <c r="B704" s="8"/>
      <c r="C704" s="52"/>
      <c r="D704" s="7" t="s">
        <v>57</v>
      </c>
      <c r="E704" s="6" t="s">
        <v>56</v>
      </c>
      <c r="F704" s="9">
        <v>236.7</v>
      </c>
      <c r="G704" s="9"/>
      <c r="H704" s="9">
        <f>0+236.7</f>
        <v>236.7</v>
      </c>
      <c r="I704" s="9">
        <f>1193.9-1193.9</f>
        <v>0</v>
      </c>
      <c r="J704" s="335"/>
      <c r="K704" s="9">
        <f>1193.9-1193.9</f>
        <v>0</v>
      </c>
      <c r="L704" s="9">
        <f>1243.6-1243.6</f>
        <v>0</v>
      </c>
      <c r="M704" s="9"/>
      <c r="N704" s="9">
        <f>1243.6-1243.6</f>
        <v>0</v>
      </c>
    </row>
    <row r="705" spans="1:14" x14ac:dyDescent="0.25">
      <c r="A705" s="51"/>
      <c r="B705" s="22" t="s">
        <v>154</v>
      </c>
      <c r="C705" s="21"/>
      <c r="D705" s="22"/>
      <c r="E705" s="20" t="s">
        <v>153</v>
      </c>
      <c r="F705" s="26">
        <f t="shared" ref="F705:N708" si="120">F706</f>
        <v>298.5</v>
      </c>
      <c r="G705" s="26"/>
      <c r="H705" s="26">
        <f t="shared" si="120"/>
        <v>298.5</v>
      </c>
      <c r="I705" s="26">
        <f t="shared" si="120"/>
        <v>67</v>
      </c>
      <c r="J705" s="336"/>
      <c r="K705" s="26">
        <f t="shared" si="120"/>
        <v>67</v>
      </c>
      <c r="L705" s="26">
        <f t="shared" si="120"/>
        <v>365.5</v>
      </c>
      <c r="M705" s="26"/>
      <c r="N705" s="26">
        <f t="shared" si="120"/>
        <v>365.5</v>
      </c>
    </row>
    <row r="706" spans="1:14" x14ac:dyDescent="0.25">
      <c r="A706" s="51"/>
      <c r="B706" s="22"/>
      <c r="C706" s="21" t="s">
        <v>36</v>
      </c>
      <c r="D706" s="22"/>
      <c r="E706" s="27" t="s">
        <v>35</v>
      </c>
      <c r="F706" s="26">
        <f t="shared" si="120"/>
        <v>298.5</v>
      </c>
      <c r="G706" s="26"/>
      <c r="H706" s="26">
        <f t="shared" si="120"/>
        <v>298.5</v>
      </c>
      <c r="I706" s="26">
        <f t="shared" si="120"/>
        <v>67</v>
      </c>
      <c r="J706" s="336"/>
      <c r="K706" s="26">
        <f t="shared" si="120"/>
        <v>67</v>
      </c>
      <c r="L706" s="26">
        <f t="shared" si="120"/>
        <v>365.5</v>
      </c>
      <c r="M706" s="26"/>
      <c r="N706" s="26">
        <f t="shared" si="120"/>
        <v>365.5</v>
      </c>
    </row>
    <row r="707" spans="1:14" ht="25.5" x14ac:dyDescent="0.25">
      <c r="A707" s="34"/>
      <c r="B707" s="33"/>
      <c r="C707" s="34" t="s">
        <v>65</v>
      </c>
      <c r="D707" s="33"/>
      <c r="E707" s="32" t="s">
        <v>64</v>
      </c>
      <c r="F707" s="31">
        <f t="shared" si="120"/>
        <v>298.5</v>
      </c>
      <c r="G707" s="31"/>
      <c r="H707" s="31">
        <f t="shared" si="120"/>
        <v>298.5</v>
      </c>
      <c r="I707" s="31">
        <f t="shared" si="120"/>
        <v>67</v>
      </c>
      <c r="J707" s="332"/>
      <c r="K707" s="31">
        <f t="shared" si="120"/>
        <v>67</v>
      </c>
      <c r="L707" s="31">
        <f t="shared" si="120"/>
        <v>365.5</v>
      </c>
      <c r="M707" s="31"/>
      <c r="N707" s="31">
        <f t="shared" si="120"/>
        <v>365.5</v>
      </c>
    </row>
    <row r="708" spans="1:14" x14ac:dyDescent="0.25">
      <c r="A708" s="30"/>
      <c r="B708" s="30"/>
      <c r="C708" s="30" t="s">
        <v>152</v>
      </c>
      <c r="D708" s="30"/>
      <c r="E708" s="50" t="s">
        <v>151</v>
      </c>
      <c r="F708" s="28">
        <f t="shared" si="120"/>
        <v>298.5</v>
      </c>
      <c r="G708" s="28"/>
      <c r="H708" s="28">
        <f t="shared" si="120"/>
        <v>298.5</v>
      </c>
      <c r="I708" s="28">
        <f t="shared" si="120"/>
        <v>67</v>
      </c>
      <c r="J708" s="333"/>
      <c r="K708" s="28">
        <f t="shared" si="120"/>
        <v>67</v>
      </c>
      <c r="L708" s="28">
        <f t="shared" si="120"/>
        <v>365.5</v>
      </c>
      <c r="M708" s="28"/>
      <c r="N708" s="28">
        <f t="shared" si="120"/>
        <v>365.5</v>
      </c>
    </row>
    <row r="709" spans="1:14" x14ac:dyDescent="0.25">
      <c r="A709" s="208"/>
      <c r="B709" s="208"/>
      <c r="C709" s="208" t="s">
        <v>150</v>
      </c>
      <c r="D709" s="208"/>
      <c r="E709" s="209" t="s">
        <v>149</v>
      </c>
      <c r="F709" s="210">
        <f>F710+F712</f>
        <v>298.5</v>
      </c>
      <c r="G709" s="210"/>
      <c r="H709" s="210">
        <f>H710+H712</f>
        <v>298.5</v>
      </c>
      <c r="I709" s="210">
        <f>I710+I712</f>
        <v>67</v>
      </c>
      <c r="J709" s="334"/>
      <c r="K709" s="210">
        <f>K710+K712</f>
        <v>67</v>
      </c>
      <c r="L709" s="210">
        <f>L710+L712</f>
        <v>365.5</v>
      </c>
      <c r="M709" s="210"/>
      <c r="N709" s="210">
        <f>N710+N712</f>
        <v>365.5</v>
      </c>
    </row>
    <row r="710" spans="1:14" ht="64.5" x14ac:dyDescent="0.25">
      <c r="A710" s="8"/>
      <c r="B710" s="8"/>
      <c r="C710" s="7" t="s">
        <v>148</v>
      </c>
      <c r="D710" s="7"/>
      <c r="E710" s="6" t="s">
        <v>147</v>
      </c>
      <c r="F710" s="9">
        <f>F711</f>
        <v>298.5</v>
      </c>
      <c r="G710" s="9"/>
      <c r="H710" s="9">
        <f>H711</f>
        <v>298.5</v>
      </c>
      <c r="I710" s="9">
        <f>I711</f>
        <v>0</v>
      </c>
      <c r="J710" s="335"/>
      <c r="K710" s="9">
        <f>K711</f>
        <v>0</v>
      </c>
      <c r="L710" s="9">
        <f>L711</f>
        <v>298.5</v>
      </c>
      <c r="M710" s="9"/>
      <c r="N710" s="9">
        <f>N711</f>
        <v>298.5</v>
      </c>
    </row>
    <row r="711" spans="1:14" ht="26.25" x14ac:dyDescent="0.25">
      <c r="A711" s="8"/>
      <c r="B711" s="8"/>
      <c r="C711" s="7"/>
      <c r="D711" s="7" t="s">
        <v>57</v>
      </c>
      <c r="E711" s="6" t="s">
        <v>56</v>
      </c>
      <c r="F711" s="9">
        <v>298.5</v>
      </c>
      <c r="G711" s="9"/>
      <c r="H711" s="9">
        <v>298.5</v>
      </c>
      <c r="I711" s="9">
        <v>0</v>
      </c>
      <c r="J711" s="335"/>
      <c r="K711" s="9">
        <v>0</v>
      </c>
      <c r="L711" s="9">
        <v>298.5</v>
      </c>
      <c r="M711" s="9"/>
      <c r="N711" s="9">
        <v>298.5</v>
      </c>
    </row>
    <row r="712" spans="1:14" x14ac:dyDescent="0.25">
      <c r="A712" s="8"/>
      <c r="B712" s="8"/>
      <c r="C712" s="52" t="s">
        <v>146</v>
      </c>
      <c r="D712" s="52"/>
      <c r="E712" s="10" t="s">
        <v>145</v>
      </c>
      <c r="F712" s="9">
        <f>F713</f>
        <v>0</v>
      </c>
      <c r="G712" s="9"/>
      <c r="H712" s="9">
        <f>H713</f>
        <v>0</v>
      </c>
      <c r="I712" s="9">
        <f>I713</f>
        <v>67</v>
      </c>
      <c r="J712" s="335"/>
      <c r="K712" s="9">
        <f>K713</f>
        <v>67</v>
      </c>
      <c r="L712" s="9">
        <f>L713</f>
        <v>67</v>
      </c>
      <c r="M712" s="9"/>
      <c r="N712" s="9">
        <f>N713</f>
        <v>67</v>
      </c>
    </row>
    <row r="713" spans="1:14" ht="26.25" x14ac:dyDescent="0.25">
      <c r="A713" s="8"/>
      <c r="B713" s="8"/>
      <c r="C713" s="52"/>
      <c r="D713" s="7" t="s">
        <v>57</v>
      </c>
      <c r="E713" s="6" t="s">
        <v>56</v>
      </c>
      <c r="F713" s="9">
        <f>F715</f>
        <v>0</v>
      </c>
      <c r="G713" s="9"/>
      <c r="H713" s="9">
        <f>H715</f>
        <v>0</v>
      </c>
      <c r="I713" s="9">
        <f>I715</f>
        <v>67</v>
      </c>
      <c r="J713" s="335"/>
      <c r="K713" s="9">
        <f>K715</f>
        <v>67</v>
      </c>
      <c r="L713" s="9">
        <f>L715</f>
        <v>67</v>
      </c>
      <c r="M713" s="9"/>
      <c r="N713" s="9">
        <f>N715</f>
        <v>67</v>
      </c>
    </row>
    <row r="714" spans="1:14" x14ac:dyDescent="0.25">
      <c r="A714" s="8"/>
      <c r="B714" s="8"/>
      <c r="C714" s="7"/>
      <c r="D714" s="7"/>
      <c r="E714" s="10" t="s">
        <v>114</v>
      </c>
      <c r="F714" s="9">
        <v>0</v>
      </c>
      <c r="G714" s="9"/>
      <c r="H714" s="9">
        <v>0</v>
      </c>
      <c r="I714" s="9">
        <v>0</v>
      </c>
      <c r="J714" s="335"/>
      <c r="K714" s="9">
        <v>0</v>
      </c>
      <c r="L714" s="9">
        <v>0</v>
      </c>
      <c r="M714" s="9"/>
      <c r="N714" s="9">
        <v>0</v>
      </c>
    </row>
    <row r="715" spans="1:14" x14ac:dyDescent="0.25">
      <c r="A715" s="8"/>
      <c r="B715" s="8"/>
      <c r="C715" s="7"/>
      <c r="D715" s="7"/>
      <c r="E715" s="10" t="s">
        <v>106</v>
      </c>
      <c r="F715" s="9">
        <v>0</v>
      </c>
      <c r="G715" s="9"/>
      <c r="H715" s="9">
        <v>0</v>
      </c>
      <c r="I715" s="9">
        <v>67</v>
      </c>
      <c r="J715" s="335"/>
      <c r="K715" s="9">
        <v>67</v>
      </c>
      <c r="L715" s="9">
        <v>67</v>
      </c>
      <c r="M715" s="9"/>
      <c r="N715" s="9">
        <v>67</v>
      </c>
    </row>
    <row r="716" spans="1:14" x14ac:dyDescent="0.25">
      <c r="A716" s="51"/>
      <c r="B716" s="22" t="s">
        <v>144</v>
      </c>
      <c r="C716" s="21"/>
      <c r="D716" s="22"/>
      <c r="E716" s="27" t="s">
        <v>143</v>
      </c>
      <c r="F716" s="26">
        <f t="shared" ref="F716:N721" si="121">F717</f>
        <v>142.1</v>
      </c>
      <c r="G716" s="26"/>
      <c r="H716" s="26">
        <f t="shared" si="121"/>
        <v>142.1</v>
      </c>
      <c r="I716" s="26">
        <f t="shared" si="121"/>
        <v>142.1</v>
      </c>
      <c r="J716" s="336"/>
      <c r="K716" s="26">
        <f t="shared" si="121"/>
        <v>142.1</v>
      </c>
      <c r="L716" s="26">
        <f t="shared" si="121"/>
        <v>142.1</v>
      </c>
      <c r="M716" s="26"/>
      <c r="N716" s="26">
        <f t="shared" si="121"/>
        <v>142.1</v>
      </c>
    </row>
    <row r="717" spans="1:14" x14ac:dyDescent="0.25">
      <c r="A717" s="51"/>
      <c r="B717" s="22"/>
      <c r="C717" s="21" t="s">
        <v>36</v>
      </c>
      <c r="D717" s="22"/>
      <c r="E717" s="27" t="s">
        <v>35</v>
      </c>
      <c r="F717" s="26">
        <f t="shared" si="121"/>
        <v>142.1</v>
      </c>
      <c r="G717" s="26"/>
      <c r="H717" s="26">
        <f t="shared" si="121"/>
        <v>142.1</v>
      </c>
      <c r="I717" s="26">
        <f t="shared" si="121"/>
        <v>142.1</v>
      </c>
      <c r="J717" s="336"/>
      <c r="K717" s="26">
        <f t="shared" si="121"/>
        <v>142.1</v>
      </c>
      <c r="L717" s="26">
        <f t="shared" si="121"/>
        <v>142.1</v>
      </c>
      <c r="M717" s="26"/>
      <c r="N717" s="26">
        <f t="shared" si="121"/>
        <v>142.1</v>
      </c>
    </row>
    <row r="718" spans="1:14" ht="25.5" x14ac:dyDescent="0.25">
      <c r="A718" s="34"/>
      <c r="B718" s="33"/>
      <c r="C718" s="34" t="s">
        <v>87</v>
      </c>
      <c r="D718" s="33"/>
      <c r="E718" s="32" t="s">
        <v>86</v>
      </c>
      <c r="F718" s="31">
        <f t="shared" si="121"/>
        <v>142.1</v>
      </c>
      <c r="G718" s="31"/>
      <c r="H718" s="31">
        <f t="shared" si="121"/>
        <v>142.1</v>
      </c>
      <c r="I718" s="31">
        <f t="shared" si="121"/>
        <v>142.1</v>
      </c>
      <c r="J718" s="332"/>
      <c r="K718" s="31">
        <f t="shared" si="121"/>
        <v>142.1</v>
      </c>
      <c r="L718" s="31">
        <f t="shared" si="121"/>
        <v>142.1</v>
      </c>
      <c r="M718" s="31"/>
      <c r="N718" s="31">
        <f t="shared" si="121"/>
        <v>142.1</v>
      </c>
    </row>
    <row r="719" spans="1:14" x14ac:dyDescent="0.25">
      <c r="A719" s="30"/>
      <c r="B719" s="30"/>
      <c r="C719" s="30" t="s">
        <v>142</v>
      </c>
      <c r="D719" s="30"/>
      <c r="E719" s="29" t="s">
        <v>141</v>
      </c>
      <c r="F719" s="28">
        <f t="shared" si="121"/>
        <v>142.1</v>
      </c>
      <c r="G719" s="28"/>
      <c r="H719" s="28">
        <f t="shared" si="121"/>
        <v>142.1</v>
      </c>
      <c r="I719" s="28">
        <f t="shared" si="121"/>
        <v>142.1</v>
      </c>
      <c r="J719" s="333"/>
      <c r="K719" s="28">
        <f t="shared" si="121"/>
        <v>142.1</v>
      </c>
      <c r="L719" s="28">
        <f t="shared" si="121"/>
        <v>142.1</v>
      </c>
      <c r="M719" s="28"/>
      <c r="N719" s="28">
        <f t="shared" si="121"/>
        <v>142.1</v>
      </c>
    </row>
    <row r="720" spans="1:14" ht="27" customHeight="1" x14ac:dyDescent="0.25">
      <c r="A720" s="208"/>
      <c r="B720" s="208"/>
      <c r="C720" s="208" t="s">
        <v>140</v>
      </c>
      <c r="D720" s="208"/>
      <c r="E720" s="209" t="s">
        <v>139</v>
      </c>
      <c r="F720" s="210">
        <f t="shared" si="121"/>
        <v>142.1</v>
      </c>
      <c r="G720" s="210"/>
      <c r="H720" s="210">
        <f t="shared" si="121"/>
        <v>142.1</v>
      </c>
      <c r="I720" s="210">
        <f t="shared" si="121"/>
        <v>142.1</v>
      </c>
      <c r="J720" s="334"/>
      <c r="K720" s="210">
        <f t="shared" si="121"/>
        <v>142.1</v>
      </c>
      <c r="L720" s="210">
        <f t="shared" si="121"/>
        <v>142.1</v>
      </c>
      <c r="M720" s="210"/>
      <c r="N720" s="210">
        <f t="shared" si="121"/>
        <v>142.1</v>
      </c>
    </row>
    <row r="721" spans="1:14" ht="26.25" x14ac:dyDescent="0.25">
      <c r="A721" s="8"/>
      <c r="B721" s="8"/>
      <c r="C721" s="7" t="s">
        <v>138</v>
      </c>
      <c r="D721" s="7"/>
      <c r="E721" s="6" t="s">
        <v>137</v>
      </c>
      <c r="F721" s="9">
        <f t="shared" si="121"/>
        <v>142.1</v>
      </c>
      <c r="G721" s="9"/>
      <c r="H721" s="9">
        <f t="shared" si="121"/>
        <v>142.1</v>
      </c>
      <c r="I721" s="9">
        <f t="shared" si="121"/>
        <v>142.1</v>
      </c>
      <c r="J721" s="335"/>
      <c r="K721" s="9">
        <f t="shared" si="121"/>
        <v>142.1</v>
      </c>
      <c r="L721" s="9">
        <f t="shared" si="121"/>
        <v>142.1</v>
      </c>
      <c r="M721" s="9"/>
      <c r="N721" s="9">
        <f t="shared" si="121"/>
        <v>142.1</v>
      </c>
    </row>
    <row r="722" spans="1:14" ht="26.25" x14ac:dyDescent="0.25">
      <c r="A722" s="8"/>
      <c r="B722" s="8"/>
      <c r="C722" s="7"/>
      <c r="D722" s="7" t="s">
        <v>57</v>
      </c>
      <c r="E722" s="6" t="s">
        <v>56</v>
      </c>
      <c r="F722" s="9">
        <v>142.1</v>
      </c>
      <c r="G722" s="9"/>
      <c r="H722" s="9">
        <v>142.1</v>
      </c>
      <c r="I722" s="9">
        <v>142.1</v>
      </c>
      <c r="J722" s="335"/>
      <c r="K722" s="9">
        <v>142.1</v>
      </c>
      <c r="L722" s="9">
        <v>142.1</v>
      </c>
      <c r="M722" s="9"/>
      <c r="N722" s="9">
        <v>142.1</v>
      </c>
    </row>
    <row r="723" spans="1:14" x14ac:dyDescent="0.25">
      <c r="A723" s="21"/>
      <c r="B723" s="22" t="s">
        <v>136</v>
      </c>
      <c r="C723" s="21"/>
      <c r="D723" s="21"/>
      <c r="E723" s="20" t="s">
        <v>135</v>
      </c>
      <c r="F723" s="26">
        <f>F724+F756</f>
        <v>84270</v>
      </c>
      <c r="G723" s="26">
        <f>G724+G756</f>
        <v>43.750029999999946</v>
      </c>
      <c r="H723" s="26">
        <f>H724+H756</f>
        <v>84313.75003000001</v>
      </c>
      <c r="I723" s="26">
        <f>I724+I756</f>
        <v>74479.157890000002</v>
      </c>
      <c r="J723" s="336"/>
      <c r="K723" s="26">
        <f>K724+K756</f>
        <v>74479.157890000002</v>
      </c>
      <c r="L723" s="26">
        <f>L724+L756</f>
        <v>76457.5</v>
      </c>
      <c r="M723" s="26"/>
      <c r="N723" s="26">
        <f>N724+N756</f>
        <v>76457.5</v>
      </c>
    </row>
    <row r="724" spans="1:14" x14ac:dyDescent="0.25">
      <c r="A724" s="36"/>
      <c r="B724" s="22" t="s">
        <v>134</v>
      </c>
      <c r="C724" s="21"/>
      <c r="D724" s="21"/>
      <c r="E724" s="20" t="s">
        <v>133</v>
      </c>
      <c r="F724" s="26">
        <f t="shared" ref="F724:N726" si="122">F725</f>
        <v>78219.600000000006</v>
      </c>
      <c r="G724" s="26">
        <f t="shared" si="122"/>
        <v>-5.6843418860808015E-14</v>
      </c>
      <c r="H724" s="26">
        <f t="shared" si="122"/>
        <v>78219.600000000006</v>
      </c>
      <c r="I724" s="26">
        <f t="shared" si="122"/>
        <v>70695.357889999999</v>
      </c>
      <c r="J724" s="336"/>
      <c r="K724" s="26">
        <f t="shared" si="122"/>
        <v>70695.357889999999</v>
      </c>
      <c r="L724" s="26">
        <f t="shared" si="122"/>
        <v>71195.199999999997</v>
      </c>
      <c r="M724" s="26"/>
      <c r="N724" s="26">
        <f t="shared" si="122"/>
        <v>71195.199999999997</v>
      </c>
    </row>
    <row r="725" spans="1:14" x14ac:dyDescent="0.25">
      <c r="A725" s="36"/>
      <c r="B725" s="22"/>
      <c r="C725" s="21" t="s">
        <v>36</v>
      </c>
      <c r="D725" s="22"/>
      <c r="E725" s="27" t="s">
        <v>35</v>
      </c>
      <c r="F725" s="26">
        <f t="shared" si="122"/>
        <v>78219.600000000006</v>
      </c>
      <c r="G725" s="26">
        <f t="shared" si="122"/>
        <v>-5.6843418860808015E-14</v>
      </c>
      <c r="H725" s="26">
        <f t="shared" si="122"/>
        <v>78219.600000000006</v>
      </c>
      <c r="I725" s="26">
        <f t="shared" si="122"/>
        <v>70695.357889999999</v>
      </c>
      <c r="J725" s="336"/>
      <c r="K725" s="26">
        <f t="shared" si="122"/>
        <v>70695.357889999999</v>
      </c>
      <c r="L725" s="26">
        <f t="shared" si="122"/>
        <v>71195.199999999997</v>
      </c>
      <c r="M725" s="26"/>
      <c r="N725" s="26">
        <f t="shared" si="122"/>
        <v>71195.199999999997</v>
      </c>
    </row>
    <row r="726" spans="1:14" ht="25.5" x14ac:dyDescent="0.25">
      <c r="A726" s="34"/>
      <c r="B726" s="33"/>
      <c r="C726" s="34" t="s">
        <v>65</v>
      </c>
      <c r="D726" s="33"/>
      <c r="E726" s="32" t="s">
        <v>64</v>
      </c>
      <c r="F726" s="31">
        <f t="shared" si="122"/>
        <v>78219.600000000006</v>
      </c>
      <c r="G726" s="31">
        <f t="shared" si="122"/>
        <v>-5.6843418860808015E-14</v>
      </c>
      <c r="H726" s="31">
        <f t="shared" si="122"/>
        <v>78219.600000000006</v>
      </c>
      <c r="I726" s="31">
        <f t="shared" si="122"/>
        <v>70695.357889999999</v>
      </c>
      <c r="J726" s="332"/>
      <c r="K726" s="31">
        <f t="shared" si="122"/>
        <v>70695.357889999999</v>
      </c>
      <c r="L726" s="31">
        <f t="shared" si="122"/>
        <v>71195.199999999997</v>
      </c>
      <c r="M726" s="31"/>
      <c r="N726" s="31">
        <f t="shared" si="122"/>
        <v>71195.199999999997</v>
      </c>
    </row>
    <row r="727" spans="1:14" ht="26.25" x14ac:dyDescent="0.25">
      <c r="A727" s="30"/>
      <c r="B727" s="30"/>
      <c r="C727" s="30" t="s">
        <v>101</v>
      </c>
      <c r="D727" s="30"/>
      <c r="E727" s="50" t="s">
        <v>100</v>
      </c>
      <c r="F727" s="28">
        <f>F728+F731+F736+F739+F749</f>
        <v>78219.600000000006</v>
      </c>
      <c r="G727" s="28">
        <f>G728+G731+G736+G739+G749</f>
        <v>-5.6843418860808015E-14</v>
      </c>
      <c r="H727" s="28">
        <f>H728+H731+H736+H739+H749</f>
        <v>78219.600000000006</v>
      </c>
      <c r="I727" s="28">
        <f>I728+I731+I736+I739+I749</f>
        <v>70695.357889999999</v>
      </c>
      <c r="J727" s="333"/>
      <c r="K727" s="28">
        <f>K728+K731+K736+K739+K749</f>
        <v>70695.357889999999</v>
      </c>
      <c r="L727" s="28">
        <f>L728+L731+L736+L739+L749</f>
        <v>71195.199999999997</v>
      </c>
      <c r="M727" s="28"/>
      <c r="N727" s="28">
        <f>N728+N731+N736+N739+N749</f>
        <v>71195.199999999997</v>
      </c>
    </row>
    <row r="728" spans="1:14" ht="39" x14ac:dyDescent="0.25">
      <c r="A728" s="208"/>
      <c r="B728" s="208"/>
      <c r="C728" s="208" t="s">
        <v>132</v>
      </c>
      <c r="D728" s="208"/>
      <c r="E728" s="209" t="s">
        <v>131</v>
      </c>
      <c r="F728" s="210">
        <f t="shared" ref="F728:N729" si="123">F729</f>
        <v>48819.100000000006</v>
      </c>
      <c r="G728" s="210">
        <f t="shared" si="123"/>
        <v>0</v>
      </c>
      <c r="H728" s="210">
        <f t="shared" si="123"/>
        <v>48819.100000000006</v>
      </c>
      <c r="I728" s="210">
        <f t="shared" si="123"/>
        <v>48475.8</v>
      </c>
      <c r="J728" s="334"/>
      <c r="K728" s="210">
        <f t="shared" si="123"/>
        <v>48475.8</v>
      </c>
      <c r="L728" s="210">
        <f t="shared" si="123"/>
        <v>48475.8</v>
      </c>
      <c r="M728" s="210"/>
      <c r="N728" s="210">
        <f t="shared" si="123"/>
        <v>48475.8</v>
      </c>
    </row>
    <row r="729" spans="1:14" x14ac:dyDescent="0.25">
      <c r="A729" s="7"/>
      <c r="B729" s="7"/>
      <c r="C729" s="7" t="s">
        <v>130</v>
      </c>
      <c r="D729" s="7"/>
      <c r="E729" s="12" t="s">
        <v>129</v>
      </c>
      <c r="F729" s="9">
        <f t="shared" si="123"/>
        <v>48819.100000000006</v>
      </c>
      <c r="G729" s="9">
        <f t="shared" si="123"/>
        <v>0</v>
      </c>
      <c r="H729" s="9">
        <f t="shared" si="123"/>
        <v>48819.100000000006</v>
      </c>
      <c r="I729" s="9">
        <f t="shared" si="123"/>
        <v>48475.8</v>
      </c>
      <c r="J729" s="335"/>
      <c r="K729" s="9">
        <f t="shared" si="123"/>
        <v>48475.8</v>
      </c>
      <c r="L729" s="9">
        <f t="shared" si="123"/>
        <v>48475.8</v>
      </c>
      <c r="M729" s="9"/>
      <c r="N729" s="9">
        <f t="shared" si="123"/>
        <v>48475.8</v>
      </c>
    </row>
    <row r="730" spans="1:14" ht="26.25" x14ac:dyDescent="0.25">
      <c r="A730" s="7"/>
      <c r="B730" s="7"/>
      <c r="C730" s="7"/>
      <c r="D730" s="7" t="s">
        <v>57</v>
      </c>
      <c r="E730" s="6" t="s">
        <v>56</v>
      </c>
      <c r="F730" s="9">
        <v>48819.100000000006</v>
      </c>
      <c r="G730" s="9"/>
      <c r="H730" s="9">
        <f>49854.3-1378.5+343.3</f>
        <v>48819.100000000006</v>
      </c>
      <c r="I730" s="9">
        <f>49854.3-1378.5</f>
        <v>48475.8</v>
      </c>
      <c r="J730" s="335"/>
      <c r="K730" s="9">
        <f>49854.3-1378.5</f>
        <v>48475.8</v>
      </c>
      <c r="L730" s="9">
        <f>49854.3-1378.5</f>
        <v>48475.8</v>
      </c>
      <c r="M730" s="9"/>
      <c r="N730" s="9">
        <f>49854.3-1378.5</f>
        <v>48475.8</v>
      </c>
    </row>
    <row r="731" spans="1:14" x14ac:dyDescent="0.25">
      <c r="A731" s="208"/>
      <c r="B731" s="208"/>
      <c r="C731" s="208" t="s">
        <v>128</v>
      </c>
      <c r="D731" s="208"/>
      <c r="E731" s="209" t="s">
        <v>127</v>
      </c>
      <c r="F731" s="210">
        <f>F732+F734</f>
        <v>24594.400000000001</v>
      </c>
      <c r="G731" s="210">
        <f>G732+G734</f>
        <v>0</v>
      </c>
      <c r="H731" s="210">
        <f>H732+H734</f>
        <v>24594.400000000001</v>
      </c>
      <c r="I731" s="210">
        <f>I732+I734</f>
        <v>20746</v>
      </c>
      <c r="J731" s="334"/>
      <c r="K731" s="210">
        <f>K732+K734</f>
        <v>20746</v>
      </c>
      <c r="L731" s="210">
        <f>L732+L734</f>
        <v>21246</v>
      </c>
      <c r="M731" s="210"/>
      <c r="N731" s="210">
        <f>N732+N734</f>
        <v>21246</v>
      </c>
    </row>
    <row r="732" spans="1:14" ht="26.25" x14ac:dyDescent="0.25">
      <c r="A732" s="7"/>
      <c r="B732" s="7"/>
      <c r="C732" s="7" t="s">
        <v>126</v>
      </c>
      <c r="D732" s="7"/>
      <c r="E732" s="12" t="s">
        <v>125</v>
      </c>
      <c r="F732" s="9">
        <f>F733</f>
        <v>24094.400000000001</v>
      </c>
      <c r="G732" s="9">
        <f>G733</f>
        <v>0</v>
      </c>
      <c r="H732" s="9">
        <f>H733</f>
        <v>24094.400000000001</v>
      </c>
      <c r="I732" s="9">
        <f>I733</f>
        <v>20746</v>
      </c>
      <c r="J732" s="335"/>
      <c r="K732" s="9">
        <f>K733</f>
        <v>20746</v>
      </c>
      <c r="L732" s="9">
        <f>L733</f>
        <v>20746</v>
      </c>
      <c r="M732" s="9"/>
      <c r="N732" s="9">
        <f>N733</f>
        <v>20746</v>
      </c>
    </row>
    <row r="733" spans="1:14" ht="26.25" x14ac:dyDescent="0.25">
      <c r="A733" s="7"/>
      <c r="B733" s="7"/>
      <c r="C733" s="7"/>
      <c r="D733" s="7" t="s">
        <v>57</v>
      </c>
      <c r="E733" s="6" t="s">
        <v>56</v>
      </c>
      <c r="F733" s="9">
        <v>24094.400000000001</v>
      </c>
      <c r="G733" s="9"/>
      <c r="H733" s="9">
        <f>20746+1245.9+2152.5-50</f>
        <v>24094.400000000001</v>
      </c>
      <c r="I733" s="9">
        <v>20746</v>
      </c>
      <c r="J733" s="335"/>
      <c r="K733" s="9">
        <v>20746</v>
      </c>
      <c r="L733" s="9">
        <v>20746</v>
      </c>
      <c r="M733" s="9"/>
      <c r="N733" s="9">
        <v>20746</v>
      </c>
    </row>
    <row r="734" spans="1:14" x14ac:dyDescent="0.25">
      <c r="A734" s="7"/>
      <c r="B734" s="7"/>
      <c r="C734" s="7" t="s">
        <v>124</v>
      </c>
      <c r="D734" s="7"/>
      <c r="E734" s="12" t="s">
        <v>123</v>
      </c>
      <c r="F734" s="9">
        <v>500</v>
      </c>
      <c r="G734" s="9"/>
      <c r="H734" s="9">
        <v>500</v>
      </c>
      <c r="I734" s="9">
        <v>0</v>
      </c>
      <c r="J734" s="335"/>
      <c r="K734" s="9">
        <v>0</v>
      </c>
      <c r="L734" s="9">
        <v>500</v>
      </c>
      <c r="M734" s="9"/>
      <c r="N734" s="9">
        <v>500</v>
      </c>
    </row>
    <row r="735" spans="1:14" ht="26.25" x14ac:dyDescent="0.25">
      <c r="A735" s="7"/>
      <c r="B735" s="7"/>
      <c r="C735" s="7"/>
      <c r="D735" s="7" t="s">
        <v>57</v>
      </c>
      <c r="E735" s="6" t="s">
        <v>56</v>
      </c>
      <c r="F735" s="9">
        <v>500</v>
      </c>
      <c r="G735" s="9"/>
      <c r="H735" s="9">
        <v>500</v>
      </c>
      <c r="I735" s="9">
        <v>0</v>
      </c>
      <c r="J735" s="335"/>
      <c r="K735" s="9">
        <v>0</v>
      </c>
      <c r="L735" s="9">
        <v>500</v>
      </c>
      <c r="M735" s="9"/>
      <c r="N735" s="9">
        <v>500</v>
      </c>
    </row>
    <row r="736" spans="1:14" ht="26.25" x14ac:dyDescent="0.25">
      <c r="A736" s="208"/>
      <c r="B736" s="208"/>
      <c r="C736" s="208" t="s">
        <v>122</v>
      </c>
      <c r="D736" s="208"/>
      <c r="E736" s="209" t="s">
        <v>121</v>
      </c>
      <c r="F736" s="210">
        <f t="shared" ref="F736:N737" si="124">F737</f>
        <v>1706.1000000000001</v>
      </c>
      <c r="G736" s="210">
        <f t="shared" si="124"/>
        <v>0</v>
      </c>
      <c r="H736" s="210">
        <f t="shared" si="124"/>
        <v>1706.1000000000001</v>
      </c>
      <c r="I736" s="210">
        <f t="shared" si="124"/>
        <v>1473.4</v>
      </c>
      <c r="J736" s="334"/>
      <c r="K736" s="210">
        <f t="shared" si="124"/>
        <v>1473.4</v>
      </c>
      <c r="L736" s="210">
        <f t="shared" si="124"/>
        <v>1473.4</v>
      </c>
      <c r="M736" s="210"/>
      <c r="N736" s="210">
        <f t="shared" si="124"/>
        <v>1473.4</v>
      </c>
    </row>
    <row r="737" spans="1:14" x14ac:dyDescent="0.25">
      <c r="A737" s="7"/>
      <c r="B737" s="7"/>
      <c r="C737" s="7" t="s">
        <v>120</v>
      </c>
      <c r="D737" s="7"/>
      <c r="E737" s="12" t="s">
        <v>119</v>
      </c>
      <c r="F737" s="9">
        <f t="shared" si="124"/>
        <v>1706.1000000000001</v>
      </c>
      <c r="G737" s="9">
        <f t="shared" si="124"/>
        <v>0</v>
      </c>
      <c r="H737" s="9">
        <f t="shared" si="124"/>
        <v>1706.1000000000001</v>
      </c>
      <c r="I737" s="9">
        <f t="shared" si="124"/>
        <v>1473.4</v>
      </c>
      <c r="J737" s="335"/>
      <c r="K737" s="9">
        <f t="shared" si="124"/>
        <v>1473.4</v>
      </c>
      <c r="L737" s="9">
        <f t="shared" si="124"/>
        <v>1473.4</v>
      </c>
      <c r="M737" s="9"/>
      <c r="N737" s="9">
        <f t="shared" si="124"/>
        <v>1473.4</v>
      </c>
    </row>
    <row r="738" spans="1:14" ht="26.25" x14ac:dyDescent="0.25">
      <c r="A738" s="7"/>
      <c r="B738" s="7"/>
      <c r="C738" s="7"/>
      <c r="D738" s="7" t="s">
        <v>57</v>
      </c>
      <c r="E738" s="6" t="s">
        <v>56</v>
      </c>
      <c r="F738" s="9">
        <v>1706.1000000000001</v>
      </c>
      <c r="G738" s="9"/>
      <c r="H738" s="9">
        <f>1473.4+232.7</f>
        <v>1706.1000000000001</v>
      </c>
      <c r="I738" s="9">
        <v>1473.4</v>
      </c>
      <c r="J738" s="335"/>
      <c r="K738" s="9">
        <v>1473.4</v>
      </c>
      <c r="L738" s="9">
        <v>1473.4</v>
      </c>
      <c r="M738" s="9"/>
      <c r="N738" s="9">
        <v>1473.4</v>
      </c>
    </row>
    <row r="739" spans="1:14" s="54" customFormat="1" ht="39" x14ac:dyDescent="0.25">
      <c r="A739" s="208"/>
      <c r="B739" s="208"/>
      <c r="C739" s="208" t="s">
        <v>118</v>
      </c>
      <c r="D739" s="208"/>
      <c r="E739" s="211" t="s">
        <v>117</v>
      </c>
      <c r="F739" s="210">
        <f>F742+F746</f>
        <v>3100</v>
      </c>
      <c r="G739" s="210">
        <f>SUM(G740+G742+G744)</f>
        <v>-5.6843418860808015E-14</v>
      </c>
      <c r="H739" s="210">
        <f>H742+H746+H740+H744</f>
        <v>3100</v>
      </c>
      <c r="I739" s="210">
        <v>0</v>
      </c>
      <c r="J739" s="334"/>
      <c r="K739" s="210">
        <v>0</v>
      </c>
      <c r="L739" s="210">
        <v>0</v>
      </c>
      <c r="M739" s="210"/>
      <c r="N739" s="210">
        <v>0</v>
      </c>
    </row>
    <row r="740" spans="1:14" ht="26.25" x14ac:dyDescent="0.25">
      <c r="A740" s="8"/>
      <c r="B740" s="8"/>
      <c r="C740" s="7" t="s">
        <v>923</v>
      </c>
      <c r="D740" s="7"/>
      <c r="E740" s="417" t="s">
        <v>917</v>
      </c>
      <c r="F740" s="55">
        <f>F741</f>
        <v>0</v>
      </c>
      <c r="G740" s="55">
        <f>G741</f>
        <v>200.2</v>
      </c>
      <c r="H740" s="55">
        <f>H741</f>
        <v>200.2</v>
      </c>
      <c r="I740" s="5">
        <f>I741</f>
        <v>0</v>
      </c>
      <c r="J740" s="337"/>
      <c r="K740" s="5">
        <f>K741</f>
        <v>0</v>
      </c>
      <c r="L740" s="5">
        <v>0</v>
      </c>
      <c r="M740" s="5"/>
      <c r="N740" s="5">
        <v>0</v>
      </c>
    </row>
    <row r="741" spans="1:14" ht="26.25" x14ac:dyDescent="0.25">
      <c r="A741" s="8"/>
      <c r="B741" s="8"/>
      <c r="C741" s="57"/>
      <c r="D741" s="7" t="s">
        <v>57</v>
      </c>
      <c r="E741" s="6" t="s">
        <v>56</v>
      </c>
      <c r="F741" s="55">
        <v>0</v>
      </c>
      <c r="G741" s="55">
        <v>200.2</v>
      </c>
      <c r="H741" s="55">
        <v>200.2</v>
      </c>
      <c r="I741" s="5">
        <f>I742</f>
        <v>0</v>
      </c>
      <c r="J741" s="337"/>
      <c r="K741" s="5">
        <f>K742</f>
        <v>0</v>
      </c>
      <c r="L741" s="5">
        <v>0</v>
      </c>
      <c r="M741" s="5"/>
      <c r="N741" s="5">
        <v>0</v>
      </c>
    </row>
    <row r="742" spans="1:14" ht="39" x14ac:dyDescent="0.25">
      <c r="A742" s="8"/>
      <c r="B742" s="8"/>
      <c r="C742" s="7" t="s">
        <v>605</v>
      </c>
      <c r="D742" s="7"/>
      <c r="E742" s="6" t="s">
        <v>113</v>
      </c>
      <c r="F742" s="55">
        <f>F743</f>
        <v>2600</v>
      </c>
      <c r="G742" s="55">
        <f>G743</f>
        <v>-632.20000000000005</v>
      </c>
      <c r="H742" s="55">
        <f>H743</f>
        <v>1967.8</v>
      </c>
      <c r="I742" s="5">
        <f>I743</f>
        <v>0</v>
      </c>
      <c r="J742" s="337"/>
      <c r="K742" s="5">
        <f>K743</f>
        <v>0</v>
      </c>
      <c r="L742" s="5">
        <v>0</v>
      </c>
      <c r="M742" s="5"/>
      <c r="N742" s="5">
        <v>0</v>
      </c>
    </row>
    <row r="743" spans="1:14" ht="26.25" x14ac:dyDescent="0.25">
      <c r="A743" s="8"/>
      <c r="B743" s="8"/>
      <c r="C743" s="57"/>
      <c r="D743" s="7" t="s">
        <v>57</v>
      </c>
      <c r="E743" s="6" t="s">
        <v>56</v>
      </c>
      <c r="F743" s="55">
        <v>2600</v>
      </c>
      <c r="G743" s="55">
        <v>-632.20000000000005</v>
      </c>
      <c r="H743" s="55">
        <f>SUM(F743:G743)</f>
        <v>1967.8</v>
      </c>
      <c r="I743" s="5">
        <f>I746</f>
        <v>0</v>
      </c>
      <c r="J743" s="337"/>
      <c r="K743" s="5">
        <f>K746</f>
        <v>0</v>
      </c>
      <c r="L743" s="5">
        <v>0</v>
      </c>
      <c r="M743" s="5"/>
      <c r="N743" s="5">
        <v>0</v>
      </c>
    </row>
    <row r="744" spans="1:14" x14ac:dyDescent="0.25">
      <c r="A744" s="8"/>
      <c r="B744" s="8"/>
      <c r="C744" s="7" t="s">
        <v>919</v>
      </c>
      <c r="D744" s="7"/>
      <c r="E744" s="419" t="s">
        <v>920</v>
      </c>
      <c r="F744" s="55">
        <f>F745</f>
        <v>0</v>
      </c>
      <c r="G744" s="55">
        <f>G745</f>
        <v>432</v>
      </c>
      <c r="H744" s="55">
        <f>H745</f>
        <v>432</v>
      </c>
      <c r="I744" s="5">
        <f>I745</f>
        <v>0.15789</v>
      </c>
      <c r="J744" s="337"/>
      <c r="K744" s="5">
        <f>K745</f>
        <v>0.15789</v>
      </c>
      <c r="L744" s="5">
        <v>0</v>
      </c>
      <c r="M744" s="5"/>
      <c r="N744" s="5">
        <v>0</v>
      </c>
    </row>
    <row r="745" spans="1:14" ht="26.25" x14ac:dyDescent="0.25">
      <c r="A745" s="8"/>
      <c r="B745" s="8"/>
      <c r="C745" s="57"/>
      <c r="D745" s="7" t="s">
        <v>57</v>
      </c>
      <c r="E745" s="6" t="s">
        <v>56</v>
      </c>
      <c r="F745" s="55">
        <v>0</v>
      </c>
      <c r="G745" s="55">
        <v>432</v>
      </c>
      <c r="H745" s="55">
        <v>432</v>
      </c>
      <c r="I745" s="5">
        <f>I749</f>
        <v>0.15789</v>
      </c>
      <c r="J745" s="337"/>
      <c r="K745" s="5">
        <f>K749</f>
        <v>0.15789</v>
      </c>
      <c r="L745" s="5">
        <v>0</v>
      </c>
      <c r="M745" s="5"/>
      <c r="N745" s="5">
        <v>0</v>
      </c>
    </row>
    <row r="746" spans="1:14" ht="26.25" x14ac:dyDescent="0.25">
      <c r="A746" s="8"/>
      <c r="B746" s="8"/>
      <c r="C746" s="7" t="s">
        <v>723</v>
      </c>
      <c r="D746" s="7"/>
      <c r="E746" s="6" t="s">
        <v>618</v>
      </c>
      <c r="F746" s="55">
        <f t="shared" ref="F746:H747" si="125">F747</f>
        <v>500</v>
      </c>
      <c r="G746" s="55"/>
      <c r="H746" s="55">
        <f t="shared" si="125"/>
        <v>500</v>
      </c>
      <c r="I746" s="5">
        <f>I747</f>
        <v>0</v>
      </c>
      <c r="J746" s="337"/>
      <c r="K746" s="5">
        <f>K747</f>
        <v>0</v>
      </c>
      <c r="L746" s="5">
        <v>0</v>
      </c>
      <c r="M746" s="5"/>
      <c r="N746" s="5">
        <v>0</v>
      </c>
    </row>
    <row r="747" spans="1:14" ht="26.25" x14ac:dyDescent="0.25">
      <c r="A747" s="8"/>
      <c r="B747" s="8"/>
      <c r="C747" s="57"/>
      <c r="D747" s="7" t="s">
        <v>57</v>
      </c>
      <c r="E747" s="6" t="s">
        <v>56</v>
      </c>
      <c r="F747" s="55">
        <f t="shared" si="125"/>
        <v>500</v>
      </c>
      <c r="G747" s="55"/>
      <c r="H747" s="55">
        <f t="shared" si="125"/>
        <v>500</v>
      </c>
      <c r="I747" s="5">
        <f>I748</f>
        <v>0</v>
      </c>
      <c r="J747" s="337"/>
      <c r="K747" s="5">
        <f>K748</f>
        <v>0</v>
      </c>
      <c r="L747" s="5">
        <v>0</v>
      </c>
      <c r="M747" s="5"/>
      <c r="N747" s="5">
        <v>0</v>
      </c>
    </row>
    <row r="748" spans="1:14" x14ac:dyDescent="0.25">
      <c r="A748" s="8"/>
      <c r="B748" s="8"/>
      <c r="C748" s="57"/>
      <c r="D748" s="7"/>
      <c r="E748" s="6" t="s">
        <v>106</v>
      </c>
      <c r="F748" s="55">
        <v>500</v>
      </c>
      <c r="G748" s="55"/>
      <c r="H748" s="55">
        <f>251.559+248.441</f>
        <v>500</v>
      </c>
      <c r="I748" s="5">
        <v>0</v>
      </c>
      <c r="J748" s="337"/>
      <c r="K748" s="5">
        <v>0</v>
      </c>
      <c r="L748" s="5">
        <v>0</v>
      </c>
      <c r="M748" s="5"/>
      <c r="N748" s="5">
        <v>0</v>
      </c>
    </row>
    <row r="749" spans="1:14" x14ac:dyDescent="0.25">
      <c r="A749" s="212"/>
      <c r="B749" s="212"/>
      <c r="C749" s="213" t="s">
        <v>112</v>
      </c>
      <c r="D749" s="213"/>
      <c r="E749" s="214" t="s">
        <v>111</v>
      </c>
      <c r="F749" s="215">
        <f>F750+F753</f>
        <v>0</v>
      </c>
      <c r="G749" s="215"/>
      <c r="H749" s="215">
        <f>H750+H753</f>
        <v>0</v>
      </c>
      <c r="I749" s="215">
        <f>I750+I753</f>
        <v>0.15789</v>
      </c>
      <c r="J749" s="343"/>
      <c r="K749" s="215">
        <f>K750+K753</f>
        <v>0.15789</v>
      </c>
      <c r="L749" s="215">
        <f>L750+L753</f>
        <v>0</v>
      </c>
      <c r="M749" s="215"/>
      <c r="N749" s="215">
        <f>N750+N753</f>
        <v>0</v>
      </c>
    </row>
    <row r="750" spans="1:14" ht="25.5" x14ac:dyDescent="0.25">
      <c r="A750" s="8"/>
      <c r="B750" s="8"/>
      <c r="C750" s="52" t="s">
        <v>110</v>
      </c>
      <c r="D750" s="52"/>
      <c r="E750" s="53" t="s">
        <v>109</v>
      </c>
      <c r="F750" s="55">
        <f t="shared" ref="F750:I751" si="126">F751</f>
        <v>0</v>
      </c>
      <c r="G750" s="55"/>
      <c r="H750" s="55">
        <f t="shared" si="126"/>
        <v>0</v>
      </c>
      <c r="I750" s="55">
        <f t="shared" si="126"/>
        <v>5.2630000000000003E-2</v>
      </c>
      <c r="J750" s="353"/>
      <c r="K750" s="55">
        <f>K751</f>
        <v>5.2630000000000003E-2</v>
      </c>
      <c r="L750" s="55">
        <v>0</v>
      </c>
      <c r="M750" s="55"/>
      <c r="N750" s="55">
        <v>0</v>
      </c>
    </row>
    <row r="751" spans="1:14" ht="25.5" x14ac:dyDescent="0.25">
      <c r="A751" s="8"/>
      <c r="B751" s="8"/>
      <c r="C751" s="22"/>
      <c r="D751" s="52" t="s">
        <v>57</v>
      </c>
      <c r="E751" s="10" t="s">
        <v>56</v>
      </c>
      <c r="F751" s="55">
        <f t="shared" si="126"/>
        <v>0</v>
      </c>
      <c r="G751" s="55"/>
      <c r="H751" s="55">
        <f t="shared" si="126"/>
        <v>0</v>
      </c>
      <c r="I751" s="55">
        <f t="shared" si="126"/>
        <v>5.2630000000000003E-2</v>
      </c>
      <c r="J751" s="353"/>
      <c r="K751" s="55">
        <f>K752</f>
        <v>5.2630000000000003E-2</v>
      </c>
      <c r="L751" s="55">
        <v>0</v>
      </c>
      <c r="M751" s="55"/>
      <c r="N751" s="55">
        <v>0</v>
      </c>
    </row>
    <row r="752" spans="1:14" x14ac:dyDescent="0.25">
      <c r="A752" s="8"/>
      <c r="B752" s="8"/>
      <c r="C752" s="22"/>
      <c r="D752" s="52"/>
      <c r="E752" s="6" t="s">
        <v>106</v>
      </c>
      <c r="F752" s="55">
        <v>0</v>
      </c>
      <c r="G752" s="55"/>
      <c r="H752" s="55">
        <v>0</v>
      </c>
      <c r="I752" s="55">
        <v>5.2630000000000003E-2</v>
      </c>
      <c r="J752" s="353"/>
      <c r="K752" s="55">
        <v>5.2630000000000003E-2</v>
      </c>
      <c r="L752" s="55">
        <v>0</v>
      </c>
      <c r="M752" s="55"/>
      <c r="N752" s="55">
        <v>0</v>
      </c>
    </row>
    <row r="753" spans="1:14" ht="25.5" x14ac:dyDescent="0.25">
      <c r="A753" s="8"/>
      <c r="B753" s="8"/>
      <c r="C753" s="52" t="s">
        <v>108</v>
      </c>
      <c r="D753" s="52"/>
      <c r="E753" s="53" t="s">
        <v>107</v>
      </c>
      <c r="F753" s="55">
        <f t="shared" ref="F753:I754" si="127">F754</f>
        <v>0</v>
      </c>
      <c r="G753" s="55"/>
      <c r="H753" s="55">
        <f t="shared" si="127"/>
        <v>0</v>
      </c>
      <c r="I753" s="55">
        <f t="shared" si="127"/>
        <v>0.10526000000000001</v>
      </c>
      <c r="J753" s="353"/>
      <c r="K753" s="55">
        <f>K754</f>
        <v>0.10526000000000001</v>
      </c>
      <c r="L753" s="55">
        <v>0</v>
      </c>
      <c r="M753" s="55"/>
      <c r="N753" s="55">
        <v>0</v>
      </c>
    </row>
    <row r="754" spans="1:14" ht="25.5" x14ac:dyDescent="0.25">
      <c r="A754" s="8"/>
      <c r="B754" s="8"/>
      <c r="C754" s="22"/>
      <c r="D754" s="52" t="s">
        <v>57</v>
      </c>
      <c r="E754" s="10" t="s">
        <v>56</v>
      </c>
      <c r="F754" s="55">
        <f t="shared" si="127"/>
        <v>0</v>
      </c>
      <c r="G754" s="55"/>
      <c r="H754" s="55">
        <f t="shared" si="127"/>
        <v>0</v>
      </c>
      <c r="I754" s="55">
        <f t="shared" si="127"/>
        <v>0.10526000000000001</v>
      </c>
      <c r="J754" s="353"/>
      <c r="K754" s="55">
        <f>K755</f>
        <v>0.10526000000000001</v>
      </c>
      <c r="L754" s="55">
        <v>0</v>
      </c>
      <c r="M754" s="55"/>
      <c r="N754" s="55">
        <v>0</v>
      </c>
    </row>
    <row r="755" spans="1:14" x14ac:dyDescent="0.25">
      <c r="A755" s="8"/>
      <c r="B755" s="8"/>
      <c r="C755" s="22"/>
      <c r="D755" s="52"/>
      <c r="E755" s="6" t="s">
        <v>106</v>
      </c>
      <c r="F755" s="55">
        <v>0</v>
      </c>
      <c r="G755" s="55"/>
      <c r="H755" s="55">
        <v>0</v>
      </c>
      <c r="I755" s="55">
        <v>0.10526000000000001</v>
      </c>
      <c r="J755" s="353"/>
      <c r="K755" s="55">
        <v>0.10526000000000001</v>
      </c>
      <c r="L755" s="55">
        <v>0</v>
      </c>
      <c r="M755" s="55"/>
      <c r="N755" s="55">
        <v>0</v>
      </c>
    </row>
    <row r="756" spans="1:14" x14ac:dyDescent="0.25">
      <c r="A756" s="36"/>
      <c r="B756" s="22" t="s">
        <v>105</v>
      </c>
      <c r="C756" s="21"/>
      <c r="D756" s="21"/>
      <c r="E756" s="20" t="s">
        <v>104</v>
      </c>
      <c r="F756" s="56">
        <f>F757+F779</f>
        <v>6050.4</v>
      </c>
      <c r="G756" s="56">
        <f t="shared" ref="G756:H756" si="128">G757+G779</f>
        <v>43.750030000000002</v>
      </c>
      <c r="H756" s="56">
        <f t="shared" si="128"/>
        <v>6094.1500299999998</v>
      </c>
      <c r="I756" s="56">
        <f>I757</f>
        <v>3783.8</v>
      </c>
      <c r="J756" s="354"/>
      <c r="K756" s="56">
        <f>K757</f>
        <v>3783.8</v>
      </c>
      <c r="L756" s="56">
        <f>L757</f>
        <v>5262.3</v>
      </c>
      <c r="M756" s="56"/>
      <c r="N756" s="56">
        <f>N757</f>
        <v>5262.3</v>
      </c>
    </row>
    <row r="757" spans="1:14" x14ac:dyDescent="0.25">
      <c r="A757" s="36"/>
      <c r="B757" s="22"/>
      <c r="C757" s="21" t="s">
        <v>36</v>
      </c>
      <c r="D757" s="21"/>
      <c r="E757" s="27" t="s">
        <v>35</v>
      </c>
      <c r="F757" s="56">
        <f>F758+F764</f>
        <v>6050.4</v>
      </c>
      <c r="G757" s="56"/>
      <c r="H757" s="56">
        <f>H758+H764</f>
        <v>6050.4</v>
      </c>
      <c r="I757" s="56">
        <f>I758+I764</f>
        <v>3783.8</v>
      </c>
      <c r="J757" s="354"/>
      <c r="K757" s="56">
        <f>K758+K764</f>
        <v>3783.8</v>
      </c>
      <c r="L757" s="56">
        <f>L758+L764</f>
        <v>5262.3</v>
      </c>
      <c r="M757" s="56"/>
      <c r="N757" s="56">
        <f>N758+N764</f>
        <v>5262.3</v>
      </c>
    </row>
    <row r="758" spans="1:14" ht="25.5" x14ac:dyDescent="0.25">
      <c r="A758" s="35"/>
      <c r="B758" s="33"/>
      <c r="C758" s="34" t="s">
        <v>34</v>
      </c>
      <c r="D758" s="33"/>
      <c r="E758" s="32" t="s">
        <v>103</v>
      </c>
      <c r="F758" s="31">
        <f t="shared" ref="F758:N760" si="129">F759</f>
        <v>3714.1</v>
      </c>
      <c r="G758" s="31"/>
      <c r="H758" s="31">
        <f t="shared" si="129"/>
        <v>3714.1</v>
      </c>
      <c r="I758" s="31">
        <f t="shared" si="129"/>
        <v>3733.8</v>
      </c>
      <c r="J758" s="332"/>
      <c r="K758" s="31">
        <f t="shared" si="129"/>
        <v>3733.8</v>
      </c>
      <c r="L758" s="31">
        <f t="shared" si="129"/>
        <v>3852.5</v>
      </c>
      <c r="M758" s="31"/>
      <c r="N758" s="31">
        <f t="shared" si="129"/>
        <v>3852.5</v>
      </c>
    </row>
    <row r="759" spans="1:14" ht="39" x14ac:dyDescent="0.25">
      <c r="A759" s="30"/>
      <c r="B759" s="30"/>
      <c r="C759" s="30" t="s">
        <v>32</v>
      </c>
      <c r="D759" s="30"/>
      <c r="E759" s="50" t="s">
        <v>102</v>
      </c>
      <c r="F759" s="28">
        <f t="shared" si="129"/>
        <v>3714.1</v>
      </c>
      <c r="G759" s="28"/>
      <c r="H759" s="28">
        <f t="shared" si="129"/>
        <v>3714.1</v>
      </c>
      <c r="I759" s="28">
        <f t="shared" si="129"/>
        <v>3733.8</v>
      </c>
      <c r="J759" s="333"/>
      <c r="K759" s="28">
        <f t="shared" si="129"/>
        <v>3733.8</v>
      </c>
      <c r="L759" s="28">
        <f t="shared" si="129"/>
        <v>3852.5</v>
      </c>
      <c r="M759" s="28"/>
      <c r="N759" s="28">
        <f t="shared" si="129"/>
        <v>3852.5</v>
      </c>
    </row>
    <row r="760" spans="1:14" ht="39" x14ac:dyDescent="0.25">
      <c r="A760" s="208"/>
      <c r="B760" s="208"/>
      <c r="C760" s="208" t="s">
        <v>30</v>
      </c>
      <c r="D760" s="216"/>
      <c r="E760" s="209" t="s">
        <v>29</v>
      </c>
      <c r="F760" s="210">
        <f t="shared" si="129"/>
        <v>3714.1</v>
      </c>
      <c r="G760" s="210"/>
      <c r="H760" s="210">
        <f t="shared" si="129"/>
        <v>3714.1</v>
      </c>
      <c r="I760" s="210">
        <f t="shared" si="129"/>
        <v>3733.8</v>
      </c>
      <c r="J760" s="334"/>
      <c r="K760" s="210">
        <f t="shared" si="129"/>
        <v>3733.8</v>
      </c>
      <c r="L760" s="210">
        <f t="shared" si="129"/>
        <v>3852.5</v>
      </c>
      <c r="M760" s="210"/>
      <c r="N760" s="210">
        <f t="shared" si="129"/>
        <v>3852.5</v>
      </c>
    </row>
    <row r="761" spans="1:14" ht="25.5" x14ac:dyDescent="0.25">
      <c r="A761" s="36"/>
      <c r="B761" s="52"/>
      <c r="C761" s="36" t="s">
        <v>28</v>
      </c>
      <c r="D761" s="52"/>
      <c r="E761" s="10" t="s">
        <v>27</v>
      </c>
      <c r="F761" s="55">
        <f>F762+F763</f>
        <v>3714.1</v>
      </c>
      <c r="G761" s="55"/>
      <c r="H761" s="55">
        <f>H762+H763</f>
        <v>3714.1</v>
      </c>
      <c r="I761" s="55">
        <f>I762+I763</f>
        <v>3733.8</v>
      </c>
      <c r="J761" s="353"/>
      <c r="K761" s="55">
        <f>K762+K763</f>
        <v>3733.8</v>
      </c>
      <c r="L761" s="55">
        <f>L762+L763</f>
        <v>3852.5</v>
      </c>
      <c r="M761" s="55"/>
      <c r="N761" s="55">
        <f>N762+N763</f>
        <v>3852.5</v>
      </c>
    </row>
    <row r="762" spans="1:14" ht="39" x14ac:dyDescent="0.25">
      <c r="A762" s="36"/>
      <c r="B762" s="52"/>
      <c r="C762" s="36"/>
      <c r="D762" s="52" t="s">
        <v>2</v>
      </c>
      <c r="E762" s="6" t="s">
        <v>1</v>
      </c>
      <c r="F762" s="55">
        <f>3455.9+139.5</f>
        <v>3595.4</v>
      </c>
      <c r="G762" s="55"/>
      <c r="H762" s="55">
        <f>3455.9+139.5</f>
        <v>3595.4</v>
      </c>
      <c r="I762" s="55">
        <f>3573.5+160.3</f>
        <v>3733.8</v>
      </c>
      <c r="J762" s="353"/>
      <c r="K762" s="55">
        <f>3573.5+160.3</f>
        <v>3733.8</v>
      </c>
      <c r="L762" s="55">
        <f>3573.5+160.3</f>
        <v>3733.8</v>
      </c>
      <c r="M762" s="55"/>
      <c r="N762" s="55">
        <f>3573.5+160.3</f>
        <v>3733.8</v>
      </c>
    </row>
    <row r="763" spans="1:14" x14ac:dyDescent="0.25">
      <c r="A763" s="36"/>
      <c r="B763" s="52"/>
      <c r="C763" s="36"/>
      <c r="D763" s="52" t="s">
        <v>12</v>
      </c>
      <c r="E763" s="53" t="s">
        <v>11</v>
      </c>
      <c r="F763" s="9">
        <v>118.7</v>
      </c>
      <c r="G763" s="9"/>
      <c r="H763" s="9">
        <v>118.7</v>
      </c>
      <c r="I763" s="9">
        <v>0</v>
      </c>
      <c r="J763" s="335"/>
      <c r="K763" s="9">
        <v>0</v>
      </c>
      <c r="L763" s="9">
        <v>118.7</v>
      </c>
      <c r="M763" s="9"/>
      <c r="N763" s="9">
        <v>118.7</v>
      </c>
    </row>
    <row r="764" spans="1:14" ht="25.5" x14ac:dyDescent="0.25">
      <c r="A764" s="34"/>
      <c r="B764" s="33"/>
      <c r="C764" s="34" t="s">
        <v>65</v>
      </c>
      <c r="D764" s="33"/>
      <c r="E764" s="32" t="s">
        <v>64</v>
      </c>
      <c r="F764" s="31">
        <f>F765</f>
        <v>2336.3000000000002</v>
      </c>
      <c r="G764" s="31"/>
      <c r="H764" s="31">
        <f>H765</f>
        <v>2336.3000000000002</v>
      </c>
      <c r="I764" s="31">
        <f>I765</f>
        <v>50</v>
      </c>
      <c r="J764" s="332"/>
      <c r="K764" s="31">
        <f>K765</f>
        <v>50</v>
      </c>
      <c r="L764" s="31">
        <f>L765</f>
        <v>1409.8</v>
      </c>
      <c r="M764" s="31"/>
      <c r="N764" s="31">
        <f>N765</f>
        <v>1409.8</v>
      </c>
    </row>
    <row r="765" spans="1:14" ht="26.25" x14ac:dyDescent="0.25">
      <c r="A765" s="30"/>
      <c r="B765" s="30"/>
      <c r="C765" s="30" t="s">
        <v>101</v>
      </c>
      <c r="D765" s="30"/>
      <c r="E765" s="50" t="s">
        <v>100</v>
      </c>
      <c r="F765" s="28">
        <f>F766+F776</f>
        <v>2336.3000000000002</v>
      </c>
      <c r="G765" s="28"/>
      <c r="H765" s="28">
        <f>H766+H776</f>
        <v>2336.3000000000002</v>
      </c>
      <c r="I765" s="28">
        <f>I766+I776</f>
        <v>50</v>
      </c>
      <c r="J765" s="333"/>
      <c r="K765" s="28">
        <f>K766+K776</f>
        <v>50</v>
      </c>
      <c r="L765" s="28">
        <f>L766+L776</f>
        <v>1409.8</v>
      </c>
      <c r="M765" s="28"/>
      <c r="N765" s="28">
        <f>N766+N776</f>
        <v>1409.8</v>
      </c>
    </row>
    <row r="766" spans="1:14" ht="26.25" x14ac:dyDescent="0.25">
      <c r="A766" s="208"/>
      <c r="B766" s="208"/>
      <c r="C766" s="208" t="s">
        <v>99</v>
      </c>
      <c r="D766" s="216"/>
      <c r="E766" s="209" t="s">
        <v>98</v>
      </c>
      <c r="F766" s="210">
        <f>F767+F769+F771+F773</f>
        <v>2286.3000000000002</v>
      </c>
      <c r="G766" s="210"/>
      <c r="H766" s="210">
        <f>H767+H769+H771+H773</f>
        <v>2286.3000000000002</v>
      </c>
      <c r="I766" s="210">
        <f>I767+I769</f>
        <v>0</v>
      </c>
      <c r="J766" s="334"/>
      <c r="K766" s="210">
        <f>K767+K769</f>
        <v>0</v>
      </c>
      <c r="L766" s="210">
        <f>L767+L769</f>
        <v>1359.8</v>
      </c>
      <c r="M766" s="210"/>
      <c r="N766" s="210">
        <f>N767+N769</f>
        <v>1359.8</v>
      </c>
    </row>
    <row r="767" spans="1:14" ht="51.75" x14ac:dyDescent="0.25">
      <c r="A767" s="7"/>
      <c r="B767" s="7"/>
      <c r="C767" s="7" t="s">
        <v>97</v>
      </c>
      <c r="D767" s="7"/>
      <c r="E767" s="6" t="s">
        <v>96</v>
      </c>
      <c r="F767" s="9">
        <f>F768</f>
        <v>669.8</v>
      </c>
      <c r="G767" s="9"/>
      <c r="H767" s="9">
        <f>H768</f>
        <v>669.8</v>
      </c>
      <c r="I767" s="9">
        <f>I768</f>
        <v>0</v>
      </c>
      <c r="J767" s="335"/>
      <c r="K767" s="9">
        <f>K768</f>
        <v>0</v>
      </c>
      <c r="L767" s="9">
        <f>L768</f>
        <v>769.8</v>
      </c>
      <c r="M767" s="9"/>
      <c r="N767" s="9">
        <f>N768</f>
        <v>769.8</v>
      </c>
    </row>
    <row r="768" spans="1:14" ht="26.25" x14ac:dyDescent="0.25">
      <c r="A768" s="7"/>
      <c r="B768" s="7"/>
      <c r="C768" s="7"/>
      <c r="D768" s="7" t="s">
        <v>57</v>
      </c>
      <c r="E768" s="6" t="s">
        <v>56</v>
      </c>
      <c r="F768" s="9">
        <v>669.8</v>
      </c>
      <c r="G768" s="9"/>
      <c r="H768" s="9">
        <f>769.8-100</f>
        <v>669.8</v>
      </c>
      <c r="I768" s="9">
        <v>0</v>
      </c>
      <c r="J768" s="335"/>
      <c r="K768" s="9">
        <v>0</v>
      </c>
      <c r="L768" s="9">
        <v>769.8</v>
      </c>
      <c r="M768" s="9"/>
      <c r="N768" s="9">
        <v>769.8</v>
      </c>
    </row>
    <row r="769" spans="1:14" ht="51.75" x14ac:dyDescent="0.25">
      <c r="A769" s="7"/>
      <c r="B769" s="7"/>
      <c r="C769" s="7" t="s">
        <v>95</v>
      </c>
      <c r="D769" s="7"/>
      <c r="E769" s="6" t="s">
        <v>94</v>
      </c>
      <c r="F769" s="9">
        <f>F770</f>
        <v>590</v>
      </c>
      <c r="G769" s="9"/>
      <c r="H769" s="9">
        <f>H770</f>
        <v>590</v>
      </c>
      <c r="I769" s="9">
        <f>I770</f>
        <v>0</v>
      </c>
      <c r="J769" s="335"/>
      <c r="K769" s="9">
        <f>K770</f>
        <v>0</v>
      </c>
      <c r="L769" s="9">
        <f>L770</f>
        <v>590</v>
      </c>
      <c r="M769" s="9"/>
      <c r="N769" s="9">
        <f>N770</f>
        <v>590</v>
      </c>
    </row>
    <row r="770" spans="1:14" s="54" customFormat="1" ht="26.25" x14ac:dyDescent="0.25">
      <c r="A770" s="7"/>
      <c r="B770" s="7"/>
      <c r="C770" s="7"/>
      <c r="D770" s="7" t="s">
        <v>57</v>
      </c>
      <c r="E770" s="6" t="s">
        <v>56</v>
      </c>
      <c r="F770" s="9">
        <v>590</v>
      </c>
      <c r="G770" s="9"/>
      <c r="H770" s="9">
        <v>590</v>
      </c>
      <c r="I770" s="9">
        <v>0</v>
      </c>
      <c r="J770" s="335"/>
      <c r="K770" s="9">
        <v>0</v>
      </c>
      <c r="L770" s="9">
        <v>590</v>
      </c>
      <c r="M770" s="9"/>
      <c r="N770" s="9">
        <v>590</v>
      </c>
    </row>
    <row r="771" spans="1:14" s="54" customFormat="1" x14ac:dyDescent="0.25">
      <c r="A771" s="7"/>
      <c r="B771" s="7"/>
      <c r="C771" s="7" t="s">
        <v>606</v>
      </c>
      <c r="D771" s="7"/>
      <c r="E771" s="6" t="s">
        <v>607</v>
      </c>
      <c r="F771" s="263">
        <f>F772</f>
        <v>859.5</v>
      </c>
      <c r="G771" s="263"/>
      <c r="H771" s="263">
        <f>H772</f>
        <v>859.5</v>
      </c>
      <c r="I771" s="9">
        <v>0</v>
      </c>
      <c r="J771" s="335"/>
      <c r="K771" s="9">
        <v>0</v>
      </c>
      <c r="L771" s="9">
        <v>0</v>
      </c>
      <c r="M771" s="9"/>
      <c r="N771" s="9">
        <v>0</v>
      </c>
    </row>
    <row r="772" spans="1:14" s="54" customFormat="1" ht="26.25" x14ac:dyDescent="0.25">
      <c r="A772" s="7"/>
      <c r="B772" s="7"/>
      <c r="C772" s="7"/>
      <c r="D772" s="7" t="s">
        <v>57</v>
      </c>
      <c r="E772" s="6" t="s">
        <v>56</v>
      </c>
      <c r="F772" s="263">
        <v>859.5</v>
      </c>
      <c r="G772" s="263"/>
      <c r="H772" s="263">
        <f>560+172+127.5</f>
        <v>859.5</v>
      </c>
      <c r="I772" s="9">
        <v>0</v>
      </c>
      <c r="J772" s="335"/>
      <c r="K772" s="9">
        <v>0</v>
      </c>
      <c r="L772" s="9">
        <v>0</v>
      </c>
      <c r="M772" s="9"/>
      <c r="N772" s="9">
        <v>0</v>
      </c>
    </row>
    <row r="773" spans="1:14" s="54" customFormat="1" x14ac:dyDescent="0.25">
      <c r="A773" s="7"/>
      <c r="B773" s="7"/>
      <c r="C773" s="7" t="s">
        <v>876</v>
      </c>
      <c r="D773" s="7"/>
      <c r="E773" s="6" t="s">
        <v>837</v>
      </c>
      <c r="F773" s="261">
        <f>F774</f>
        <v>167</v>
      </c>
      <c r="G773" s="261"/>
      <c r="H773" s="261">
        <f>H774</f>
        <v>167</v>
      </c>
      <c r="I773" s="9">
        <v>0</v>
      </c>
      <c r="J773" s="335"/>
      <c r="K773" s="9">
        <v>0</v>
      </c>
      <c r="L773" s="9">
        <v>0</v>
      </c>
      <c r="M773" s="9"/>
      <c r="N773" s="9">
        <v>0</v>
      </c>
    </row>
    <row r="774" spans="1:14" s="54" customFormat="1" x14ac:dyDescent="0.25">
      <c r="A774" s="7"/>
      <c r="B774" s="7"/>
      <c r="C774" s="7"/>
      <c r="D774" s="7" t="s">
        <v>57</v>
      </c>
      <c r="E774" s="6" t="s">
        <v>11</v>
      </c>
      <c r="F774" s="261">
        <v>167</v>
      </c>
      <c r="G774" s="261"/>
      <c r="H774" s="261">
        <v>167</v>
      </c>
      <c r="I774" s="9">
        <v>0</v>
      </c>
      <c r="J774" s="335"/>
      <c r="K774" s="9">
        <v>0</v>
      </c>
      <c r="L774" s="9">
        <v>0</v>
      </c>
      <c r="M774" s="9"/>
      <c r="N774" s="9">
        <v>0</v>
      </c>
    </row>
    <row r="775" spans="1:14" s="54" customFormat="1" x14ac:dyDescent="0.25">
      <c r="A775" s="386"/>
      <c r="B775" s="386"/>
      <c r="C775" s="386"/>
      <c r="D775" s="386"/>
      <c r="E775" s="6" t="s">
        <v>106</v>
      </c>
      <c r="F775" s="388">
        <v>167</v>
      </c>
      <c r="G775" s="261"/>
      <c r="H775" s="261">
        <v>167</v>
      </c>
      <c r="I775" s="389"/>
      <c r="J775" s="389"/>
      <c r="K775" s="389"/>
      <c r="L775" s="389"/>
      <c r="M775" s="389"/>
      <c r="N775" s="389"/>
    </row>
    <row r="776" spans="1:14" x14ac:dyDescent="0.25">
      <c r="A776" s="208"/>
      <c r="B776" s="208"/>
      <c r="C776" s="208" t="s">
        <v>93</v>
      </c>
      <c r="D776" s="216"/>
      <c r="E776" s="209" t="s">
        <v>92</v>
      </c>
      <c r="F776" s="210">
        <f t="shared" ref="F776:N777" si="130">F777</f>
        <v>50</v>
      </c>
      <c r="G776" s="210"/>
      <c r="H776" s="210">
        <f t="shared" si="130"/>
        <v>50</v>
      </c>
      <c r="I776" s="210">
        <f t="shared" si="130"/>
        <v>50</v>
      </c>
      <c r="J776" s="334"/>
      <c r="K776" s="210">
        <f t="shared" si="130"/>
        <v>50</v>
      </c>
      <c r="L776" s="210">
        <f t="shared" si="130"/>
        <v>50</v>
      </c>
      <c r="M776" s="210"/>
      <c r="N776" s="210">
        <f t="shared" si="130"/>
        <v>50</v>
      </c>
    </row>
    <row r="777" spans="1:14" x14ac:dyDescent="0.25">
      <c r="A777" s="7"/>
      <c r="B777" s="7"/>
      <c r="C777" s="7" t="s">
        <v>91</v>
      </c>
      <c r="D777" s="7"/>
      <c r="E777" s="6" t="s">
        <v>90</v>
      </c>
      <c r="F777" s="9">
        <f t="shared" si="130"/>
        <v>50</v>
      </c>
      <c r="G777" s="9"/>
      <c r="H777" s="9">
        <f t="shared" si="130"/>
        <v>50</v>
      </c>
      <c r="I777" s="9">
        <f t="shared" si="130"/>
        <v>50</v>
      </c>
      <c r="J777" s="335"/>
      <c r="K777" s="9">
        <f t="shared" si="130"/>
        <v>50</v>
      </c>
      <c r="L777" s="9">
        <f t="shared" si="130"/>
        <v>50</v>
      </c>
      <c r="M777" s="9"/>
      <c r="N777" s="9">
        <f t="shared" si="130"/>
        <v>50</v>
      </c>
    </row>
    <row r="778" spans="1:14" ht="26.25" x14ac:dyDescent="0.25">
      <c r="A778" s="7"/>
      <c r="B778" s="7"/>
      <c r="C778" s="7"/>
      <c r="D778" s="7" t="s">
        <v>57</v>
      </c>
      <c r="E778" s="6" t="s">
        <v>56</v>
      </c>
      <c r="F778" s="9">
        <v>50</v>
      </c>
      <c r="G778" s="9"/>
      <c r="H778" s="9">
        <v>50</v>
      </c>
      <c r="I778" s="9">
        <v>50</v>
      </c>
      <c r="J778" s="335"/>
      <c r="K778" s="9">
        <v>50</v>
      </c>
      <c r="L778" s="9">
        <v>50</v>
      </c>
      <c r="M778" s="9"/>
      <c r="N778" s="9">
        <v>50</v>
      </c>
    </row>
    <row r="779" spans="1:14" x14ac:dyDescent="0.25">
      <c r="A779" s="105"/>
      <c r="B779" s="105"/>
      <c r="C779" s="47" t="s">
        <v>52</v>
      </c>
      <c r="D779" s="46"/>
      <c r="E779" s="45" t="s">
        <v>51</v>
      </c>
      <c r="F779" s="103">
        <f>F780</f>
        <v>0</v>
      </c>
      <c r="G779" s="103">
        <f>G780</f>
        <v>43.750030000000002</v>
      </c>
      <c r="H779" s="103">
        <f t="shared" ref="H779:N780" si="131">H780</f>
        <v>43.750030000000002</v>
      </c>
      <c r="I779" s="103">
        <f t="shared" si="131"/>
        <v>0</v>
      </c>
      <c r="J779" s="339"/>
      <c r="K779" s="103">
        <f t="shared" si="131"/>
        <v>0</v>
      </c>
      <c r="L779" s="103">
        <f t="shared" si="131"/>
        <v>0</v>
      </c>
      <c r="M779" s="103"/>
      <c r="N779" s="103">
        <f t="shared" si="131"/>
        <v>0</v>
      </c>
    </row>
    <row r="780" spans="1:14" ht="25.5" x14ac:dyDescent="0.25">
      <c r="A780" s="117"/>
      <c r="B780" s="117"/>
      <c r="C780" s="116" t="s">
        <v>16</v>
      </c>
      <c r="D780" s="115"/>
      <c r="E780" s="114" t="s">
        <v>44</v>
      </c>
      <c r="F780" s="113">
        <f>F781</f>
        <v>0</v>
      </c>
      <c r="G780" s="113">
        <f t="shared" ref="G780" si="132">G781</f>
        <v>43.750030000000002</v>
      </c>
      <c r="H780" s="113">
        <f t="shared" si="131"/>
        <v>43.750030000000002</v>
      </c>
      <c r="I780" s="113">
        <f t="shared" si="131"/>
        <v>0</v>
      </c>
      <c r="J780" s="340"/>
      <c r="K780" s="113">
        <f t="shared" si="131"/>
        <v>0</v>
      </c>
      <c r="L780" s="113">
        <f t="shared" si="131"/>
        <v>0</v>
      </c>
      <c r="M780" s="113"/>
      <c r="N780" s="113">
        <f t="shared" si="131"/>
        <v>0</v>
      </c>
    </row>
    <row r="781" spans="1:14" x14ac:dyDescent="0.25">
      <c r="A781" s="455"/>
      <c r="B781" s="455"/>
      <c r="C781" s="454" t="s">
        <v>933</v>
      </c>
      <c r="D781" s="296"/>
      <c r="E781" s="285" t="s">
        <v>932</v>
      </c>
      <c r="F781" s="456">
        <v>0</v>
      </c>
      <c r="G781" s="456">
        <f>G782</f>
        <v>43.750030000000002</v>
      </c>
      <c r="H781" s="456">
        <f>H782</f>
        <v>43.750030000000002</v>
      </c>
      <c r="I781" s="456">
        <v>0</v>
      </c>
      <c r="J781" s="456"/>
      <c r="K781" s="456">
        <v>0</v>
      </c>
      <c r="L781" s="456"/>
      <c r="M781" s="456"/>
      <c r="N781" s="456">
        <v>0</v>
      </c>
    </row>
    <row r="782" spans="1:14" ht="39" x14ac:dyDescent="0.25">
      <c r="A782" s="455"/>
      <c r="B782" s="455"/>
      <c r="C782" s="454"/>
      <c r="D782" s="7" t="s">
        <v>2</v>
      </c>
      <c r="E782" s="6" t="s">
        <v>1</v>
      </c>
      <c r="F782" s="456">
        <v>0</v>
      </c>
      <c r="G782" s="456">
        <v>43.750030000000002</v>
      </c>
      <c r="H782" s="456">
        <f>F782+G782</f>
        <v>43.750030000000002</v>
      </c>
      <c r="I782" s="456">
        <v>0</v>
      </c>
      <c r="J782" s="456"/>
      <c r="K782" s="456">
        <v>0</v>
      </c>
      <c r="L782" s="456"/>
      <c r="M782" s="456"/>
      <c r="N782" s="456">
        <v>0</v>
      </c>
    </row>
    <row r="783" spans="1:14" x14ac:dyDescent="0.25">
      <c r="A783" s="36"/>
      <c r="B783" s="22">
        <v>1000</v>
      </c>
      <c r="C783" s="21"/>
      <c r="D783" s="21"/>
      <c r="E783" s="20" t="s">
        <v>89</v>
      </c>
      <c r="F783" s="26">
        <f t="shared" ref="F783:N788" si="133">F784</f>
        <v>381.5</v>
      </c>
      <c r="G783" s="26"/>
      <c r="H783" s="26">
        <f t="shared" si="133"/>
        <v>381.5</v>
      </c>
      <c r="I783" s="26">
        <f t="shared" si="133"/>
        <v>381.5</v>
      </c>
      <c r="J783" s="336"/>
      <c r="K783" s="26">
        <f t="shared" si="133"/>
        <v>381.5</v>
      </c>
      <c r="L783" s="26">
        <f t="shared" si="133"/>
        <v>381.5</v>
      </c>
      <c r="M783" s="26"/>
      <c r="N783" s="26">
        <f t="shared" si="133"/>
        <v>381.5</v>
      </c>
    </row>
    <row r="784" spans="1:14" x14ac:dyDescent="0.25">
      <c r="A784" s="21"/>
      <c r="B784" s="22">
        <v>1003</v>
      </c>
      <c r="C784" s="21"/>
      <c r="D784" s="21"/>
      <c r="E784" s="20" t="s">
        <v>88</v>
      </c>
      <c r="F784" s="26">
        <f t="shared" si="133"/>
        <v>381.5</v>
      </c>
      <c r="G784" s="26"/>
      <c r="H784" s="26">
        <f t="shared" si="133"/>
        <v>381.5</v>
      </c>
      <c r="I784" s="26">
        <f t="shared" si="133"/>
        <v>381.5</v>
      </c>
      <c r="J784" s="336"/>
      <c r="K784" s="26">
        <f t="shared" si="133"/>
        <v>381.5</v>
      </c>
      <c r="L784" s="26">
        <f t="shared" si="133"/>
        <v>381.5</v>
      </c>
      <c r="M784" s="26"/>
      <c r="N784" s="26">
        <f t="shared" si="133"/>
        <v>381.5</v>
      </c>
    </row>
    <row r="785" spans="1:14" x14ac:dyDescent="0.25">
      <c r="A785" s="51"/>
      <c r="B785" s="22"/>
      <c r="C785" s="21" t="s">
        <v>36</v>
      </c>
      <c r="D785" s="21"/>
      <c r="E785" s="27" t="s">
        <v>35</v>
      </c>
      <c r="F785" s="26">
        <f t="shared" si="133"/>
        <v>381.5</v>
      </c>
      <c r="G785" s="26"/>
      <c r="H785" s="26">
        <f t="shared" si="133"/>
        <v>381.5</v>
      </c>
      <c r="I785" s="26">
        <f t="shared" si="133"/>
        <v>381.5</v>
      </c>
      <c r="J785" s="336"/>
      <c r="K785" s="26">
        <f t="shared" si="133"/>
        <v>381.5</v>
      </c>
      <c r="L785" s="26">
        <f t="shared" si="133"/>
        <v>381.5</v>
      </c>
      <c r="M785" s="26"/>
      <c r="N785" s="26">
        <f t="shared" si="133"/>
        <v>381.5</v>
      </c>
    </row>
    <row r="786" spans="1:14" ht="25.5" x14ac:dyDescent="0.25">
      <c r="A786" s="34"/>
      <c r="B786" s="33"/>
      <c r="C786" s="34" t="s">
        <v>87</v>
      </c>
      <c r="D786" s="33"/>
      <c r="E786" s="32" t="s">
        <v>86</v>
      </c>
      <c r="F786" s="31">
        <f t="shared" si="133"/>
        <v>381.5</v>
      </c>
      <c r="G786" s="31"/>
      <c r="H786" s="31">
        <f t="shared" si="133"/>
        <v>381.5</v>
      </c>
      <c r="I786" s="31">
        <f t="shared" si="133"/>
        <v>381.5</v>
      </c>
      <c r="J786" s="332"/>
      <c r="K786" s="31">
        <f t="shared" si="133"/>
        <v>381.5</v>
      </c>
      <c r="L786" s="31">
        <f t="shared" si="133"/>
        <v>381.5</v>
      </c>
      <c r="M786" s="31"/>
      <c r="N786" s="31">
        <f t="shared" si="133"/>
        <v>381.5</v>
      </c>
    </row>
    <row r="787" spans="1:14" x14ac:dyDescent="0.25">
      <c r="A787" s="30"/>
      <c r="B787" s="30"/>
      <c r="C787" s="30" t="s">
        <v>85</v>
      </c>
      <c r="D787" s="30"/>
      <c r="E787" s="50" t="s">
        <v>84</v>
      </c>
      <c r="F787" s="28">
        <f t="shared" si="133"/>
        <v>381.5</v>
      </c>
      <c r="G787" s="28"/>
      <c r="H787" s="28">
        <f t="shared" si="133"/>
        <v>381.5</v>
      </c>
      <c r="I787" s="28">
        <f t="shared" si="133"/>
        <v>381.5</v>
      </c>
      <c r="J787" s="333"/>
      <c r="K787" s="28">
        <f t="shared" si="133"/>
        <v>381.5</v>
      </c>
      <c r="L787" s="28">
        <f t="shared" si="133"/>
        <v>381.5</v>
      </c>
      <c r="M787" s="28"/>
      <c r="N787" s="28">
        <f t="shared" si="133"/>
        <v>381.5</v>
      </c>
    </row>
    <row r="788" spans="1:14" ht="26.25" x14ac:dyDescent="0.25">
      <c r="A788" s="208"/>
      <c r="B788" s="208"/>
      <c r="C788" s="208" t="s">
        <v>83</v>
      </c>
      <c r="D788" s="216"/>
      <c r="E788" s="209" t="s">
        <v>82</v>
      </c>
      <c r="F788" s="210">
        <f t="shared" si="133"/>
        <v>381.5</v>
      </c>
      <c r="G788" s="210"/>
      <c r="H788" s="210">
        <f t="shared" si="133"/>
        <v>381.5</v>
      </c>
      <c r="I788" s="210">
        <f t="shared" si="133"/>
        <v>381.5</v>
      </c>
      <c r="J788" s="334"/>
      <c r="K788" s="210">
        <f t="shared" si="133"/>
        <v>381.5</v>
      </c>
      <c r="L788" s="210">
        <f t="shared" si="133"/>
        <v>381.5</v>
      </c>
      <c r="M788" s="210"/>
      <c r="N788" s="210">
        <f t="shared" si="133"/>
        <v>381.5</v>
      </c>
    </row>
    <row r="789" spans="1:14" ht="40.5" customHeight="1" x14ac:dyDescent="0.25">
      <c r="A789" s="51"/>
      <c r="B789" s="52"/>
      <c r="C789" s="36" t="s">
        <v>81</v>
      </c>
      <c r="D789" s="52"/>
      <c r="E789" s="10" t="s">
        <v>80</v>
      </c>
      <c r="F789" s="9">
        <f>SUM(F790:F791)</f>
        <v>381.5</v>
      </c>
      <c r="G789" s="9"/>
      <c r="H789" s="9">
        <f>SUM(H790:H791)</f>
        <v>381.5</v>
      </c>
      <c r="I789" s="9">
        <f>I790+I791</f>
        <v>381.5</v>
      </c>
      <c r="J789" s="335"/>
      <c r="K789" s="9">
        <f>K790+K791</f>
        <v>381.5</v>
      </c>
      <c r="L789" s="9">
        <f>L790+L791</f>
        <v>381.5</v>
      </c>
      <c r="M789" s="9"/>
      <c r="N789" s="9">
        <f>N790+N791</f>
        <v>381.5</v>
      </c>
    </row>
    <row r="790" spans="1:14" x14ac:dyDescent="0.25">
      <c r="A790" s="51"/>
      <c r="B790" s="52"/>
      <c r="C790" s="36"/>
      <c r="D790" s="52" t="s">
        <v>79</v>
      </c>
      <c r="E790" s="6" t="s">
        <v>78</v>
      </c>
      <c r="F790" s="9">
        <v>14.1</v>
      </c>
      <c r="G790" s="9"/>
      <c r="H790" s="9">
        <v>14.1</v>
      </c>
      <c r="I790" s="9">
        <v>14.1</v>
      </c>
      <c r="J790" s="335"/>
      <c r="K790" s="9">
        <v>14.1</v>
      </c>
      <c r="L790" s="9">
        <v>14.1</v>
      </c>
      <c r="M790" s="9"/>
      <c r="N790" s="9">
        <v>14.1</v>
      </c>
    </row>
    <row r="791" spans="1:14" ht="25.5" x14ac:dyDescent="0.25">
      <c r="A791" s="51"/>
      <c r="B791" s="52"/>
      <c r="C791" s="36"/>
      <c r="D791" s="52" t="s">
        <v>57</v>
      </c>
      <c r="E791" s="53" t="s">
        <v>56</v>
      </c>
      <c r="F791" s="9">
        <v>367.4</v>
      </c>
      <c r="G791" s="9"/>
      <c r="H791" s="9">
        <v>367.4</v>
      </c>
      <c r="I791" s="9">
        <v>367.4</v>
      </c>
      <c r="J791" s="335"/>
      <c r="K791" s="9">
        <v>367.4</v>
      </c>
      <c r="L791" s="9">
        <v>367.4</v>
      </c>
      <c r="M791" s="9"/>
      <c r="N791" s="9">
        <v>367.4</v>
      </c>
    </row>
    <row r="792" spans="1:14" x14ac:dyDescent="0.25">
      <c r="A792" s="51"/>
      <c r="B792" s="22">
        <v>1100</v>
      </c>
      <c r="C792" s="21"/>
      <c r="D792" s="21"/>
      <c r="E792" s="20" t="s">
        <v>76</v>
      </c>
      <c r="F792" s="26">
        <f t="shared" ref="F792:N797" si="134">F793</f>
        <v>76</v>
      </c>
      <c r="G792" s="26"/>
      <c r="H792" s="26">
        <f t="shared" si="134"/>
        <v>76</v>
      </c>
      <c r="I792" s="26">
        <f t="shared" si="134"/>
        <v>0</v>
      </c>
      <c r="J792" s="336"/>
      <c r="K792" s="26">
        <f t="shared" si="134"/>
        <v>0</v>
      </c>
      <c r="L792" s="26">
        <f t="shared" si="134"/>
        <v>76</v>
      </c>
      <c r="M792" s="26"/>
      <c r="N792" s="26">
        <f t="shared" si="134"/>
        <v>76</v>
      </c>
    </row>
    <row r="793" spans="1:14" x14ac:dyDescent="0.25">
      <c r="A793" s="51"/>
      <c r="B793" s="22" t="s">
        <v>75</v>
      </c>
      <c r="C793" s="21"/>
      <c r="D793" s="22"/>
      <c r="E793" s="27" t="s">
        <v>74</v>
      </c>
      <c r="F793" s="26">
        <f t="shared" si="134"/>
        <v>76</v>
      </c>
      <c r="G793" s="26"/>
      <c r="H793" s="26">
        <f t="shared" si="134"/>
        <v>76</v>
      </c>
      <c r="I793" s="26">
        <f t="shared" si="134"/>
        <v>0</v>
      </c>
      <c r="J793" s="336"/>
      <c r="K793" s="26">
        <f t="shared" si="134"/>
        <v>0</v>
      </c>
      <c r="L793" s="26">
        <f t="shared" si="134"/>
        <v>76</v>
      </c>
      <c r="M793" s="26"/>
      <c r="N793" s="26">
        <f t="shared" si="134"/>
        <v>76</v>
      </c>
    </row>
    <row r="794" spans="1:14" x14ac:dyDescent="0.25">
      <c r="A794" s="51"/>
      <c r="B794" s="22"/>
      <c r="C794" s="21" t="s">
        <v>36</v>
      </c>
      <c r="D794" s="22"/>
      <c r="E794" s="27" t="s">
        <v>35</v>
      </c>
      <c r="F794" s="26">
        <f t="shared" si="134"/>
        <v>76</v>
      </c>
      <c r="G794" s="26"/>
      <c r="H794" s="26">
        <f t="shared" si="134"/>
        <v>76</v>
      </c>
      <c r="I794" s="26">
        <f t="shared" si="134"/>
        <v>0</v>
      </c>
      <c r="J794" s="336"/>
      <c r="K794" s="26">
        <f t="shared" si="134"/>
        <v>0</v>
      </c>
      <c r="L794" s="26">
        <f t="shared" si="134"/>
        <v>76</v>
      </c>
      <c r="M794" s="26"/>
      <c r="N794" s="26">
        <f t="shared" si="134"/>
        <v>76</v>
      </c>
    </row>
    <row r="795" spans="1:14" ht="25.5" x14ac:dyDescent="0.25">
      <c r="A795" s="34"/>
      <c r="B795" s="33"/>
      <c r="C795" s="34" t="s">
        <v>73</v>
      </c>
      <c r="D795" s="33"/>
      <c r="E795" s="32" t="s">
        <v>72</v>
      </c>
      <c r="F795" s="31">
        <f t="shared" si="134"/>
        <v>76</v>
      </c>
      <c r="G795" s="31"/>
      <c r="H795" s="31">
        <f t="shared" si="134"/>
        <v>76</v>
      </c>
      <c r="I795" s="31">
        <f t="shared" si="134"/>
        <v>0</v>
      </c>
      <c r="J795" s="332"/>
      <c r="K795" s="31">
        <f t="shared" si="134"/>
        <v>0</v>
      </c>
      <c r="L795" s="31">
        <f t="shared" si="134"/>
        <v>76</v>
      </c>
      <c r="M795" s="31"/>
      <c r="N795" s="31">
        <f t="shared" si="134"/>
        <v>76</v>
      </c>
    </row>
    <row r="796" spans="1:14" ht="26.25" x14ac:dyDescent="0.25">
      <c r="A796" s="208"/>
      <c r="B796" s="208"/>
      <c r="C796" s="208" t="s">
        <v>71</v>
      </c>
      <c r="D796" s="208"/>
      <c r="E796" s="209" t="s">
        <v>70</v>
      </c>
      <c r="F796" s="210">
        <f t="shared" si="134"/>
        <v>76</v>
      </c>
      <c r="G796" s="210"/>
      <c r="H796" s="210">
        <f t="shared" si="134"/>
        <v>76</v>
      </c>
      <c r="I796" s="210">
        <f t="shared" si="134"/>
        <v>0</v>
      </c>
      <c r="J796" s="334"/>
      <c r="K796" s="210">
        <f t="shared" si="134"/>
        <v>0</v>
      </c>
      <c r="L796" s="210">
        <f t="shared" si="134"/>
        <v>76</v>
      </c>
      <c r="M796" s="210"/>
      <c r="N796" s="210">
        <f t="shared" si="134"/>
        <v>76</v>
      </c>
    </row>
    <row r="797" spans="1:14" ht="39" x14ac:dyDescent="0.25">
      <c r="A797" s="8"/>
      <c r="B797" s="8"/>
      <c r="C797" s="7" t="s">
        <v>69</v>
      </c>
      <c r="D797" s="7"/>
      <c r="E797" s="6" t="s">
        <v>68</v>
      </c>
      <c r="F797" s="9">
        <f t="shared" si="134"/>
        <v>76</v>
      </c>
      <c r="G797" s="9"/>
      <c r="H797" s="9">
        <f t="shared" si="134"/>
        <v>76</v>
      </c>
      <c r="I797" s="9">
        <f t="shared" si="134"/>
        <v>0</v>
      </c>
      <c r="J797" s="335"/>
      <c r="K797" s="9">
        <f t="shared" si="134"/>
        <v>0</v>
      </c>
      <c r="L797" s="9">
        <f t="shared" si="134"/>
        <v>76</v>
      </c>
      <c r="M797" s="9"/>
      <c r="N797" s="9">
        <f t="shared" si="134"/>
        <v>76</v>
      </c>
    </row>
    <row r="798" spans="1:14" ht="26.25" x14ac:dyDescent="0.25">
      <c r="A798" s="8"/>
      <c r="B798" s="8"/>
      <c r="C798" s="7"/>
      <c r="D798" s="7" t="s">
        <v>57</v>
      </c>
      <c r="E798" s="6" t="s">
        <v>56</v>
      </c>
      <c r="F798" s="9">
        <v>76</v>
      </c>
      <c r="G798" s="9"/>
      <c r="H798" s="9">
        <v>76</v>
      </c>
      <c r="I798" s="9">
        <v>0</v>
      </c>
      <c r="J798" s="335"/>
      <c r="K798" s="9">
        <v>0</v>
      </c>
      <c r="L798" s="9">
        <v>76</v>
      </c>
      <c r="M798" s="9"/>
      <c r="N798" s="9">
        <v>76</v>
      </c>
    </row>
    <row r="799" spans="1:14" x14ac:dyDescent="0.25">
      <c r="A799" s="51"/>
      <c r="B799" s="22">
        <v>1200</v>
      </c>
      <c r="C799" s="21"/>
      <c r="D799" s="21"/>
      <c r="E799" s="20" t="s">
        <v>67</v>
      </c>
      <c r="F799" s="26">
        <f t="shared" ref="F799:N805" si="135">F800</f>
        <v>1139.5</v>
      </c>
      <c r="G799" s="26">
        <f t="shared" si="135"/>
        <v>0</v>
      </c>
      <c r="H799" s="26">
        <f t="shared" si="135"/>
        <v>1139.5</v>
      </c>
      <c r="I799" s="26">
        <f t="shared" si="135"/>
        <v>1042.5999999999999</v>
      </c>
      <c r="J799" s="336"/>
      <c r="K799" s="26">
        <f t="shared" si="135"/>
        <v>1042.5999999999999</v>
      </c>
      <c r="L799" s="26">
        <f t="shared" si="135"/>
        <v>1042.5999999999999</v>
      </c>
      <c r="M799" s="26"/>
      <c r="N799" s="26">
        <f t="shared" si="135"/>
        <v>1042.5999999999999</v>
      </c>
    </row>
    <row r="800" spans="1:14" x14ac:dyDescent="0.25">
      <c r="A800" s="21"/>
      <c r="B800" s="22">
        <v>1202</v>
      </c>
      <c r="C800" s="21"/>
      <c r="D800" s="21"/>
      <c r="E800" s="20" t="s">
        <v>66</v>
      </c>
      <c r="F800" s="26">
        <f t="shared" si="135"/>
        <v>1139.5</v>
      </c>
      <c r="G800" s="26">
        <f t="shared" si="135"/>
        <v>0</v>
      </c>
      <c r="H800" s="26">
        <f t="shared" si="135"/>
        <v>1139.5</v>
      </c>
      <c r="I800" s="26">
        <f t="shared" si="135"/>
        <v>1042.5999999999999</v>
      </c>
      <c r="J800" s="336"/>
      <c r="K800" s="26">
        <f t="shared" si="135"/>
        <v>1042.5999999999999</v>
      </c>
      <c r="L800" s="26">
        <f t="shared" si="135"/>
        <v>1042.5999999999999</v>
      </c>
      <c r="M800" s="26"/>
      <c r="N800" s="26">
        <f t="shared" si="135"/>
        <v>1042.5999999999999</v>
      </c>
    </row>
    <row r="801" spans="1:14" x14ac:dyDescent="0.25">
      <c r="A801" s="21"/>
      <c r="B801" s="22"/>
      <c r="C801" s="21" t="s">
        <v>36</v>
      </c>
      <c r="D801" s="21"/>
      <c r="E801" s="27" t="s">
        <v>35</v>
      </c>
      <c r="F801" s="26">
        <f t="shared" si="135"/>
        <v>1139.5</v>
      </c>
      <c r="G801" s="26">
        <f t="shared" si="135"/>
        <v>0</v>
      </c>
      <c r="H801" s="26">
        <f t="shared" si="135"/>
        <v>1139.5</v>
      </c>
      <c r="I801" s="26">
        <f t="shared" si="135"/>
        <v>1042.5999999999999</v>
      </c>
      <c r="J801" s="336"/>
      <c r="K801" s="26">
        <f t="shared" si="135"/>
        <v>1042.5999999999999</v>
      </c>
      <c r="L801" s="26">
        <f t="shared" si="135"/>
        <v>1042.5999999999999</v>
      </c>
      <c r="M801" s="26"/>
      <c r="N801" s="26">
        <f t="shared" si="135"/>
        <v>1042.5999999999999</v>
      </c>
    </row>
    <row r="802" spans="1:14" ht="25.5" x14ac:dyDescent="0.25">
      <c r="A802" s="35"/>
      <c r="B802" s="33"/>
      <c r="C802" s="34" t="s">
        <v>65</v>
      </c>
      <c r="D802" s="33"/>
      <c r="E802" s="32" t="s">
        <v>64</v>
      </c>
      <c r="F802" s="31">
        <f t="shared" si="135"/>
        <v>1139.5</v>
      </c>
      <c r="G802" s="31">
        <f t="shared" si="135"/>
        <v>0</v>
      </c>
      <c r="H802" s="31">
        <f t="shared" si="135"/>
        <v>1139.5</v>
      </c>
      <c r="I802" s="31">
        <f t="shared" si="135"/>
        <v>1042.5999999999999</v>
      </c>
      <c r="J802" s="332"/>
      <c r="K802" s="31">
        <f t="shared" si="135"/>
        <v>1042.5999999999999</v>
      </c>
      <c r="L802" s="31">
        <f t="shared" si="135"/>
        <v>1042.5999999999999</v>
      </c>
      <c r="M802" s="31"/>
      <c r="N802" s="31">
        <f t="shared" si="135"/>
        <v>1042.5999999999999</v>
      </c>
    </row>
    <row r="803" spans="1:14" x14ac:dyDescent="0.25">
      <c r="A803" s="30"/>
      <c r="B803" s="30"/>
      <c r="C803" s="30" t="s">
        <v>63</v>
      </c>
      <c r="D803" s="30"/>
      <c r="E803" s="50" t="s">
        <v>62</v>
      </c>
      <c r="F803" s="28">
        <f t="shared" si="135"/>
        <v>1139.5</v>
      </c>
      <c r="G803" s="28">
        <f t="shared" si="135"/>
        <v>0</v>
      </c>
      <c r="H803" s="28">
        <f t="shared" si="135"/>
        <v>1139.5</v>
      </c>
      <c r="I803" s="28">
        <f t="shared" si="135"/>
        <v>1042.5999999999999</v>
      </c>
      <c r="J803" s="333"/>
      <c r="K803" s="28">
        <f t="shared" si="135"/>
        <v>1042.5999999999999</v>
      </c>
      <c r="L803" s="28">
        <f t="shared" si="135"/>
        <v>1042.5999999999999</v>
      </c>
      <c r="M803" s="28"/>
      <c r="N803" s="28">
        <f t="shared" si="135"/>
        <v>1042.5999999999999</v>
      </c>
    </row>
    <row r="804" spans="1:14" ht="39" x14ac:dyDescent="0.25">
      <c r="A804" s="208"/>
      <c r="B804" s="208"/>
      <c r="C804" s="208" t="s">
        <v>61</v>
      </c>
      <c r="D804" s="208"/>
      <c r="E804" s="209" t="s">
        <v>60</v>
      </c>
      <c r="F804" s="210">
        <f t="shared" si="135"/>
        <v>1139.5</v>
      </c>
      <c r="G804" s="210">
        <f t="shared" si="135"/>
        <v>0</v>
      </c>
      <c r="H804" s="210">
        <f t="shared" si="135"/>
        <v>1139.5</v>
      </c>
      <c r="I804" s="210">
        <f t="shared" si="135"/>
        <v>1042.5999999999999</v>
      </c>
      <c r="J804" s="334"/>
      <c r="K804" s="210">
        <f t="shared" si="135"/>
        <v>1042.5999999999999</v>
      </c>
      <c r="L804" s="210">
        <f t="shared" si="135"/>
        <v>1042.5999999999999</v>
      </c>
      <c r="M804" s="210"/>
      <c r="N804" s="210">
        <f t="shared" si="135"/>
        <v>1042.5999999999999</v>
      </c>
    </row>
    <row r="805" spans="1:14" x14ac:dyDescent="0.25">
      <c r="A805" s="8"/>
      <c r="B805" s="8"/>
      <c r="C805" s="7" t="s">
        <v>59</v>
      </c>
      <c r="D805" s="7"/>
      <c r="E805" s="6" t="s">
        <v>58</v>
      </c>
      <c r="F805" s="9">
        <f t="shared" si="135"/>
        <v>1139.5</v>
      </c>
      <c r="G805" s="9">
        <f t="shared" si="135"/>
        <v>0</v>
      </c>
      <c r="H805" s="9">
        <f t="shared" si="135"/>
        <v>1139.5</v>
      </c>
      <c r="I805" s="9">
        <f t="shared" si="135"/>
        <v>1042.5999999999999</v>
      </c>
      <c r="J805" s="335"/>
      <c r="K805" s="9">
        <f t="shared" si="135"/>
        <v>1042.5999999999999</v>
      </c>
      <c r="L805" s="9">
        <f t="shared" si="135"/>
        <v>1042.5999999999999</v>
      </c>
      <c r="M805" s="9"/>
      <c r="N805" s="9">
        <f t="shared" si="135"/>
        <v>1042.5999999999999</v>
      </c>
    </row>
    <row r="806" spans="1:14" ht="26.25" x14ac:dyDescent="0.25">
      <c r="A806" s="8"/>
      <c r="B806" s="8"/>
      <c r="C806" s="7"/>
      <c r="D806" s="7" t="s">
        <v>57</v>
      </c>
      <c r="E806" s="6" t="s">
        <v>56</v>
      </c>
      <c r="F806" s="9">
        <v>1139.5</v>
      </c>
      <c r="G806" s="9"/>
      <c r="H806" s="9">
        <f>1042.6+96.9</f>
        <v>1139.5</v>
      </c>
      <c r="I806" s="9">
        <v>1042.5999999999999</v>
      </c>
      <c r="J806" s="335"/>
      <c r="K806" s="9">
        <v>1042.5999999999999</v>
      </c>
      <c r="L806" s="9">
        <v>1042.5999999999999</v>
      </c>
      <c r="M806" s="9"/>
      <c r="N806" s="9">
        <v>1042.5999999999999</v>
      </c>
    </row>
    <row r="807" spans="1:14" x14ac:dyDescent="0.25">
      <c r="A807" s="39">
        <v>636</v>
      </c>
      <c r="B807" s="40"/>
      <c r="C807" s="39"/>
      <c r="D807" s="39"/>
      <c r="E807" s="38" t="s">
        <v>55</v>
      </c>
      <c r="F807" s="37">
        <f t="shared" ref="F807:N809" si="136">F808</f>
        <v>3493.2000000000003</v>
      </c>
      <c r="G807" s="37"/>
      <c r="H807" s="37">
        <f t="shared" si="136"/>
        <v>3493.2000000000003</v>
      </c>
      <c r="I807" s="37">
        <f t="shared" si="136"/>
        <v>3429.9</v>
      </c>
      <c r="J807" s="330"/>
      <c r="K807" s="37">
        <f t="shared" si="136"/>
        <v>3429.9</v>
      </c>
      <c r="L807" s="37">
        <f t="shared" si="136"/>
        <v>3484.3</v>
      </c>
      <c r="M807" s="37"/>
      <c r="N807" s="37">
        <f t="shared" si="136"/>
        <v>3484.3</v>
      </c>
    </row>
    <row r="808" spans="1:14" x14ac:dyDescent="0.25">
      <c r="A808" s="36"/>
      <c r="B808" s="22" t="s">
        <v>40</v>
      </c>
      <c r="C808" s="21"/>
      <c r="D808" s="21"/>
      <c r="E808" s="20" t="s">
        <v>39</v>
      </c>
      <c r="F808" s="26">
        <f t="shared" si="136"/>
        <v>3493.2000000000003</v>
      </c>
      <c r="G808" s="26"/>
      <c r="H808" s="26">
        <f t="shared" si="136"/>
        <v>3493.2000000000003</v>
      </c>
      <c r="I808" s="26">
        <f t="shared" si="136"/>
        <v>3429.9</v>
      </c>
      <c r="J808" s="336"/>
      <c r="K808" s="26">
        <f t="shared" si="136"/>
        <v>3429.9</v>
      </c>
      <c r="L808" s="26">
        <f t="shared" si="136"/>
        <v>3484.3</v>
      </c>
      <c r="M808" s="26"/>
      <c r="N808" s="26">
        <f t="shared" si="136"/>
        <v>3484.3</v>
      </c>
    </row>
    <row r="809" spans="1:14" ht="25.5" x14ac:dyDescent="0.25">
      <c r="A809" s="36"/>
      <c r="B809" s="22" t="s">
        <v>54</v>
      </c>
      <c r="C809" s="21"/>
      <c r="D809" s="22"/>
      <c r="E809" s="27" t="s">
        <v>53</v>
      </c>
      <c r="F809" s="26">
        <f t="shared" si="136"/>
        <v>3493.2000000000003</v>
      </c>
      <c r="G809" s="26"/>
      <c r="H809" s="26">
        <f t="shared" si="136"/>
        <v>3493.2000000000003</v>
      </c>
      <c r="I809" s="26">
        <f t="shared" si="136"/>
        <v>3429.9</v>
      </c>
      <c r="J809" s="336"/>
      <c r="K809" s="26">
        <f t="shared" si="136"/>
        <v>3429.9</v>
      </c>
      <c r="L809" s="26">
        <f t="shared" si="136"/>
        <v>3484.3</v>
      </c>
      <c r="M809" s="26"/>
      <c r="N809" s="26">
        <f t="shared" si="136"/>
        <v>3484.3</v>
      </c>
    </row>
    <row r="810" spans="1:14" x14ac:dyDescent="0.25">
      <c r="A810" s="49"/>
      <c r="B810" s="48"/>
      <c r="C810" s="47" t="s">
        <v>52</v>
      </c>
      <c r="D810" s="46"/>
      <c r="E810" s="45" t="s">
        <v>51</v>
      </c>
      <c r="F810" s="16">
        <f>F811+F819</f>
        <v>3493.2000000000003</v>
      </c>
      <c r="G810" s="16"/>
      <c r="H810" s="16">
        <f>H811+H819</f>
        <v>3493.2000000000003</v>
      </c>
      <c r="I810" s="16">
        <f>I811+I819</f>
        <v>3429.9</v>
      </c>
      <c r="J810" s="345"/>
      <c r="K810" s="16">
        <f>K811+K819</f>
        <v>3429.9</v>
      </c>
      <c r="L810" s="16">
        <f>L811+L819</f>
        <v>3484.3</v>
      </c>
      <c r="M810" s="16"/>
      <c r="N810" s="16">
        <f>N811+N819</f>
        <v>3484.3</v>
      </c>
    </row>
    <row r="811" spans="1:14" s="23" customFormat="1" ht="26.25" x14ac:dyDescent="0.25">
      <c r="A811" s="24"/>
      <c r="B811" s="24"/>
      <c r="C811" s="43" t="s">
        <v>50</v>
      </c>
      <c r="D811" s="44"/>
      <c r="E811" s="14" t="s">
        <v>49</v>
      </c>
      <c r="F811" s="13">
        <f>F812+F814+F817</f>
        <v>3343.2000000000003</v>
      </c>
      <c r="G811" s="13"/>
      <c r="H811" s="13">
        <f>H812+H814+H817</f>
        <v>3343.2000000000003</v>
      </c>
      <c r="I811" s="13">
        <f>I812+I814</f>
        <v>3279.9</v>
      </c>
      <c r="J811" s="346"/>
      <c r="K811" s="13">
        <f>K812+K814</f>
        <v>3279.9</v>
      </c>
      <c r="L811" s="13">
        <f>L812+L814</f>
        <v>3334.3</v>
      </c>
      <c r="M811" s="13"/>
      <c r="N811" s="13">
        <f>N812+N814</f>
        <v>3334.3</v>
      </c>
    </row>
    <row r="812" spans="1:14" ht="26.25" x14ac:dyDescent="0.25">
      <c r="A812" s="8"/>
      <c r="B812" s="8"/>
      <c r="C812" s="7" t="s">
        <v>48</v>
      </c>
      <c r="D812" s="7"/>
      <c r="E812" s="6" t="s">
        <v>47</v>
      </c>
      <c r="F812" s="9">
        <v>1164</v>
      </c>
      <c r="G812" s="9"/>
      <c r="H812" s="9">
        <v>1164</v>
      </c>
      <c r="I812" s="9">
        <v>1164</v>
      </c>
      <c r="J812" s="335"/>
      <c r="K812" s="9">
        <v>1164</v>
      </c>
      <c r="L812" s="9">
        <f>L813</f>
        <v>1164</v>
      </c>
      <c r="M812" s="9"/>
      <c r="N812" s="9">
        <f>N813</f>
        <v>1164</v>
      </c>
    </row>
    <row r="813" spans="1:14" ht="39" x14ac:dyDescent="0.25">
      <c r="A813" s="8"/>
      <c r="B813" s="8"/>
      <c r="C813" s="7"/>
      <c r="D813" s="7" t="s">
        <v>2</v>
      </c>
      <c r="E813" s="6" t="s">
        <v>1</v>
      </c>
      <c r="F813" s="5">
        <v>1164</v>
      </c>
      <c r="G813" s="5"/>
      <c r="H813" s="5">
        <v>1164</v>
      </c>
      <c r="I813" s="5">
        <v>1164</v>
      </c>
      <c r="J813" s="337"/>
      <c r="K813" s="5">
        <v>1164</v>
      </c>
      <c r="L813" s="5">
        <v>1164</v>
      </c>
      <c r="M813" s="5"/>
      <c r="N813" s="5">
        <v>1164</v>
      </c>
    </row>
    <row r="814" spans="1:14" ht="26.25" x14ac:dyDescent="0.25">
      <c r="A814" s="8"/>
      <c r="B814" s="8"/>
      <c r="C814" s="7" t="s">
        <v>46</v>
      </c>
      <c r="D814" s="7"/>
      <c r="E814" s="12" t="s">
        <v>45</v>
      </c>
      <c r="F814" s="5">
        <f>F815+F816</f>
        <v>2091.9</v>
      </c>
      <c r="G814" s="5"/>
      <c r="H814" s="5">
        <f>H815+H816</f>
        <v>2091.9</v>
      </c>
      <c r="I814" s="5">
        <f>I815+I816</f>
        <v>2115.9</v>
      </c>
      <c r="J814" s="337"/>
      <c r="K814" s="5">
        <f>K815+K816</f>
        <v>2115.9</v>
      </c>
      <c r="L814" s="5">
        <f>L815+L816</f>
        <v>2170.3000000000002</v>
      </c>
      <c r="M814" s="5"/>
      <c r="N814" s="5">
        <f>N815+N816</f>
        <v>2170.3000000000002</v>
      </c>
    </row>
    <row r="815" spans="1:14" ht="39" x14ac:dyDescent="0.25">
      <c r="A815" s="8"/>
      <c r="B815" s="8"/>
      <c r="C815" s="7"/>
      <c r="D815" s="7" t="s">
        <v>2</v>
      </c>
      <c r="E815" s="6" t="s">
        <v>1</v>
      </c>
      <c r="F815" s="5">
        <f>1960.1+77.4</f>
        <v>2037.5</v>
      </c>
      <c r="G815" s="5"/>
      <c r="H815" s="5">
        <f>1960.1+77.4</f>
        <v>2037.5</v>
      </c>
      <c r="I815" s="5">
        <f>2028.2+87.7</f>
        <v>2115.9</v>
      </c>
      <c r="J815" s="337"/>
      <c r="K815" s="5">
        <f>2028.2+87.7</f>
        <v>2115.9</v>
      </c>
      <c r="L815" s="5">
        <f>2028.2+87.7</f>
        <v>2115.9</v>
      </c>
      <c r="M815" s="5"/>
      <c r="N815" s="5">
        <f>2028.2+87.7</f>
        <v>2115.9</v>
      </c>
    </row>
    <row r="816" spans="1:14" x14ac:dyDescent="0.25">
      <c r="A816" s="8"/>
      <c r="B816" s="8"/>
      <c r="C816" s="7"/>
      <c r="D816" s="7" t="s">
        <v>12</v>
      </c>
      <c r="E816" s="6" t="s">
        <v>11</v>
      </c>
      <c r="F816" s="9">
        <v>54.4</v>
      </c>
      <c r="G816" s="9"/>
      <c r="H816" s="9">
        <v>54.4</v>
      </c>
      <c r="I816" s="9">
        <v>0</v>
      </c>
      <c r="J816" s="335"/>
      <c r="K816" s="9">
        <v>0</v>
      </c>
      <c r="L816" s="9">
        <v>54.4</v>
      </c>
      <c r="M816" s="9"/>
      <c r="N816" s="9">
        <v>54.4</v>
      </c>
    </row>
    <row r="817" spans="1:14" ht="39" x14ac:dyDescent="0.25">
      <c r="A817" s="8"/>
      <c r="B817" s="8"/>
      <c r="C817" s="7" t="s">
        <v>735</v>
      </c>
      <c r="D817" s="7"/>
      <c r="E817" s="6" t="s">
        <v>736</v>
      </c>
      <c r="F817" s="9">
        <f>F818</f>
        <v>87.3</v>
      </c>
      <c r="G817" s="9"/>
      <c r="H817" s="9">
        <f>H818</f>
        <v>87.3</v>
      </c>
      <c r="I817" s="9">
        <v>0</v>
      </c>
      <c r="J817" s="335"/>
      <c r="K817" s="9">
        <v>0</v>
      </c>
      <c r="L817" s="9">
        <v>0</v>
      </c>
      <c r="M817" s="9"/>
      <c r="N817" s="9">
        <v>0</v>
      </c>
    </row>
    <row r="818" spans="1:14" x14ac:dyDescent="0.25">
      <c r="A818" s="8"/>
      <c r="B818" s="8"/>
      <c r="C818" s="7"/>
      <c r="D818" s="7" t="s">
        <v>12</v>
      </c>
      <c r="E818" s="6" t="s">
        <v>11</v>
      </c>
      <c r="F818" s="9">
        <v>87.3</v>
      </c>
      <c r="G818" s="9"/>
      <c r="H818" s="9">
        <v>87.3</v>
      </c>
      <c r="I818" s="9">
        <v>0</v>
      </c>
      <c r="J818" s="335"/>
      <c r="K818" s="9">
        <v>0</v>
      </c>
      <c r="L818" s="9">
        <v>0</v>
      </c>
      <c r="M818" s="9"/>
      <c r="N818" s="9">
        <v>0</v>
      </c>
    </row>
    <row r="819" spans="1:14" ht="25.5" x14ac:dyDescent="0.25">
      <c r="A819" s="24"/>
      <c r="B819" s="24"/>
      <c r="C819" s="43" t="s">
        <v>16</v>
      </c>
      <c r="D819" s="42"/>
      <c r="E819" s="41" t="s">
        <v>44</v>
      </c>
      <c r="F819" s="13">
        <f t="shared" ref="F819:N820" si="137">F820</f>
        <v>150</v>
      </c>
      <c r="G819" s="13"/>
      <c r="H819" s="13">
        <f t="shared" si="137"/>
        <v>150</v>
      </c>
      <c r="I819" s="13">
        <f t="shared" si="137"/>
        <v>150</v>
      </c>
      <c r="J819" s="346"/>
      <c r="K819" s="13">
        <f t="shared" si="137"/>
        <v>150</v>
      </c>
      <c r="L819" s="13">
        <f t="shared" si="137"/>
        <v>150</v>
      </c>
      <c r="M819" s="13"/>
      <c r="N819" s="13">
        <f t="shared" si="137"/>
        <v>150</v>
      </c>
    </row>
    <row r="820" spans="1:14" ht="26.25" x14ac:dyDescent="0.25">
      <c r="A820" s="8"/>
      <c r="B820" s="8"/>
      <c r="C820" s="7" t="s">
        <v>43</v>
      </c>
      <c r="D820" s="7"/>
      <c r="E820" s="6" t="s">
        <v>42</v>
      </c>
      <c r="F820" s="9">
        <f t="shared" si="137"/>
        <v>150</v>
      </c>
      <c r="G820" s="9"/>
      <c r="H820" s="9">
        <f t="shared" si="137"/>
        <v>150</v>
      </c>
      <c r="I820" s="9">
        <f t="shared" si="137"/>
        <v>150</v>
      </c>
      <c r="J820" s="335"/>
      <c r="K820" s="9">
        <f t="shared" si="137"/>
        <v>150</v>
      </c>
      <c r="L820" s="9">
        <f t="shared" si="137"/>
        <v>150</v>
      </c>
      <c r="M820" s="9"/>
      <c r="N820" s="9">
        <f t="shared" si="137"/>
        <v>150</v>
      </c>
    </row>
    <row r="821" spans="1:14" x14ac:dyDescent="0.25">
      <c r="A821" s="8"/>
      <c r="B821" s="8"/>
      <c r="C821" s="7"/>
      <c r="D821" s="7" t="s">
        <v>12</v>
      </c>
      <c r="E821" s="6" t="s">
        <v>11</v>
      </c>
      <c r="F821" s="9">
        <v>150</v>
      </c>
      <c r="G821" s="9"/>
      <c r="H821" s="9">
        <v>150</v>
      </c>
      <c r="I821" s="9">
        <v>150</v>
      </c>
      <c r="J821" s="335"/>
      <c r="K821" s="9">
        <v>150</v>
      </c>
      <c r="L821" s="9">
        <v>150</v>
      </c>
      <c r="M821" s="9"/>
      <c r="N821" s="9">
        <v>150</v>
      </c>
    </row>
    <row r="822" spans="1:14" ht="25.5" x14ac:dyDescent="0.25">
      <c r="A822" s="39">
        <v>651</v>
      </c>
      <c r="B822" s="40"/>
      <c r="C822" s="39"/>
      <c r="D822" s="39"/>
      <c r="E822" s="38" t="s">
        <v>41</v>
      </c>
      <c r="F822" s="37">
        <f t="shared" ref="F822:L822" si="138">F823</f>
        <v>35644.784200000009</v>
      </c>
      <c r="G822" s="37">
        <f t="shared" si="138"/>
        <v>91.656289999999998</v>
      </c>
      <c r="H822" s="37">
        <f t="shared" si="138"/>
        <v>35736.440490000008</v>
      </c>
      <c r="I822" s="37">
        <f t="shared" si="138"/>
        <v>35554.563699999999</v>
      </c>
      <c r="J822" s="37"/>
      <c r="K822" s="37">
        <f t="shared" si="138"/>
        <v>35554.563699999999</v>
      </c>
      <c r="L822" s="37">
        <f t="shared" si="138"/>
        <v>35878.535600000003</v>
      </c>
      <c r="M822" s="37"/>
      <c r="N822" s="37">
        <f>N823</f>
        <v>35878.535600000003</v>
      </c>
    </row>
    <row r="823" spans="1:14" x14ac:dyDescent="0.25">
      <c r="A823" s="36"/>
      <c r="B823" s="22" t="s">
        <v>40</v>
      </c>
      <c r="C823" s="21"/>
      <c r="D823" s="21"/>
      <c r="E823" s="20" t="s">
        <v>39</v>
      </c>
      <c r="F823" s="26">
        <f t="shared" ref="F823:L823" si="139">F824+F836+F841</f>
        <v>35644.784200000009</v>
      </c>
      <c r="G823" s="26">
        <f t="shared" si="139"/>
        <v>91.656289999999998</v>
      </c>
      <c r="H823" s="26">
        <f t="shared" si="139"/>
        <v>35736.440490000008</v>
      </c>
      <c r="I823" s="26">
        <f t="shared" si="139"/>
        <v>35554.563699999999</v>
      </c>
      <c r="J823" s="26"/>
      <c r="K823" s="26">
        <f t="shared" si="139"/>
        <v>35554.563699999999</v>
      </c>
      <c r="L823" s="26">
        <f t="shared" si="139"/>
        <v>35878.535600000003</v>
      </c>
      <c r="M823" s="26"/>
      <c r="N823" s="26">
        <f>N824+N836+N841</f>
        <v>35878.535600000003</v>
      </c>
    </row>
    <row r="824" spans="1:14" ht="25.5" x14ac:dyDescent="0.25">
      <c r="A824" s="36"/>
      <c r="B824" s="22" t="s">
        <v>38</v>
      </c>
      <c r="C824" s="21"/>
      <c r="D824" s="21"/>
      <c r="E824" s="20" t="s">
        <v>37</v>
      </c>
      <c r="F824" s="26">
        <f>F825+F832</f>
        <v>8507.4</v>
      </c>
      <c r="G824" s="26">
        <f t="shared" ref="G824:H824" si="140">G825+G832</f>
        <v>91.656289999999998</v>
      </c>
      <c r="H824" s="26">
        <f t="shared" si="140"/>
        <v>8599.0562900000023</v>
      </c>
      <c r="I824" s="26">
        <f t="shared" ref="I824:L824" si="141">I825</f>
        <v>8250.7999999999993</v>
      </c>
      <c r="J824" s="26"/>
      <c r="K824" s="26">
        <f t="shared" si="141"/>
        <v>8250.7999999999993</v>
      </c>
      <c r="L824" s="26">
        <f t="shared" si="141"/>
        <v>8813.2999999999993</v>
      </c>
      <c r="M824" s="26"/>
      <c r="N824" s="26">
        <f>N825</f>
        <v>8813.2999999999993</v>
      </c>
    </row>
    <row r="825" spans="1:14" x14ac:dyDescent="0.25">
      <c r="A825" s="36"/>
      <c r="B825" s="22"/>
      <c r="C825" s="21" t="s">
        <v>36</v>
      </c>
      <c r="D825" s="21"/>
      <c r="E825" s="20" t="s">
        <v>35</v>
      </c>
      <c r="F825" s="26">
        <f t="shared" ref="F825:L825" si="142">F827</f>
        <v>8507.4</v>
      </c>
      <c r="G825" s="26"/>
      <c r="H825" s="26">
        <f t="shared" si="142"/>
        <v>8507.4000000000015</v>
      </c>
      <c r="I825" s="26">
        <f t="shared" si="142"/>
        <v>8250.7999999999993</v>
      </c>
      <c r="J825" s="26"/>
      <c r="K825" s="26">
        <f t="shared" si="142"/>
        <v>8250.7999999999993</v>
      </c>
      <c r="L825" s="26">
        <f t="shared" si="142"/>
        <v>8813.2999999999993</v>
      </c>
      <c r="M825" s="26"/>
      <c r="N825" s="26">
        <f>N827</f>
        <v>8813.2999999999993</v>
      </c>
    </row>
    <row r="826" spans="1:14" ht="25.5" x14ac:dyDescent="0.25">
      <c r="A826" s="35"/>
      <c r="B826" s="33"/>
      <c r="C826" s="34" t="s">
        <v>34</v>
      </c>
      <c r="D826" s="33"/>
      <c r="E826" s="32" t="s">
        <v>33</v>
      </c>
      <c r="F826" s="31">
        <f t="shared" ref="F826:N828" si="143">F827</f>
        <v>8507.4</v>
      </c>
      <c r="G826" s="31"/>
      <c r="H826" s="31">
        <f t="shared" si="143"/>
        <v>8507.4000000000015</v>
      </c>
      <c r="I826" s="31">
        <f t="shared" si="143"/>
        <v>8250.7999999999993</v>
      </c>
      <c r="J826" s="31"/>
      <c r="K826" s="31">
        <f t="shared" si="143"/>
        <v>8250.7999999999993</v>
      </c>
      <c r="L826" s="31">
        <f t="shared" si="143"/>
        <v>8813.2999999999993</v>
      </c>
      <c r="M826" s="31"/>
      <c r="N826" s="31">
        <f t="shared" si="143"/>
        <v>8813.2999999999993</v>
      </c>
    </row>
    <row r="827" spans="1:14" ht="26.25" x14ac:dyDescent="0.25">
      <c r="A827" s="30"/>
      <c r="B827" s="30"/>
      <c r="C827" s="30" t="s">
        <v>32</v>
      </c>
      <c r="D827" s="30"/>
      <c r="E827" s="29" t="s">
        <v>31</v>
      </c>
      <c r="F827" s="28">
        <f t="shared" si="143"/>
        <v>8507.4</v>
      </c>
      <c r="G827" s="28"/>
      <c r="H827" s="28">
        <f t="shared" si="143"/>
        <v>8507.4000000000015</v>
      </c>
      <c r="I827" s="28">
        <f t="shared" si="143"/>
        <v>8250.7999999999993</v>
      </c>
      <c r="J827" s="28"/>
      <c r="K827" s="28">
        <f t="shared" si="143"/>
        <v>8250.7999999999993</v>
      </c>
      <c r="L827" s="28">
        <f t="shared" si="143"/>
        <v>8813.2999999999993</v>
      </c>
      <c r="M827" s="28"/>
      <c r="N827" s="28">
        <f t="shared" si="143"/>
        <v>8813.2999999999993</v>
      </c>
    </row>
    <row r="828" spans="1:14" ht="39" x14ac:dyDescent="0.25">
      <c r="A828" s="208"/>
      <c r="B828" s="208"/>
      <c r="C828" s="208" t="s">
        <v>30</v>
      </c>
      <c r="D828" s="208"/>
      <c r="E828" s="209" t="s">
        <v>29</v>
      </c>
      <c r="F828" s="210">
        <f t="shared" si="143"/>
        <v>8507.4</v>
      </c>
      <c r="G828" s="210"/>
      <c r="H828" s="210">
        <f t="shared" si="143"/>
        <v>8507.4000000000015</v>
      </c>
      <c r="I828" s="210">
        <f t="shared" si="143"/>
        <v>8250.7999999999993</v>
      </c>
      <c r="J828" s="210"/>
      <c r="K828" s="210">
        <f t="shared" si="143"/>
        <v>8250.7999999999993</v>
      </c>
      <c r="L828" s="210">
        <f t="shared" si="143"/>
        <v>8813.2999999999993</v>
      </c>
      <c r="M828" s="210"/>
      <c r="N828" s="210">
        <f t="shared" si="143"/>
        <v>8813.2999999999993</v>
      </c>
    </row>
    <row r="829" spans="1:14" ht="25.5" x14ac:dyDescent="0.25">
      <c r="A829" s="8"/>
      <c r="B829" s="8"/>
      <c r="C829" s="7" t="s">
        <v>28</v>
      </c>
      <c r="D829" s="7"/>
      <c r="E829" s="10" t="s">
        <v>27</v>
      </c>
      <c r="F829" s="9">
        <f t="shared" ref="F829:L829" si="144">F830+F831</f>
        <v>8507.4</v>
      </c>
      <c r="G829" s="9"/>
      <c r="H829" s="9">
        <f t="shared" si="144"/>
        <v>8507.4000000000015</v>
      </c>
      <c r="I829" s="9">
        <f t="shared" si="144"/>
        <v>8250.7999999999993</v>
      </c>
      <c r="J829" s="9"/>
      <c r="K829" s="9">
        <f t="shared" si="144"/>
        <v>8250.7999999999993</v>
      </c>
      <c r="L829" s="9">
        <f t="shared" si="144"/>
        <v>8813.2999999999993</v>
      </c>
      <c r="M829" s="9"/>
      <c r="N829" s="9">
        <f>N830+N831</f>
        <v>8813.2999999999993</v>
      </c>
    </row>
    <row r="830" spans="1:14" ht="39" x14ac:dyDescent="0.25">
      <c r="A830" s="8"/>
      <c r="B830" s="8"/>
      <c r="C830" s="7"/>
      <c r="D830" s="7" t="s">
        <v>2</v>
      </c>
      <c r="E830" s="6" t="s">
        <v>1</v>
      </c>
      <c r="F830" s="9">
        <v>7944.9</v>
      </c>
      <c r="G830" s="9"/>
      <c r="H830" s="9">
        <f>7683.3+295.3-33.7</f>
        <v>7944.9000000000005</v>
      </c>
      <c r="I830" s="9">
        <v>8250.7999999999993</v>
      </c>
      <c r="J830" s="335"/>
      <c r="K830" s="9">
        <f>7945.7+340.1-35</f>
        <v>8250.7999999999993</v>
      </c>
      <c r="L830" s="9">
        <v>8250.7999999999993</v>
      </c>
      <c r="M830" s="9"/>
      <c r="N830" s="9">
        <f>7945.7+340.1-35</f>
        <v>8250.7999999999993</v>
      </c>
    </row>
    <row r="831" spans="1:14" x14ac:dyDescent="0.25">
      <c r="A831" s="8"/>
      <c r="B831" s="8"/>
      <c r="C831" s="7"/>
      <c r="D831" s="7" t="s">
        <v>12</v>
      </c>
      <c r="E831" s="6" t="s">
        <v>11</v>
      </c>
      <c r="F831" s="9">
        <v>562.5</v>
      </c>
      <c r="G831" s="9"/>
      <c r="H831" s="9">
        <v>562.5</v>
      </c>
      <c r="I831" s="9">
        <v>0</v>
      </c>
      <c r="J831" s="335"/>
      <c r="K831" s="9">
        <v>0</v>
      </c>
      <c r="L831" s="9">
        <v>562.5</v>
      </c>
      <c r="M831" s="9"/>
      <c r="N831" s="9">
        <v>562.5</v>
      </c>
    </row>
    <row r="832" spans="1:14" x14ac:dyDescent="0.25">
      <c r="A832" s="105"/>
      <c r="B832" s="105"/>
      <c r="C832" s="47" t="s">
        <v>52</v>
      </c>
      <c r="D832" s="46"/>
      <c r="E832" s="45" t="s">
        <v>51</v>
      </c>
      <c r="F832" s="103">
        <f>F833</f>
        <v>0</v>
      </c>
      <c r="G832" s="103">
        <f>G833</f>
        <v>91.656289999999998</v>
      </c>
      <c r="H832" s="103">
        <f t="shared" ref="H832:N833" si="145">H833</f>
        <v>91.656289999999998</v>
      </c>
      <c r="I832" s="103">
        <f t="shared" si="145"/>
        <v>0</v>
      </c>
      <c r="J832" s="339"/>
      <c r="K832" s="103">
        <f t="shared" si="145"/>
        <v>0</v>
      </c>
      <c r="L832" s="103">
        <f t="shared" si="145"/>
        <v>0</v>
      </c>
      <c r="M832" s="103"/>
      <c r="N832" s="103">
        <f t="shared" si="145"/>
        <v>0</v>
      </c>
    </row>
    <row r="833" spans="1:14" ht="25.5" x14ac:dyDescent="0.25">
      <c r="A833" s="117"/>
      <c r="B833" s="117"/>
      <c r="C833" s="116" t="s">
        <v>16</v>
      </c>
      <c r="D833" s="115"/>
      <c r="E833" s="114" t="s">
        <v>44</v>
      </c>
      <c r="F833" s="113">
        <f>F834</f>
        <v>0</v>
      </c>
      <c r="G833" s="113">
        <f t="shared" ref="G833" si="146">G834</f>
        <v>91.656289999999998</v>
      </c>
      <c r="H833" s="113">
        <f t="shared" si="145"/>
        <v>91.656289999999998</v>
      </c>
      <c r="I833" s="113">
        <f t="shared" si="145"/>
        <v>0</v>
      </c>
      <c r="J833" s="340"/>
      <c r="K833" s="113">
        <f t="shared" si="145"/>
        <v>0</v>
      </c>
      <c r="L833" s="113">
        <f t="shared" si="145"/>
        <v>0</v>
      </c>
      <c r="M833" s="113"/>
      <c r="N833" s="113">
        <f t="shared" si="145"/>
        <v>0</v>
      </c>
    </row>
    <row r="834" spans="1:14" x14ac:dyDescent="0.25">
      <c r="A834" s="455"/>
      <c r="B834" s="455"/>
      <c r="C834" s="454" t="s">
        <v>933</v>
      </c>
      <c r="D834" s="296"/>
      <c r="E834" s="285" t="s">
        <v>932</v>
      </c>
      <c r="F834" s="456">
        <v>0</v>
      </c>
      <c r="G834" s="456">
        <f>G835</f>
        <v>91.656289999999998</v>
      </c>
      <c r="H834" s="456">
        <f>H835</f>
        <v>91.656289999999998</v>
      </c>
      <c r="I834" s="456">
        <v>0</v>
      </c>
      <c r="J834" s="456"/>
      <c r="K834" s="456">
        <v>0</v>
      </c>
      <c r="L834" s="456"/>
      <c r="M834" s="456"/>
      <c r="N834" s="456">
        <v>0</v>
      </c>
    </row>
    <row r="835" spans="1:14" ht="39" x14ac:dyDescent="0.25">
      <c r="A835" s="455"/>
      <c r="B835" s="455"/>
      <c r="C835" s="454"/>
      <c r="D835" s="7" t="s">
        <v>2</v>
      </c>
      <c r="E835" s="6" t="s">
        <v>1</v>
      </c>
      <c r="F835" s="456">
        <v>0</v>
      </c>
      <c r="G835" s="456">
        <v>91.656289999999998</v>
      </c>
      <c r="H835" s="456">
        <f>F835+G835</f>
        <v>91.656289999999998</v>
      </c>
      <c r="I835" s="456">
        <v>0</v>
      </c>
      <c r="J835" s="456"/>
      <c r="K835" s="456">
        <v>0</v>
      </c>
      <c r="L835" s="456"/>
      <c r="M835" s="456"/>
      <c r="N835" s="456">
        <v>0</v>
      </c>
    </row>
    <row r="836" spans="1:14" x14ac:dyDescent="0.25">
      <c r="A836" s="8"/>
      <c r="B836" s="22" t="s">
        <v>26</v>
      </c>
      <c r="C836" s="21"/>
      <c r="D836" s="22"/>
      <c r="E836" s="27" t="s">
        <v>25</v>
      </c>
      <c r="F836" s="26">
        <f t="shared" ref="F836:N839" si="147">F837</f>
        <v>1008.6</v>
      </c>
      <c r="G836" s="26">
        <f t="shared" si="147"/>
        <v>0</v>
      </c>
      <c r="H836" s="26">
        <f t="shared" si="147"/>
        <v>1008.6</v>
      </c>
      <c r="I836" s="26">
        <f t="shared" si="147"/>
        <v>711.6</v>
      </c>
      <c r="J836" s="336"/>
      <c r="K836" s="26">
        <f t="shared" si="147"/>
        <v>711.6</v>
      </c>
      <c r="L836" s="26">
        <f t="shared" si="147"/>
        <v>711.6</v>
      </c>
      <c r="M836" s="26"/>
      <c r="N836" s="26">
        <f t="shared" si="147"/>
        <v>711.6</v>
      </c>
    </row>
    <row r="837" spans="1:14" s="23" customFormat="1" x14ac:dyDescent="0.25">
      <c r="A837" s="25"/>
      <c r="B837" s="25"/>
      <c r="C837" s="18" t="s">
        <v>18</v>
      </c>
      <c r="D837" s="18"/>
      <c r="E837" s="17" t="s">
        <v>17</v>
      </c>
      <c r="F837" s="16">
        <f t="shared" si="147"/>
        <v>1008.6</v>
      </c>
      <c r="G837" s="16">
        <f t="shared" si="147"/>
        <v>0</v>
      </c>
      <c r="H837" s="16">
        <f t="shared" si="147"/>
        <v>1008.6</v>
      </c>
      <c r="I837" s="16">
        <f t="shared" si="147"/>
        <v>711.6</v>
      </c>
      <c r="J837" s="345"/>
      <c r="K837" s="16">
        <f t="shared" si="147"/>
        <v>711.6</v>
      </c>
      <c r="L837" s="16">
        <f t="shared" si="147"/>
        <v>711.6</v>
      </c>
      <c r="M837" s="16"/>
      <c r="N837" s="16">
        <f t="shared" si="147"/>
        <v>711.6</v>
      </c>
    </row>
    <row r="838" spans="1:14" s="23" customFormat="1" ht="26.25" x14ac:dyDescent="0.25">
      <c r="A838" s="24"/>
      <c r="B838" s="24"/>
      <c r="C838" s="15" t="s">
        <v>16</v>
      </c>
      <c r="D838" s="15"/>
      <c r="E838" s="14" t="s">
        <v>15</v>
      </c>
      <c r="F838" s="13">
        <f t="shared" si="147"/>
        <v>1008.6</v>
      </c>
      <c r="G838" s="13">
        <f t="shared" si="147"/>
        <v>0</v>
      </c>
      <c r="H838" s="13">
        <f t="shared" si="147"/>
        <v>1008.6</v>
      </c>
      <c r="I838" s="13">
        <f t="shared" si="147"/>
        <v>711.6</v>
      </c>
      <c r="J838" s="346"/>
      <c r="K838" s="13">
        <f t="shared" si="147"/>
        <v>711.6</v>
      </c>
      <c r="L838" s="13">
        <f t="shared" si="147"/>
        <v>711.6</v>
      </c>
      <c r="M838" s="13"/>
      <c r="N838" s="13">
        <f t="shared" si="147"/>
        <v>711.6</v>
      </c>
    </row>
    <row r="839" spans="1:14" x14ac:dyDescent="0.25">
      <c r="A839" s="8"/>
      <c r="B839" s="8"/>
      <c r="C839" s="7" t="s">
        <v>24</v>
      </c>
      <c r="D839" s="7"/>
      <c r="E839" s="6" t="s">
        <v>23</v>
      </c>
      <c r="F839" s="9">
        <f t="shared" si="147"/>
        <v>1008.6</v>
      </c>
      <c r="G839" s="9">
        <f t="shared" si="147"/>
        <v>0</v>
      </c>
      <c r="H839" s="9">
        <f t="shared" si="147"/>
        <v>1008.6</v>
      </c>
      <c r="I839" s="9">
        <f t="shared" si="147"/>
        <v>711.6</v>
      </c>
      <c r="J839" s="335"/>
      <c r="K839" s="9">
        <f t="shared" si="147"/>
        <v>711.6</v>
      </c>
      <c r="L839" s="9">
        <f t="shared" si="147"/>
        <v>711.6</v>
      </c>
      <c r="M839" s="9"/>
      <c r="N839" s="9">
        <f t="shared" si="147"/>
        <v>711.6</v>
      </c>
    </row>
    <row r="840" spans="1:14" x14ac:dyDescent="0.25">
      <c r="A840" s="8"/>
      <c r="B840" s="8"/>
      <c r="C840" s="7"/>
      <c r="D840" s="7" t="s">
        <v>22</v>
      </c>
      <c r="E840" s="6" t="s">
        <v>21</v>
      </c>
      <c r="F840" s="9">
        <v>1008.6</v>
      </c>
      <c r="G840" s="9"/>
      <c r="H840" s="9">
        <f>711.6+297</f>
        <v>1008.6</v>
      </c>
      <c r="I840" s="9">
        <v>711.6</v>
      </c>
      <c r="J840" s="335"/>
      <c r="K840" s="9">
        <v>711.6</v>
      </c>
      <c r="L840" s="9">
        <v>711.6</v>
      </c>
      <c r="M840" s="9"/>
      <c r="N840" s="9">
        <v>711.6</v>
      </c>
    </row>
    <row r="841" spans="1:14" x14ac:dyDescent="0.25">
      <c r="A841" s="21"/>
      <c r="B841" s="22" t="s">
        <v>20</v>
      </c>
      <c r="C841" s="21"/>
      <c r="D841" s="21"/>
      <c r="E841" s="20" t="s">
        <v>19</v>
      </c>
      <c r="F841" s="19">
        <f>F842+F872</f>
        <v>26128.784200000006</v>
      </c>
      <c r="G841" s="19"/>
      <c r="H841" s="19">
        <f>H842+H872</f>
        <v>26128.784200000006</v>
      </c>
      <c r="I841" s="19">
        <f>I842+I872</f>
        <v>26592.163700000001</v>
      </c>
      <c r="J841" s="341"/>
      <c r="K841" s="19">
        <f>K842+K872</f>
        <v>26592.163700000001</v>
      </c>
      <c r="L841" s="19">
        <f>L842+L872</f>
        <v>26353.635600000001</v>
      </c>
      <c r="M841" s="19"/>
      <c r="N841" s="19">
        <f>N842+N872</f>
        <v>26353.635600000001</v>
      </c>
    </row>
    <row r="842" spans="1:14" x14ac:dyDescent="0.25">
      <c r="A842" s="18"/>
      <c r="B842" s="18"/>
      <c r="C842" s="18" t="s">
        <v>18</v>
      </c>
      <c r="D842" s="18"/>
      <c r="E842" s="17" t="s">
        <v>17</v>
      </c>
      <c r="F842" s="16">
        <f>F843</f>
        <v>26128.784200000006</v>
      </c>
      <c r="G842" s="16"/>
      <c r="H842" s="16">
        <f>H843</f>
        <v>26128.784200000006</v>
      </c>
      <c r="I842" s="16">
        <f>I843</f>
        <v>26592.163700000001</v>
      </c>
      <c r="J842" s="345"/>
      <c r="K842" s="16">
        <f>K843</f>
        <v>26592.163700000001</v>
      </c>
      <c r="L842" s="16">
        <f>L843</f>
        <v>26353.635600000001</v>
      </c>
      <c r="M842" s="16"/>
      <c r="N842" s="16">
        <f>N843</f>
        <v>26353.635600000001</v>
      </c>
    </row>
    <row r="843" spans="1:14" ht="26.25" x14ac:dyDescent="0.25">
      <c r="A843" s="15"/>
      <c r="B843" s="15"/>
      <c r="C843" s="15" t="s">
        <v>16</v>
      </c>
      <c r="D843" s="15"/>
      <c r="E843" s="14" t="s">
        <v>15</v>
      </c>
      <c r="F843" s="13">
        <f>F844+F847+F849+F851+F853</f>
        <v>26128.784200000006</v>
      </c>
      <c r="G843" s="13"/>
      <c r="H843" s="13">
        <f>H844+H847+H849+H851+H853</f>
        <v>26128.784200000006</v>
      </c>
      <c r="I843" s="13">
        <f>I844+I847+I849+I851+I853</f>
        <v>26592.163700000001</v>
      </c>
      <c r="J843" s="346"/>
      <c r="K843" s="13">
        <f>K844+K847+K849+K851+K853</f>
        <v>26592.163700000001</v>
      </c>
      <c r="L843" s="13">
        <f>L844+L847+L849+L851+L853</f>
        <v>26353.635600000001</v>
      </c>
      <c r="M843" s="13"/>
      <c r="N843" s="13">
        <f>N844+N847+N849+N851+N853</f>
        <v>26353.635600000001</v>
      </c>
    </row>
    <row r="844" spans="1:14" ht="18.75" customHeight="1" x14ac:dyDescent="0.25">
      <c r="A844" s="8"/>
      <c r="B844" s="8"/>
      <c r="C844" s="7" t="s">
        <v>14</v>
      </c>
      <c r="D844" s="7"/>
      <c r="E844" s="12" t="s">
        <v>13</v>
      </c>
      <c r="F844" s="9">
        <f>F845+F846</f>
        <v>18660</v>
      </c>
      <c r="G844" s="9"/>
      <c r="H844" s="9">
        <f>H845+H846</f>
        <v>18660</v>
      </c>
      <c r="I844" s="9">
        <f>I845+I846</f>
        <v>19328.3</v>
      </c>
      <c r="J844" s="335"/>
      <c r="K844" s="9">
        <f>K845+K846</f>
        <v>19328.3</v>
      </c>
      <c r="L844" s="9">
        <f>L845+L846</f>
        <v>19328.3</v>
      </c>
      <c r="M844" s="9"/>
      <c r="N844" s="9">
        <f>N845+N846</f>
        <v>19328.3</v>
      </c>
    </row>
    <row r="845" spans="1:14" ht="39" x14ac:dyDescent="0.25">
      <c r="A845" s="8"/>
      <c r="B845" s="8"/>
      <c r="C845" s="7"/>
      <c r="D845" s="7" t="s">
        <v>2</v>
      </c>
      <c r="E845" s="6" t="s">
        <v>1</v>
      </c>
      <c r="F845" s="11">
        <f>17135.8+626.7</f>
        <v>17762.5</v>
      </c>
      <c r="G845" s="11"/>
      <c r="H845" s="11">
        <f>17135.8+626.7</f>
        <v>17762.5</v>
      </c>
      <c r="I845" s="11">
        <v>18430.8</v>
      </c>
      <c r="J845" s="355"/>
      <c r="K845" s="11">
        <v>18430.8</v>
      </c>
      <c r="L845" s="11">
        <v>18430.8</v>
      </c>
      <c r="M845" s="11"/>
      <c r="N845" s="11">
        <v>18430.8</v>
      </c>
    </row>
    <row r="846" spans="1:14" x14ac:dyDescent="0.25">
      <c r="A846" s="8"/>
      <c r="B846" s="8"/>
      <c r="C846" s="7"/>
      <c r="D846" s="7" t="s">
        <v>12</v>
      </c>
      <c r="E846" s="6" t="s">
        <v>11</v>
      </c>
      <c r="F846" s="9">
        <v>897.5</v>
      </c>
      <c r="G846" s="9"/>
      <c r="H846" s="9">
        <v>897.5</v>
      </c>
      <c r="I846" s="9">
        <v>897.5</v>
      </c>
      <c r="J846" s="335"/>
      <c r="K846" s="9">
        <v>897.5</v>
      </c>
      <c r="L846" s="9">
        <v>897.5</v>
      </c>
      <c r="M846" s="9"/>
      <c r="N846" s="9">
        <v>897.5</v>
      </c>
    </row>
    <row r="847" spans="1:14" ht="39" x14ac:dyDescent="0.25">
      <c r="A847" s="8"/>
      <c r="B847" s="8"/>
      <c r="C847" s="7" t="s">
        <v>10</v>
      </c>
      <c r="D847" s="7"/>
      <c r="E847" s="6" t="s">
        <v>9</v>
      </c>
      <c r="F847" s="9">
        <f>F848</f>
        <v>137.19999999999999</v>
      </c>
      <c r="G847" s="9"/>
      <c r="H847" s="9">
        <f>H848</f>
        <v>137.19999999999999</v>
      </c>
      <c r="I847" s="9">
        <f>I848</f>
        <v>107.2</v>
      </c>
      <c r="J847" s="335"/>
      <c r="K847" s="9">
        <f>K848</f>
        <v>107.2</v>
      </c>
      <c r="L847" s="9">
        <f>L848</f>
        <v>105.4</v>
      </c>
      <c r="M847" s="9"/>
      <c r="N847" s="9">
        <f>N848</f>
        <v>105.4</v>
      </c>
    </row>
    <row r="848" spans="1:14" ht="39" x14ac:dyDescent="0.25">
      <c r="A848" s="8"/>
      <c r="B848" s="8"/>
      <c r="C848" s="7"/>
      <c r="D848" s="7" t="s">
        <v>2</v>
      </c>
      <c r="E848" s="6" t="s">
        <v>1</v>
      </c>
      <c r="F848" s="9">
        <v>137.19999999999999</v>
      </c>
      <c r="G848" s="9"/>
      <c r="H848" s="9">
        <v>137.19999999999999</v>
      </c>
      <c r="I848" s="9">
        <v>107.2</v>
      </c>
      <c r="J848" s="335"/>
      <c r="K848" s="9">
        <v>107.2</v>
      </c>
      <c r="L848" s="9">
        <v>105.4</v>
      </c>
      <c r="M848" s="9"/>
      <c r="N848" s="9">
        <v>105.4</v>
      </c>
    </row>
    <row r="849" spans="1:14" ht="25.5" x14ac:dyDescent="0.25">
      <c r="A849" s="8"/>
      <c r="B849" s="8"/>
      <c r="C849" s="7" t="s">
        <v>8</v>
      </c>
      <c r="D849" s="7"/>
      <c r="E849" s="10" t="s">
        <v>7</v>
      </c>
      <c r="F849" s="5">
        <f>F850</f>
        <v>87.119200000000006</v>
      </c>
      <c r="G849" s="5"/>
      <c r="H849" s="5">
        <f>H850</f>
        <v>87.119200000000006</v>
      </c>
      <c r="I849" s="5">
        <f>I850</f>
        <v>92.5261</v>
      </c>
      <c r="J849" s="337"/>
      <c r="K849" s="5">
        <f>K850</f>
        <v>92.5261</v>
      </c>
      <c r="L849" s="5">
        <f>L850</f>
        <v>93.701599999999999</v>
      </c>
      <c r="M849" s="5"/>
      <c r="N849" s="5">
        <f>N850</f>
        <v>93.701599999999999</v>
      </c>
    </row>
    <row r="850" spans="1:14" ht="39" x14ac:dyDescent="0.25">
      <c r="A850" s="8"/>
      <c r="B850" s="8"/>
      <c r="C850" s="7"/>
      <c r="D850" s="7" t="s">
        <v>2</v>
      </c>
      <c r="E850" s="6" t="s">
        <v>1</v>
      </c>
      <c r="F850" s="9">
        <v>87.119200000000006</v>
      </c>
      <c r="G850" s="9"/>
      <c r="H850" s="9">
        <v>87.119200000000006</v>
      </c>
      <c r="I850" s="9">
        <v>92.5261</v>
      </c>
      <c r="J850" s="335"/>
      <c r="K850" s="9">
        <v>92.5261</v>
      </c>
      <c r="L850" s="9">
        <v>93.701599999999999</v>
      </c>
      <c r="M850" s="9"/>
      <c r="N850" s="9">
        <v>93.701599999999999</v>
      </c>
    </row>
    <row r="851" spans="1:14" ht="39" x14ac:dyDescent="0.25">
      <c r="A851" s="8"/>
      <c r="B851" s="8"/>
      <c r="C851" s="7" t="s">
        <v>6</v>
      </c>
      <c r="D851" s="7"/>
      <c r="E851" s="6" t="s">
        <v>5</v>
      </c>
      <c r="F851" s="9">
        <f>F852</f>
        <v>7016.6360000000004</v>
      </c>
      <c r="G851" s="9"/>
      <c r="H851" s="9">
        <f>H852</f>
        <v>7016.6360000000004</v>
      </c>
      <c r="I851" s="9">
        <f>I852</f>
        <v>6836.3086000000003</v>
      </c>
      <c r="J851" s="335"/>
      <c r="K851" s="9">
        <f>K852</f>
        <v>6836.3086000000003</v>
      </c>
      <c r="L851" s="9">
        <f>L852</f>
        <v>6598.4049999999997</v>
      </c>
      <c r="M851" s="9"/>
      <c r="N851" s="9">
        <f>N852</f>
        <v>6598.4049999999997</v>
      </c>
    </row>
    <row r="852" spans="1:14" ht="39" x14ac:dyDescent="0.25">
      <c r="A852" s="8"/>
      <c r="B852" s="8"/>
      <c r="C852" s="7"/>
      <c r="D852" s="7" t="s">
        <v>2</v>
      </c>
      <c r="E852" s="6" t="s">
        <v>1</v>
      </c>
      <c r="F852" s="9">
        <v>7016.6360000000004</v>
      </c>
      <c r="G852" s="9"/>
      <c r="H852" s="9">
        <v>7016.6360000000004</v>
      </c>
      <c r="I852" s="5">
        <v>6836.3086000000003</v>
      </c>
      <c r="J852" s="337"/>
      <c r="K852" s="5">
        <v>6836.3086000000003</v>
      </c>
      <c r="L852" s="5">
        <v>6598.4049999999997</v>
      </c>
      <c r="M852" s="5"/>
      <c r="N852" s="5">
        <v>6598.4049999999997</v>
      </c>
    </row>
    <row r="853" spans="1:14" ht="51.75" x14ac:dyDescent="0.25">
      <c r="A853" s="8"/>
      <c r="B853" s="83"/>
      <c r="C853" s="7" t="s">
        <v>4</v>
      </c>
      <c r="D853" s="7"/>
      <c r="E853" s="6" t="s">
        <v>3</v>
      </c>
      <c r="F853" s="9">
        <f>F854</f>
        <v>227.82900000000001</v>
      </c>
      <c r="G853" s="9"/>
      <c r="H853" s="9">
        <f>H854</f>
        <v>227.82900000000001</v>
      </c>
      <c r="I853" s="9">
        <f>I854</f>
        <v>227.82900000000001</v>
      </c>
      <c r="J853" s="335"/>
      <c r="K853" s="9">
        <f>K854</f>
        <v>227.82900000000001</v>
      </c>
      <c r="L853" s="9">
        <f>L854</f>
        <v>227.82900000000001</v>
      </c>
      <c r="M853" s="9"/>
      <c r="N853" s="9">
        <f>N854</f>
        <v>227.82900000000001</v>
      </c>
    </row>
    <row r="854" spans="1:14" ht="39" x14ac:dyDescent="0.25">
      <c r="A854" s="8"/>
      <c r="B854" s="83"/>
      <c r="C854" s="7"/>
      <c r="D854" s="7" t="s">
        <v>2</v>
      </c>
      <c r="E854" s="6" t="s">
        <v>1</v>
      </c>
      <c r="F854" s="9">
        <v>227.82900000000001</v>
      </c>
      <c r="G854" s="9"/>
      <c r="H854" s="9">
        <v>227.82900000000001</v>
      </c>
      <c r="I854" s="9">
        <v>227.82900000000001</v>
      </c>
      <c r="J854" s="335"/>
      <c r="K854" s="9">
        <v>227.82900000000001</v>
      </c>
      <c r="L854" s="9">
        <v>227.82900000000001</v>
      </c>
      <c r="M854" s="9"/>
      <c r="N854" s="9">
        <v>227.82900000000001</v>
      </c>
    </row>
    <row r="855" spans="1:14" x14ac:dyDescent="0.25">
      <c r="A855" s="4"/>
      <c r="B855" s="4"/>
      <c r="C855" s="4"/>
      <c r="D855" s="4"/>
      <c r="E855" s="3" t="s">
        <v>0</v>
      </c>
      <c r="F855" s="2">
        <f t="shared" ref="F855:N855" si="148">SUM(F822+F807+F692+F503+F11)</f>
        <v>1193963.7336800001</v>
      </c>
      <c r="G855" s="2">
        <f t="shared" si="148"/>
        <v>5557.4712599999993</v>
      </c>
      <c r="H855" s="2">
        <f t="shared" si="148"/>
        <v>1199521.2049400001</v>
      </c>
      <c r="I855" s="2">
        <f t="shared" si="148"/>
        <v>911730.24745000002</v>
      </c>
      <c r="J855" s="2">
        <f t="shared" si="148"/>
        <v>-4760.6069099999995</v>
      </c>
      <c r="K855" s="2">
        <f t="shared" si="148"/>
        <v>906969.64054000005</v>
      </c>
      <c r="L855" s="2">
        <f t="shared" si="148"/>
        <v>907495.83565999987</v>
      </c>
      <c r="M855" s="2">
        <f t="shared" si="148"/>
        <v>0</v>
      </c>
      <c r="N855" s="2">
        <f t="shared" si="148"/>
        <v>907495.83565999987</v>
      </c>
    </row>
  </sheetData>
  <autoFilter ref="A9:M855" xr:uid="{00000000-0009-0000-0000-000001000000}"/>
  <mergeCells count="7">
    <mergeCell ref="F9:H9"/>
    <mergeCell ref="A7:L7"/>
    <mergeCell ref="I1:N1"/>
    <mergeCell ref="I2:N2"/>
    <mergeCell ref="I3:N3"/>
    <mergeCell ref="I4:N4"/>
    <mergeCell ref="I5:N5"/>
  </mergeCells>
  <pageMargins left="1.1023622047244095" right="0.31496062992125984" top="0.74803149606299213" bottom="0.74803149606299213" header="0.31496062992125984" footer="0.31496062992125984"/>
  <pageSetup paperSize="9" scale="50" orientation="portrait" r:id="rId1"/>
  <rowBreaks count="1" manualBreakCount="1">
    <brk id="647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06"/>
  <sheetViews>
    <sheetView view="pageBreakPreview" zoomScale="85" zoomScaleSheetLayoutView="85" workbookViewId="0">
      <selection activeCell="L8" sqref="L8"/>
    </sheetView>
  </sheetViews>
  <sheetFormatPr defaultRowHeight="15" x14ac:dyDescent="0.25"/>
  <cols>
    <col min="1" max="1" width="8.7109375" customWidth="1"/>
    <col min="2" max="2" width="68.85546875" customWidth="1"/>
    <col min="3" max="4" width="15.7109375" customWidth="1"/>
    <col min="5" max="5" width="15.85546875" customWidth="1"/>
    <col min="6" max="6" width="16.7109375" customWidth="1"/>
    <col min="7" max="8" width="17" customWidth="1"/>
    <col min="9" max="9" width="17.85546875" customWidth="1"/>
    <col min="10" max="10" width="14.5703125" customWidth="1"/>
    <col min="11" max="11" width="17.5703125" customWidth="1"/>
    <col min="12" max="12" width="17.140625" customWidth="1"/>
    <col min="13" max="13" width="15.7109375" customWidth="1"/>
    <col min="14" max="16" width="14" bestFit="1" customWidth="1"/>
    <col min="259" max="259" width="8.7109375" customWidth="1"/>
    <col min="260" max="260" width="53.42578125" customWidth="1"/>
    <col min="261" max="261" width="15.7109375" customWidth="1"/>
    <col min="262" max="262" width="15.85546875" customWidth="1"/>
    <col min="263" max="263" width="15.5703125" customWidth="1"/>
    <col min="264" max="264" width="17" customWidth="1"/>
    <col min="265" max="265" width="17.85546875" customWidth="1"/>
    <col min="266" max="266" width="14.5703125" customWidth="1"/>
    <col min="267" max="267" width="15.140625" customWidth="1"/>
    <col min="268" max="268" width="17.140625" customWidth="1"/>
    <col min="269" max="269" width="15.7109375" customWidth="1"/>
    <col min="270" max="270" width="13.5703125" bestFit="1" customWidth="1"/>
    <col min="515" max="515" width="8.7109375" customWidth="1"/>
    <col min="516" max="516" width="53.42578125" customWidth="1"/>
    <col min="517" max="517" width="15.7109375" customWidth="1"/>
    <col min="518" max="518" width="15.85546875" customWidth="1"/>
    <col min="519" max="519" width="15.5703125" customWidth="1"/>
    <col min="520" max="520" width="17" customWidth="1"/>
    <col min="521" max="521" width="17.85546875" customWidth="1"/>
    <col min="522" max="522" width="14.5703125" customWidth="1"/>
    <col min="523" max="523" width="15.140625" customWidth="1"/>
    <col min="524" max="524" width="17.140625" customWidth="1"/>
    <col min="525" max="525" width="15.7109375" customWidth="1"/>
    <col min="526" max="526" width="13.5703125" bestFit="1" customWidth="1"/>
    <col min="771" max="771" width="8.7109375" customWidth="1"/>
    <col min="772" max="772" width="53.42578125" customWidth="1"/>
    <col min="773" max="773" width="15.7109375" customWidth="1"/>
    <col min="774" max="774" width="15.85546875" customWidth="1"/>
    <col min="775" max="775" width="15.5703125" customWidth="1"/>
    <col min="776" max="776" width="17" customWidth="1"/>
    <col min="777" max="777" width="17.85546875" customWidth="1"/>
    <col min="778" max="778" width="14.5703125" customWidth="1"/>
    <col min="779" max="779" width="15.140625" customWidth="1"/>
    <col min="780" max="780" width="17.140625" customWidth="1"/>
    <col min="781" max="781" width="15.7109375" customWidth="1"/>
    <col min="782" max="782" width="13.5703125" bestFit="1" customWidth="1"/>
    <col min="1027" max="1027" width="8.7109375" customWidth="1"/>
    <col min="1028" max="1028" width="53.42578125" customWidth="1"/>
    <col min="1029" max="1029" width="15.7109375" customWidth="1"/>
    <col min="1030" max="1030" width="15.85546875" customWidth="1"/>
    <col min="1031" max="1031" width="15.5703125" customWidth="1"/>
    <col min="1032" max="1032" width="17" customWidth="1"/>
    <col min="1033" max="1033" width="17.85546875" customWidth="1"/>
    <col min="1034" max="1034" width="14.5703125" customWidth="1"/>
    <col min="1035" max="1035" width="15.140625" customWidth="1"/>
    <col min="1036" max="1036" width="17.140625" customWidth="1"/>
    <col min="1037" max="1037" width="15.7109375" customWidth="1"/>
    <col min="1038" max="1038" width="13.5703125" bestFit="1" customWidth="1"/>
    <col min="1283" max="1283" width="8.7109375" customWidth="1"/>
    <col min="1284" max="1284" width="53.42578125" customWidth="1"/>
    <col min="1285" max="1285" width="15.7109375" customWidth="1"/>
    <col min="1286" max="1286" width="15.85546875" customWidth="1"/>
    <col min="1287" max="1287" width="15.5703125" customWidth="1"/>
    <col min="1288" max="1288" width="17" customWidth="1"/>
    <col min="1289" max="1289" width="17.85546875" customWidth="1"/>
    <col min="1290" max="1290" width="14.5703125" customWidth="1"/>
    <col min="1291" max="1291" width="15.140625" customWidth="1"/>
    <col min="1292" max="1292" width="17.140625" customWidth="1"/>
    <col min="1293" max="1293" width="15.7109375" customWidth="1"/>
    <col min="1294" max="1294" width="13.5703125" bestFit="1" customWidth="1"/>
    <col min="1539" max="1539" width="8.7109375" customWidth="1"/>
    <col min="1540" max="1540" width="53.42578125" customWidth="1"/>
    <col min="1541" max="1541" width="15.7109375" customWidth="1"/>
    <col min="1542" max="1542" width="15.85546875" customWidth="1"/>
    <col min="1543" max="1543" width="15.5703125" customWidth="1"/>
    <col min="1544" max="1544" width="17" customWidth="1"/>
    <col min="1545" max="1545" width="17.85546875" customWidth="1"/>
    <col min="1546" max="1546" width="14.5703125" customWidth="1"/>
    <col min="1547" max="1547" width="15.140625" customWidth="1"/>
    <col min="1548" max="1548" width="17.140625" customWidth="1"/>
    <col min="1549" max="1549" width="15.7109375" customWidth="1"/>
    <col min="1550" max="1550" width="13.5703125" bestFit="1" customWidth="1"/>
    <col min="1795" max="1795" width="8.7109375" customWidth="1"/>
    <col min="1796" max="1796" width="53.42578125" customWidth="1"/>
    <col min="1797" max="1797" width="15.7109375" customWidth="1"/>
    <col min="1798" max="1798" width="15.85546875" customWidth="1"/>
    <col min="1799" max="1799" width="15.5703125" customWidth="1"/>
    <col min="1800" max="1800" width="17" customWidth="1"/>
    <col min="1801" max="1801" width="17.85546875" customWidth="1"/>
    <col min="1802" max="1802" width="14.5703125" customWidth="1"/>
    <col min="1803" max="1803" width="15.140625" customWidth="1"/>
    <col min="1804" max="1804" width="17.140625" customWidth="1"/>
    <col min="1805" max="1805" width="15.7109375" customWidth="1"/>
    <col min="1806" max="1806" width="13.5703125" bestFit="1" customWidth="1"/>
    <col min="2051" max="2051" width="8.7109375" customWidth="1"/>
    <col min="2052" max="2052" width="53.42578125" customWidth="1"/>
    <col min="2053" max="2053" width="15.7109375" customWidth="1"/>
    <col min="2054" max="2054" width="15.85546875" customWidth="1"/>
    <col min="2055" max="2055" width="15.5703125" customWidth="1"/>
    <col min="2056" max="2056" width="17" customWidth="1"/>
    <col min="2057" max="2057" width="17.85546875" customWidth="1"/>
    <col min="2058" max="2058" width="14.5703125" customWidth="1"/>
    <col min="2059" max="2059" width="15.140625" customWidth="1"/>
    <col min="2060" max="2060" width="17.140625" customWidth="1"/>
    <col min="2061" max="2061" width="15.7109375" customWidth="1"/>
    <col min="2062" max="2062" width="13.5703125" bestFit="1" customWidth="1"/>
    <col min="2307" max="2307" width="8.7109375" customWidth="1"/>
    <col min="2308" max="2308" width="53.42578125" customWidth="1"/>
    <col min="2309" max="2309" width="15.7109375" customWidth="1"/>
    <col min="2310" max="2310" width="15.85546875" customWidth="1"/>
    <col min="2311" max="2311" width="15.5703125" customWidth="1"/>
    <col min="2312" max="2312" width="17" customWidth="1"/>
    <col min="2313" max="2313" width="17.85546875" customWidth="1"/>
    <col min="2314" max="2314" width="14.5703125" customWidth="1"/>
    <col min="2315" max="2315" width="15.140625" customWidth="1"/>
    <col min="2316" max="2316" width="17.140625" customWidth="1"/>
    <col min="2317" max="2317" width="15.7109375" customWidth="1"/>
    <col min="2318" max="2318" width="13.5703125" bestFit="1" customWidth="1"/>
    <col min="2563" max="2563" width="8.7109375" customWidth="1"/>
    <col min="2564" max="2564" width="53.42578125" customWidth="1"/>
    <col min="2565" max="2565" width="15.7109375" customWidth="1"/>
    <col min="2566" max="2566" width="15.85546875" customWidth="1"/>
    <col min="2567" max="2567" width="15.5703125" customWidth="1"/>
    <col min="2568" max="2568" width="17" customWidth="1"/>
    <col min="2569" max="2569" width="17.85546875" customWidth="1"/>
    <col min="2570" max="2570" width="14.5703125" customWidth="1"/>
    <col min="2571" max="2571" width="15.140625" customWidth="1"/>
    <col min="2572" max="2572" width="17.140625" customWidth="1"/>
    <col min="2573" max="2573" width="15.7109375" customWidth="1"/>
    <col min="2574" max="2574" width="13.5703125" bestFit="1" customWidth="1"/>
    <col min="2819" max="2819" width="8.7109375" customWidth="1"/>
    <col min="2820" max="2820" width="53.42578125" customWidth="1"/>
    <col min="2821" max="2821" width="15.7109375" customWidth="1"/>
    <col min="2822" max="2822" width="15.85546875" customWidth="1"/>
    <col min="2823" max="2823" width="15.5703125" customWidth="1"/>
    <col min="2824" max="2824" width="17" customWidth="1"/>
    <col min="2825" max="2825" width="17.85546875" customWidth="1"/>
    <col min="2826" max="2826" width="14.5703125" customWidth="1"/>
    <col min="2827" max="2827" width="15.140625" customWidth="1"/>
    <col min="2828" max="2828" width="17.140625" customWidth="1"/>
    <col min="2829" max="2829" width="15.7109375" customWidth="1"/>
    <col min="2830" max="2830" width="13.5703125" bestFit="1" customWidth="1"/>
    <col min="3075" max="3075" width="8.7109375" customWidth="1"/>
    <col min="3076" max="3076" width="53.42578125" customWidth="1"/>
    <col min="3077" max="3077" width="15.7109375" customWidth="1"/>
    <col min="3078" max="3078" width="15.85546875" customWidth="1"/>
    <col min="3079" max="3079" width="15.5703125" customWidth="1"/>
    <col min="3080" max="3080" width="17" customWidth="1"/>
    <col min="3081" max="3081" width="17.85546875" customWidth="1"/>
    <col min="3082" max="3082" width="14.5703125" customWidth="1"/>
    <col min="3083" max="3083" width="15.140625" customWidth="1"/>
    <col min="3084" max="3084" width="17.140625" customWidth="1"/>
    <col min="3085" max="3085" width="15.7109375" customWidth="1"/>
    <col min="3086" max="3086" width="13.5703125" bestFit="1" customWidth="1"/>
    <col min="3331" max="3331" width="8.7109375" customWidth="1"/>
    <col min="3332" max="3332" width="53.42578125" customWidth="1"/>
    <col min="3333" max="3333" width="15.7109375" customWidth="1"/>
    <col min="3334" max="3334" width="15.85546875" customWidth="1"/>
    <col min="3335" max="3335" width="15.5703125" customWidth="1"/>
    <col min="3336" max="3336" width="17" customWidth="1"/>
    <col min="3337" max="3337" width="17.85546875" customWidth="1"/>
    <col min="3338" max="3338" width="14.5703125" customWidth="1"/>
    <col min="3339" max="3339" width="15.140625" customWidth="1"/>
    <col min="3340" max="3340" width="17.140625" customWidth="1"/>
    <col min="3341" max="3341" width="15.7109375" customWidth="1"/>
    <col min="3342" max="3342" width="13.5703125" bestFit="1" customWidth="1"/>
    <col min="3587" max="3587" width="8.7109375" customWidth="1"/>
    <col min="3588" max="3588" width="53.42578125" customWidth="1"/>
    <col min="3589" max="3589" width="15.7109375" customWidth="1"/>
    <col min="3590" max="3590" width="15.85546875" customWidth="1"/>
    <col min="3591" max="3591" width="15.5703125" customWidth="1"/>
    <col min="3592" max="3592" width="17" customWidth="1"/>
    <col min="3593" max="3593" width="17.85546875" customWidth="1"/>
    <col min="3594" max="3594" width="14.5703125" customWidth="1"/>
    <col min="3595" max="3595" width="15.140625" customWidth="1"/>
    <col min="3596" max="3596" width="17.140625" customWidth="1"/>
    <col min="3597" max="3597" width="15.7109375" customWidth="1"/>
    <col min="3598" max="3598" width="13.5703125" bestFit="1" customWidth="1"/>
    <col min="3843" max="3843" width="8.7109375" customWidth="1"/>
    <col min="3844" max="3844" width="53.42578125" customWidth="1"/>
    <col min="3845" max="3845" width="15.7109375" customWidth="1"/>
    <col min="3846" max="3846" width="15.85546875" customWidth="1"/>
    <col min="3847" max="3847" width="15.5703125" customWidth="1"/>
    <col min="3848" max="3848" width="17" customWidth="1"/>
    <col min="3849" max="3849" width="17.85546875" customWidth="1"/>
    <col min="3850" max="3850" width="14.5703125" customWidth="1"/>
    <col min="3851" max="3851" width="15.140625" customWidth="1"/>
    <col min="3852" max="3852" width="17.140625" customWidth="1"/>
    <col min="3853" max="3853" width="15.7109375" customWidth="1"/>
    <col min="3854" max="3854" width="13.5703125" bestFit="1" customWidth="1"/>
    <col min="4099" max="4099" width="8.7109375" customWidth="1"/>
    <col min="4100" max="4100" width="53.42578125" customWidth="1"/>
    <col min="4101" max="4101" width="15.7109375" customWidth="1"/>
    <col min="4102" max="4102" width="15.85546875" customWidth="1"/>
    <col min="4103" max="4103" width="15.5703125" customWidth="1"/>
    <col min="4104" max="4104" width="17" customWidth="1"/>
    <col min="4105" max="4105" width="17.85546875" customWidth="1"/>
    <col min="4106" max="4106" width="14.5703125" customWidth="1"/>
    <col min="4107" max="4107" width="15.140625" customWidth="1"/>
    <col min="4108" max="4108" width="17.140625" customWidth="1"/>
    <col min="4109" max="4109" width="15.7109375" customWidth="1"/>
    <col min="4110" max="4110" width="13.5703125" bestFit="1" customWidth="1"/>
    <col min="4355" max="4355" width="8.7109375" customWidth="1"/>
    <col min="4356" max="4356" width="53.42578125" customWidth="1"/>
    <col min="4357" max="4357" width="15.7109375" customWidth="1"/>
    <col min="4358" max="4358" width="15.85546875" customWidth="1"/>
    <col min="4359" max="4359" width="15.5703125" customWidth="1"/>
    <col min="4360" max="4360" width="17" customWidth="1"/>
    <col min="4361" max="4361" width="17.85546875" customWidth="1"/>
    <col min="4362" max="4362" width="14.5703125" customWidth="1"/>
    <col min="4363" max="4363" width="15.140625" customWidth="1"/>
    <col min="4364" max="4364" width="17.140625" customWidth="1"/>
    <col min="4365" max="4365" width="15.7109375" customWidth="1"/>
    <col min="4366" max="4366" width="13.5703125" bestFit="1" customWidth="1"/>
    <col min="4611" max="4611" width="8.7109375" customWidth="1"/>
    <col min="4612" max="4612" width="53.42578125" customWidth="1"/>
    <col min="4613" max="4613" width="15.7109375" customWidth="1"/>
    <col min="4614" max="4614" width="15.85546875" customWidth="1"/>
    <col min="4615" max="4615" width="15.5703125" customWidth="1"/>
    <col min="4616" max="4616" width="17" customWidth="1"/>
    <col min="4617" max="4617" width="17.85546875" customWidth="1"/>
    <col min="4618" max="4618" width="14.5703125" customWidth="1"/>
    <col min="4619" max="4619" width="15.140625" customWidth="1"/>
    <col min="4620" max="4620" width="17.140625" customWidth="1"/>
    <col min="4621" max="4621" width="15.7109375" customWidth="1"/>
    <col min="4622" max="4622" width="13.5703125" bestFit="1" customWidth="1"/>
    <col min="4867" max="4867" width="8.7109375" customWidth="1"/>
    <col min="4868" max="4868" width="53.42578125" customWidth="1"/>
    <col min="4869" max="4869" width="15.7109375" customWidth="1"/>
    <col min="4870" max="4870" width="15.85546875" customWidth="1"/>
    <col min="4871" max="4871" width="15.5703125" customWidth="1"/>
    <col min="4872" max="4872" width="17" customWidth="1"/>
    <col min="4873" max="4873" width="17.85546875" customWidth="1"/>
    <col min="4874" max="4874" width="14.5703125" customWidth="1"/>
    <col min="4875" max="4875" width="15.140625" customWidth="1"/>
    <col min="4876" max="4876" width="17.140625" customWidth="1"/>
    <col min="4877" max="4877" width="15.7109375" customWidth="1"/>
    <col min="4878" max="4878" width="13.5703125" bestFit="1" customWidth="1"/>
    <col min="5123" max="5123" width="8.7109375" customWidth="1"/>
    <col min="5124" max="5124" width="53.42578125" customWidth="1"/>
    <col min="5125" max="5125" width="15.7109375" customWidth="1"/>
    <col min="5126" max="5126" width="15.85546875" customWidth="1"/>
    <col min="5127" max="5127" width="15.5703125" customWidth="1"/>
    <col min="5128" max="5128" width="17" customWidth="1"/>
    <col min="5129" max="5129" width="17.85546875" customWidth="1"/>
    <col min="5130" max="5130" width="14.5703125" customWidth="1"/>
    <col min="5131" max="5131" width="15.140625" customWidth="1"/>
    <col min="5132" max="5132" width="17.140625" customWidth="1"/>
    <col min="5133" max="5133" width="15.7109375" customWidth="1"/>
    <col min="5134" max="5134" width="13.5703125" bestFit="1" customWidth="1"/>
    <col min="5379" max="5379" width="8.7109375" customWidth="1"/>
    <col min="5380" max="5380" width="53.42578125" customWidth="1"/>
    <col min="5381" max="5381" width="15.7109375" customWidth="1"/>
    <col min="5382" max="5382" width="15.85546875" customWidth="1"/>
    <col min="5383" max="5383" width="15.5703125" customWidth="1"/>
    <col min="5384" max="5384" width="17" customWidth="1"/>
    <col min="5385" max="5385" width="17.85546875" customWidth="1"/>
    <col min="5386" max="5386" width="14.5703125" customWidth="1"/>
    <col min="5387" max="5387" width="15.140625" customWidth="1"/>
    <col min="5388" max="5388" width="17.140625" customWidth="1"/>
    <col min="5389" max="5389" width="15.7109375" customWidth="1"/>
    <col min="5390" max="5390" width="13.5703125" bestFit="1" customWidth="1"/>
    <col min="5635" max="5635" width="8.7109375" customWidth="1"/>
    <col min="5636" max="5636" width="53.42578125" customWidth="1"/>
    <col min="5637" max="5637" width="15.7109375" customWidth="1"/>
    <col min="5638" max="5638" width="15.85546875" customWidth="1"/>
    <col min="5639" max="5639" width="15.5703125" customWidth="1"/>
    <col min="5640" max="5640" width="17" customWidth="1"/>
    <col min="5641" max="5641" width="17.85546875" customWidth="1"/>
    <col min="5642" max="5642" width="14.5703125" customWidth="1"/>
    <col min="5643" max="5643" width="15.140625" customWidth="1"/>
    <col min="5644" max="5644" width="17.140625" customWidth="1"/>
    <col min="5645" max="5645" width="15.7109375" customWidth="1"/>
    <col min="5646" max="5646" width="13.5703125" bestFit="1" customWidth="1"/>
    <col min="5891" max="5891" width="8.7109375" customWidth="1"/>
    <col min="5892" max="5892" width="53.42578125" customWidth="1"/>
    <col min="5893" max="5893" width="15.7109375" customWidth="1"/>
    <col min="5894" max="5894" width="15.85546875" customWidth="1"/>
    <col min="5895" max="5895" width="15.5703125" customWidth="1"/>
    <col min="5896" max="5896" width="17" customWidth="1"/>
    <col min="5897" max="5897" width="17.85546875" customWidth="1"/>
    <col min="5898" max="5898" width="14.5703125" customWidth="1"/>
    <col min="5899" max="5899" width="15.140625" customWidth="1"/>
    <col min="5900" max="5900" width="17.140625" customWidth="1"/>
    <col min="5901" max="5901" width="15.7109375" customWidth="1"/>
    <col min="5902" max="5902" width="13.5703125" bestFit="1" customWidth="1"/>
    <col min="6147" max="6147" width="8.7109375" customWidth="1"/>
    <col min="6148" max="6148" width="53.42578125" customWidth="1"/>
    <col min="6149" max="6149" width="15.7109375" customWidth="1"/>
    <col min="6150" max="6150" width="15.85546875" customWidth="1"/>
    <col min="6151" max="6151" width="15.5703125" customWidth="1"/>
    <col min="6152" max="6152" width="17" customWidth="1"/>
    <col min="6153" max="6153" width="17.85546875" customWidth="1"/>
    <col min="6154" max="6154" width="14.5703125" customWidth="1"/>
    <col min="6155" max="6155" width="15.140625" customWidth="1"/>
    <col min="6156" max="6156" width="17.140625" customWidth="1"/>
    <col min="6157" max="6157" width="15.7109375" customWidth="1"/>
    <col min="6158" max="6158" width="13.5703125" bestFit="1" customWidth="1"/>
    <col min="6403" max="6403" width="8.7109375" customWidth="1"/>
    <col min="6404" max="6404" width="53.42578125" customWidth="1"/>
    <col min="6405" max="6405" width="15.7109375" customWidth="1"/>
    <col min="6406" max="6406" width="15.85546875" customWidth="1"/>
    <col min="6407" max="6407" width="15.5703125" customWidth="1"/>
    <col min="6408" max="6408" width="17" customWidth="1"/>
    <col min="6409" max="6409" width="17.85546875" customWidth="1"/>
    <col min="6410" max="6410" width="14.5703125" customWidth="1"/>
    <col min="6411" max="6411" width="15.140625" customWidth="1"/>
    <col min="6412" max="6412" width="17.140625" customWidth="1"/>
    <col min="6413" max="6413" width="15.7109375" customWidth="1"/>
    <col min="6414" max="6414" width="13.5703125" bestFit="1" customWidth="1"/>
    <col min="6659" max="6659" width="8.7109375" customWidth="1"/>
    <col min="6660" max="6660" width="53.42578125" customWidth="1"/>
    <col min="6661" max="6661" width="15.7109375" customWidth="1"/>
    <col min="6662" max="6662" width="15.85546875" customWidth="1"/>
    <col min="6663" max="6663" width="15.5703125" customWidth="1"/>
    <col min="6664" max="6664" width="17" customWidth="1"/>
    <col min="6665" max="6665" width="17.85546875" customWidth="1"/>
    <col min="6666" max="6666" width="14.5703125" customWidth="1"/>
    <col min="6667" max="6667" width="15.140625" customWidth="1"/>
    <col min="6668" max="6668" width="17.140625" customWidth="1"/>
    <col min="6669" max="6669" width="15.7109375" customWidth="1"/>
    <col min="6670" max="6670" width="13.5703125" bestFit="1" customWidth="1"/>
    <col min="6915" max="6915" width="8.7109375" customWidth="1"/>
    <col min="6916" max="6916" width="53.42578125" customWidth="1"/>
    <col min="6917" max="6917" width="15.7109375" customWidth="1"/>
    <col min="6918" max="6918" width="15.85546875" customWidth="1"/>
    <col min="6919" max="6919" width="15.5703125" customWidth="1"/>
    <col min="6920" max="6920" width="17" customWidth="1"/>
    <col min="6921" max="6921" width="17.85546875" customWidth="1"/>
    <col min="6922" max="6922" width="14.5703125" customWidth="1"/>
    <col min="6923" max="6923" width="15.140625" customWidth="1"/>
    <col min="6924" max="6924" width="17.140625" customWidth="1"/>
    <col min="6925" max="6925" width="15.7109375" customWidth="1"/>
    <col min="6926" max="6926" width="13.5703125" bestFit="1" customWidth="1"/>
    <col min="7171" max="7171" width="8.7109375" customWidth="1"/>
    <col min="7172" max="7172" width="53.42578125" customWidth="1"/>
    <col min="7173" max="7173" width="15.7109375" customWidth="1"/>
    <col min="7174" max="7174" width="15.85546875" customWidth="1"/>
    <col min="7175" max="7175" width="15.5703125" customWidth="1"/>
    <col min="7176" max="7176" width="17" customWidth="1"/>
    <col min="7177" max="7177" width="17.85546875" customWidth="1"/>
    <col min="7178" max="7178" width="14.5703125" customWidth="1"/>
    <col min="7179" max="7179" width="15.140625" customWidth="1"/>
    <col min="7180" max="7180" width="17.140625" customWidth="1"/>
    <col min="7181" max="7181" width="15.7109375" customWidth="1"/>
    <col min="7182" max="7182" width="13.5703125" bestFit="1" customWidth="1"/>
    <col min="7427" max="7427" width="8.7109375" customWidth="1"/>
    <col min="7428" max="7428" width="53.42578125" customWidth="1"/>
    <col min="7429" max="7429" width="15.7109375" customWidth="1"/>
    <col min="7430" max="7430" width="15.85546875" customWidth="1"/>
    <col min="7431" max="7431" width="15.5703125" customWidth="1"/>
    <col min="7432" max="7432" width="17" customWidth="1"/>
    <col min="7433" max="7433" width="17.85546875" customWidth="1"/>
    <col min="7434" max="7434" width="14.5703125" customWidth="1"/>
    <col min="7435" max="7435" width="15.140625" customWidth="1"/>
    <col min="7436" max="7436" width="17.140625" customWidth="1"/>
    <col min="7437" max="7437" width="15.7109375" customWidth="1"/>
    <col min="7438" max="7438" width="13.5703125" bestFit="1" customWidth="1"/>
    <col min="7683" max="7683" width="8.7109375" customWidth="1"/>
    <col min="7684" max="7684" width="53.42578125" customWidth="1"/>
    <col min="7685" max="7685" width="15.7109375" customWidth="1"/>
    <col min="7686" max="7686" width="15.85546875" customWidth="1"/>
    <col min="7687" max="7687" width="15.5703125" customWidth="1"/>
    <col min="7688" max="7688" width="17" customWidth="1"/>
    <col min="7689" max="7689" width="17.85546875" customWidth="1"/>
    <col min="7690" max="7690" width="14.5703125" customWidth="1"/>
    <col min="7691" max="7691" width="15.140625" customWidth="1"/>
    <col min="7692" max="7692" width="17.140625" customWidth="1"/>
    <col min="7693" max="7693" width="15.7109375" customWidth="1"/>
    <col min="7694" max="7694" width="13.5703125" bestFit="1" customWidth="1"/>
    <col min="7939" max="7939" width="8.7109375" customWidth="1"/>
    <col min="7940" max="7940" width="53.42578125" customWidth="1"/>
    <col min="7941" max="7941" width="15.7109375" customWidth="1"/>
    <col min="7942" max="7942" width="15.85546875" customWidth="1"/>
    <col min="7943" max="7943" width="15.5703125" customWidth="1"/>
    <col min="7944" max="7944" width="17" customWidth="1"/>
    <col min="7945" max="7945" width="17.85546875" customWidth="1"/>
    <col min="7946" max="7946" width="14.5703125" customWidth="1"/>
    <col min="7947" max="7947" width="15.140625" customWidth="1"/>
    <col min="7948" max="7948" width="17.140625" customWidth="1"/>
    <col min="7949" max="7949" width="15.7109375" customWidth="1"/>
    <col min="7950" max="7950" width="13.5703125" bestFit="1" customWidth="1"/>
    <col min="8195" max="8195" width="8.7109375" customWidth="1"/>
    <col min="8196" max="8196" width="53.42578125" customWidth="1"/>
    <col min="8197" max="8197" width="15.7109375" customWidth="1"/>
    <col min="8198" max="8198" width="15.85546875" customWidth="1"/>
    <col min="8199" max="8199" width="15.5703125" customWidth="1"/>
    <col min="8200" max="8200" width="17" customWidth="1"/>
    <col min="8201" max="8201" width="17.85546875" customWidth="1"/>
    <col min="8202" max="8202" width="14.5703125" customWidth="1"/>
    <col min="8203" max="8203" width="15.140625" customWidth="1"/>
    <col min="8204" max="8204" width="17.140625" customWidth="1"/>
    <col min="8205" max="8205" width="15.7109375" customWidth="1"/>
    <col min="8206" max="8206" width="13.5703125" bestFit="1" customWidth="1"/>
    <col min="8451" max="8451" width="8.7109375" customWidth="1"/>
    <col min="8452" max="8452" width="53.42578125" customWidth="1"/>
    <col min="8453" max="8453" width="15.7109375" customWidth="1"/>
    <col min="8454" max="8454" width="15.85546875" customWidth="1"/>
    <col min="8455" max="8455" width="15.5703125" customWidth="1"/>
    <col min="8456" max="8456" width="17" customWidth="1"/>
    <col min="8457" max="8457" width="17.85546875" customWidth="1"/>
    <col min="8458" max="8458" width="14.5703125" customWidth="1"/>
    <col min="8459" max="8459" width="15.140625" customWidth="1"/>
    <col min="8460" max="8460" width="17.140625" customWidth="1"/>
    <col min="8461" max="8461" width="15.7109375" customWidth="1"/>
    <col min="8462" max="8462" width="13.5703125" bestFit="1" customWidth="1"/>
    <col min="8707" max="8707" width="8.7109375" customWidth="1"/>
    <col min="8708" max="8708" width="53.42578125" customWidth="1"/>
    <col min="8709" max="8709" width="15.7109375" customWidth="1"/>
    <col min="8710" max="8710" width="15.85546875" customWidth="1"/>
    <col min="8711" max="8711" width="15.5703125" customWidth="1"/>
    <col min="8712" max="8712" width="17" customWidth="1"/>
    <col min="8713" max="8713" width="17.85546875" customWidth="1"/>
    <col min="8714" max="8714" width="14.5703125" customWidth="1"/>
    <col min="8715" max="8715" width="15.140625" customWidth="1"/>
    <col min="8716" max="8716" width="17.140625" customWidth="1"/>
    <col min="8717" max="8717" width="15.7109375" customWidth="1"/>
    <col min="8718" max="8718" width="13.5703125" bestFit="1" customWidth="1"/>
    <col min="8963" max="8963" width="8.7109375" customWidth="1"/>
    <col min="8964" max="8964" width="53.42578125" customWidth="1"/>
    <col min="8965" max="8965" width="15.7109375" customWidth="1"/>
    <col min="8966" max="8966" width="15.85546875" customWidth="1"/>
    <col min="8967" max="8967" width="15.5703125" customWidth="1"/>
    <col min="8968" max="8968" width="17" customWidth="1"/>
    <col min="8969" max="8969" width="17.85546875" customWidth="1"/>
    <col min="8970" max="8970" width="14.5703125" customWidth="1"/>
    <col min="8971" max="8971" width="15.140625" customWidth="1"/>
    <col min="8972" max="8972" width="17.140625" customWidth="1"/>
    <col min="8973" max="8973" width="15.7109375" customWidth="1"/>
    <col min="8974" max="8974" width="13.5703125" bestFit="1" customWidth="1"/>
    <col min="9219" max="9219" width="8.7109375" customWidth="1"/>
    <col min="9220" max="9220" width="53.42578125" customWidth="1"/>
    <col min="9221" max="9221" width="15.7109375" customWidth="1"/>
    <col min="9222" max="9222" width="15.85546875" customWidth="1"/>
    <col min="9223" max="9223" width="15.5703125" customWidth="1"/>
    <col min="9224" max="9224" width="17" customWidth="1"/>
    <col min="9225" max="9225" width="17.85546875" customWidth="1"/>
    <col min="9226" max="9226" width="14.5703125" customWidth="1"/>
    <col min="9227" max="9227" width="15.140625" customWidth="1"/>
    <col min="9228" max="9228" width="17.140625" customWidth="1"/>
    <col min="9229" max="9229" width="15.7109375" customWidth="1"/>
    <col min="9230" max="9230" width="13.5703125" bestFit="1" customWidth="1"/>
    <col min="9475" max="9475" width="8.7109375" customWidth="1"/>
    <col min="9476" max="9476" width="53.42578125" customWidth="1"/>
    <col min="9477" max="9477" width="15.7109375" customWidth="1"/>
    <col min="9478" max="9478" width="15.85546875" customWidth="1"/>
    <col min="9479" max="9479" width="15.5703125" customWidth="1"/>
    <col min="9480" max="9480" width="17" customWidth="1"/>
    <col min="9481" max="9481" width="17.85546875" customWidth="1"/>
    <col min="9482" max="9482" width="14.5703125" customWidth="1"/>
    <col min="9483" max="9483" width="15.140625" customWidth="1"/>
    <col min="9484" max="9484" width="17.140625" customWidth="1"/>
    <col min="9485" max="9485" width="15.7109375" customWidth="1"/>
    <col min="9486" max="9486" width="13.5703125" bestFit="1" customWidth="1"/>
    <col min="9731" max="9731" width="8.7109375" customWidth="1"/>
    <col min="9732" max="9732" width="53.42578125" customWidth="1"/>
    <col min="9733" max="9733" width="15.7109375" customWidth="1"/>
    <col min="9734" max="9734" width="15.85546875" customWidth="1"/>
    <col min="9735" max="9735" width="15.5703125" customWidth="1"/>
    <col min="9736" max="9736" width="17" customWidth="1"/>
    <col min="9737" max="9737" width="17.85546875" customWidth="1"/>
    <col min="9738" max="9738" width="14.5703125" customWidth="1"/>
    <col min="9739" max="9739" width="15.140625" customWidth="1"/>
    <col min="9740" max="9740" width="17.140625" customWidth="1"/>
    <col min="9741" max="9741" width="15.7109375" customWidth="1"/>
    <col min="9742" max="9742" width="13.5703125" bestFit="1" customWidth="1"/>
    <col min="9987" max="9987" width="8.7109375" customWidth="1"/>
    <col min="9988" max="9988" width="53.42578125" customWidth="1"/>
    <col min="9989" max="9989" width="15.7109375" customWidth="1"/>
    <col min="9990" max="9990" width="15.85546875" customWidth="1"/>
    <col min="9991" max="9991" width="15.5703125" customWidth="1"/>
    <col min="9992" max="9992" width="17" customWidth="1"/>
    <col min="9993" max="9993" width="17.85546875" customWidth="1"/>
    <col min="9994" max="9994" width="14.5703125" customWidth="1"/>
    <col min="9995" max="9995" width="15.140625" customWidth="1"/>
    <col min="9996" max="9996" width="17.140625" customWidth="1"/>
    <col min="9997" max="9997" width="15.7109375" customWidth="1"/>
    <col min="9998" max="9998" width="13.5703125" bestFit="1" customWidth="1"/>
    <col min="10243" max="10243" width="8.7109375" customWidth="1"/>
    <col min="10244" max="10244" width="53.42578125" customWidth="1"/>
    <col min="10245" max="10245" width="15.7109375" customWidth="1"/>
    <col min="10246" max="10246" width="15.85546875" customWidth="1"/>
    <col min="10247" max="10247" width="15.5703125" customWidth="1"/>
    <col min="10248" max="10248" width="17" customWidth="1"/>
    <col min="10249" max="10249" width="17.85546875" customWidth="1"/>
    <col min="10250" max="10250" width="14.5703125" customWidth="1"/>
    <col min="10251" max="10251" width="15.140625" customWidth="1"/>
    <col min="10252" max="10252" width="17.140625" customWidth="1"/>
    <col min="10253" max="10253" width="15.7109375" customWidth="1"/>
    <col min="10254" max="10254" width="13.5703125" bestFit="1" customWidth="1"/>
    <col min="10499" max="10499" width="8.7109375" customWidth="1"/>
    <col min="10500" max="10500" width="53.42578125" customWidth="1"/>
    <col min="10501" max="10501" width="15.7109375" customWidth="1"/>
    <col min="10502" max="10502" width="15.85546875" customWidth="1"/>
    <col min="10503" max="10503" width="15.5703125" customWidth="1"/>
    <col min="10504" max="10504" width="17" customWidth="1"/>
    <col min="10505" max="10505" width="17.85546875" customWidth="1"/>
    <col min="10506" max="10506" width="14.5703125" customWidth="1"/>
    <col min="10507" max="10507" width="15.140625" customWidth="1"/>
    <col min="10508" max="10508" width="17.140625" customWidth="1"/>
    <col min="10509" max="10509" width="15.7109375" customWidth="1"/>
    <col min="10510" max="10510" width="13.5703125" bestFit="1" customWidth="1"/>
    <col min="10755" max="10755" width="8.7109375" customWidth="1"/>
    <col min="10756" max="10756" width="53.42578125" customWidth="1"/>
    <col min="10757" max="10757" width="15.7109375" customWidth="1"/>
    <col min="10758" max="10758" width="15.85546875" customWidth="1"/>
    <col min="10759" max="10759" width="15.5703125" customWidth="1"/>
    <col min="10760" max="10760" width="17" customWidth="1"/>
    <col min="10761" max="10761" width="17.85546875" customWidth="1"/>
    <col min="10762" max="10762" width="14.5703125" customWidth="1"/>
    <col min="10763" max="10763" width="15.140625" customWidth="1"/>
    <col min="10764" max="10764" width="17.140625" customWidth="1"/>
    <col min="10765" max="10765" width="15.7109375" customWidth="1"/>
    <col min="10766" max="10766" width="13.5703125" bestFit="1" customWidth="1"/>
    <col min="11011" max="11011" width="8.7109375" customWidth="1"/>
    <col min="11012" max="11012" width="53.42578125" customWidth="1"/>
    <col min="11013" max="11013" width="15.7109375" customWidth="1"/>
    <col min="11014" max="11014" width="15.85546875" customWidth="1"/>
    <col min="11015" max="11015" width="15.5703125" customWidth="1"/>
    <col min="11016" max="11016" width="17" customWidth="1"/>
    <col min="11017" max="11017" width="17.85546875" customWidth="1"/>
    <col min="11018" max="11018" width="14.5703125" customWidth="1"/>
    <col min="11019" max="11019" width="15.140625" customWidth="1"/>
    <col min="11020" max="11020" width="17.140625" customWidth="1"/>
    <col min="11021" max="11021" width="15.7109375" customWidth="1"/>
    <col min="11022" max="11022" width="13.5703125" bestFit="1" customWidth="1"/>
    <col min="11267" max="11267" width="8.7109375" customWidth="1"/>
    <col min="11268" max="11268" width="53.42578125" customWidth="1"/>
    <col min="11269" max="11269" width="15.7109375" customWidth="1"/>
    <col min="11270" max="11270" width="15.85546875" customWidth="1"/>
    <col min="11271" max="11271" width="15.5703125" customWidth="1"/>
    <col min="11272" max="11272" width="17" customWidth="1"/>
    <col min="11273" max="11273" width="17.85546875" customWidth="1"/>
    <col min="11274" max="11274" width="14.5703125" customWidth="1"/>
    <col min="11275" max="11275" width="15.140625" customWidth="1"/>
    <col min="11276" max="11276" width="17.140625" customWidth="1"/>
    <col min="11277" max="11277" width="15.7109375" customWidth="1"/>
    <col min="11278" max="11278" width="13.5703125" bestFit="1" customWidth="1"/>
    <col min="11523" max="11523" width="8.7109375" customWidth="1"/>
    <col min="11524" max="11524" width="53.42578125" customWidth="1"/>
    <col min="11525" max="11525" width="15.7109375" customWidth="1"/>
    <col min="11526" max="11526" width="15.85546875" customWidth="1"/>
    <col min="11527" max="11527" width="15.5703125" customWidth="1"/>
    <col min="11528" max="11528" width="17" customWidth="1"/>
    <col min="11529" max="11529" width="17.85546875" customWidth="1"/>
    <col min="11530" max="11530" width="14.5703125" customWidth="1"/>
    <col min="11531" max="11531" width="15.140625" customWidth="1"/>
    <col min="11532" max="11532" width="17.140625" customWidth="1"/>
    <col min="11533" max="11533" width="15.7109375" customWidth="1"/>
    <col min="11534" max="11534" width="13.5703125" bestFit="1" customWidth="1"/>
    <col min="11779" max="11779" width="8.7109375" customWidth="1"/>
    <col min="11780" max="11780" width="53.42578125" customWidth="1"/>
    <col min="11781" max="11781" width="15.7109375" customWidth="1"/>
    <col min="11782" max="11782" width="15.85546875" customWidth="1"/>
    <col min="11783" max="11783" width="15.5703125" customWidth="1"/>
    <col min="11784" max="11784" width="17" customWidth="1"/>
    <col min="11785" max="11785" width="17.85546875" customWidth="1"/>
    <col min="11786" max="11786" width="14.5703125" customWidth="1"/>
    <col min="11787" max="11787" width="15.140625" customWidth="1"/>
    <col min="11788" max="11788" width="17.140625" customWidth="1"/>
    <col min="11789" max="11789" width="15.7109375" customWidth="1"/>
    <col min="11790" max="11790" width="13.5703125" bestFit="1" customWidth="1"/>
    <col min="12035" max="12035" width="8.7109375" customWidth="1"/>
    <col min="12036" max="12036" width="53.42578125" customWidth="1"/>
    <col min="12037" max="12037" width="15.7109375" customWidth="1"/>
    <col min="12038" max="12038" width="15.85546875" customWidth="1"/>
    <col min="12039" max="12039" width="15.5703125" customWidth="1"/>
    <col min="12040" max="12040" width="17" customWidth="1"/>
    <col min="12041" max="12041" width="17.85546875" customWidth="1"/>
    <col min="12042" max="12042" width="14.5703125" customWidth="1"/>
    <col min="12043" max="12043" width="15.140625" customWidth="1"/>
    <col min="12044" max="12044" width="17.140625" customWidth="1"/>
    <col min="12045" max="12045" width="15.7109375" customWidth="1"/>
    <col min="12046" max="12046" width="13.5703125" bestFit="1" customWidth="1"/>
    <col min="12291" max="12291" width="8.7109375" customWidth="1"/>
    <col min="12292" max="12292" width="53.42578125" customWidth="1"/>
    <col min="12293" max="12293" width="15.7109375" customWidth="1"/>
    <col min="12294" max="12294" width="15.85546875" customWidth="1"/>
    <col min="12295" max="12295" width="15.5703125" customWidth="1"/>
    <col min="12296" max="12296" width="17" customWidth="1"/>
    <col min="12297" max="12297" width="17.85546875" customWidth="1"/>
    <col min="12298" max="12298" width="14.5703125" customWidth="1"/>
    <col min="12299" max="12299" width="15.140625" customWidth="1"/>
    <col min="12300" max="12300" width="17.140625" customWidth="1"/>
    <col min="12301" max="12301" width="15.7109375" customWidth="1"/>
    <col min="12302" max="12302" width="13.5703125" bestFit="1" customWidth="1"/>
    <col min="12547" max="12547" width="8.7109375" customWidth="1"/>
    <col min="12548" max="12548" width="53.42578125" customWidth="1"/>
    <col min="12549" max="12549" width="15.7109375" customWidth="1"/>
    <col min="12550" max="12550" width="15.85546875" customWidth="1"/>
    <col min="12551" max="12551" width="15.5703125" customWidth="1"/>
    <col min="12552" max="12552" width="17" customWidth="1"/>
    <col min="12553" max="12553" width="17.85546875" customWidth="1"/>
    <col min="12554" max="12554" width="14.5703125" customWidth="1"/>
    <col min="12555" max="12555" width="15.140625" customWidth="1"/>
    <col min="12556" max="12556" width="17.140625" customWidth="1"/>
    <col min="12557" max="12557" width="15.7109375" customWidth="1"/>
    <col min="12558" max="12558" width="13.5703125" bestFit="1" customWidth="1"/>
    <col min="12803" max="12803" width="8.7109375" customWidth="1"/>
    <col min="12804" max="12804" width="53.42578125" customWidth="1"/>
    <col min="12805" max="12805" width="15.7109375" customWidth="1"/>
    <col min="12806" max="12806" width="15.85546875" customWidth="1"/>
    <col min="12807" max="12807" width="15.5703125" customWidth="1"/>
    <col min="12808" max="12808" width="17" customWidth="1"/>
    <col min="12809" max="12809" width="17.85546875" customWidth="1"/>
    <col min="12810" max="12810" width="14.5703125" customWidth="1"/>
    <col min="12811" max="12811" width="15.140625" customWidth="1"/>
    <col min="12812" max="12812" width="17.140625" customWidth="1"/>
    <col min="12813" max="12813" width="15.7109375" customWidth="1"/>
    <col min="12814" max="12814" width="13.5703125" bestFit="1" customWidth="1"/>
    <col min="13059" max="13059" width="8.7109375" customWidth="1"/>
    <col min="13060" max="13060" width="53.42578125" customWidth="1"/>
    <col min="13061" max="13061" width="15.7109375" customWidth="1"/>
    <col min="13062" max="13062" width="15.85546875" customWidth="1"/>
    <col min="13063" max="13063" width="15.5703125" customWidth="1"/>
    <col min="13064" max="13064" width="17" customWidth="1"/>
    <col min="13065" max="13065" width="17.85546875" customWidth="1"/>
    <col min="13066" max="13066" width="14.5703125" customWidth="1"/>
    <col min="13067" max="13067" width="15.140625" customWidth="1"/>
    <col min="13068" max="13068" width="17.140625" customWidth="1"/>
    <col min="13069" max="13069" width="15.7109375" customWidth="1"/>
    <col min="13070" max="13070" width="13.5703125" bestFit="1" customWidth="1"/>
    <col min="13315" max="13315" width="8.7109375" customWidth="1"/>
    <col min="13316" max="13316" width="53.42578125" customWidth="1"/>
    <col min="13317" max="13317" width="15.7109375" customWidth="1"/>
    <col min="13318" max="13318" width="15.85546875" customWidth="1"/>
    <col min="13319" max="13319" width="15.5703125" customWidth="1"/>
    <col min="13320" max="13320" width="17" customWidth="1"/>
    <col min="13321" max="13321" width="17.85546875" customWidth="1"/>
    <col min="13322" max="13322" width="14.5703125" customWidth="1"/>
    <col min="13323" max="13323" width="15.140625" customWidth="1"/>
    <col min="13324" max="13324" width="17.140625" customWidth="1"/>
    <col min="13325" max="13325" width="15.7109375" customWidth="1"/>
    <col min="13326" max="13326" width="13.5703125" bestFit="1" customWidth="1"/>
    <col min="13571" max="13571" width="8.7109375" customWidth="1"/>
    <col min="13572" max="13572" width="53.42578125" customWidth="1"/>
    <col min="13573" max="13573" width="15.7109375" customWidth="1"/>
    <col min="13574" max="13574" width="15.85546875" customWidth="1"/>
    <col min="13575" max="13575" width="15.5703125" customWidth="1"/>
    <col min="13576" max="13576" width="17" customWidth="1"/>
    <col min="13577" max="13577" width="17.85546875" customWidth="1"/>
    <col min="13578" max="13578" width="14.5703125" customWidth="1"/>
    <col min="13579" max="13579" width="15.140625" customWidth="1"/>
    <col min="13580" max="13580" width="17.140625" customWidth="1"/>
    <col min="13581" max="13581" width="15.7109375" customWidth="1"/>
    <col min="13582" max="13582" width="13.5703125" bestFit="1" customWidth="1"/>
    <col min="13827" max="13827" width="8.7109375" customWidth="1"/>
    <col min="13828" max="13828" width="53.42578125" customWidth="1"/>
    <col min="13829" max="13829" width="15.7109375" customWidth="1"/>
    <col min="13830" max="13830" width="15.85546875" customWidth="1"/>
    <col min="13831" max="13831" width="15.5703125" customWidth="1"/>
    <col min="13832" max="13832" width="17" customWidth="1"/>
    <col min="13833" max="13833" width="17.85546875" customWidth="1"/>
    <col min="13834" max="13834" width="14.5703125" customWidth="1"/>
    <col min="13835" max="13835" width="15.140625" customWidth="1"/>
    <col min="13836" max="13836" width="17.140625" customWidth="1"/>
    <col min="13837" max="13837" width="15.7109375" customWidth="1"/>
    <col min="13838" max="13838" width="13.5703125" bestFit="1" customWidth="1"/>
    <col min="14083" max="14083" width="8.7109375" customWidth="1"/>
    <col min="14084" max="14084" width="53.42578125" customWidth="1"/>
    <col min="14085" max="14085" width="15.7109375" customWidth="1"/>
    <col min="14086" max="14086" width="15.85546875" customWidth="1"/>
    <col min="14087" max="14087" width="15.5703125" customWidth="1"/>
    <col min="14088" max="14088" width="17" customWidth="1"/>
    <col min="14089" max="14089" width="17.85546875" customWidth="1"/>
    <col min="14090" max="14090" width="14.5703125" customWidth="1"/>
    <col min="14091" max="14091" width="15.140625" customWidth="1"/>
    <col min="14092" max="14092" width="17.140625" customWidth="1"/>
    <col min="14093" max="14093" width="15.7109375" customWidth="1"/>
    <col min="14094" max="14094" width="13.5703125" bestFit="1" customWidth="1"/>
    <col min="14339" max="14339" width="8.7109375" customWidth="1"/>
    <col min="14340" max="14340" width="53.42578125" customWidth="1"/>
    <col min="14341" max="14341" width="15.7109375" customWidth="1"/>
    <col min="14342" max="14342" width="15.85546875" customWidth="1"/>
    <col min="14343" max="14343" width="15.5703125" customWidth="1"/>
    <col min="14344" max="14344" width="17" customWidth="1"/>
    <col min="14345" max="14345" width="17.85546875" customWidth="1"/>
    <col min="14346" max="14346" width="14.5703125" customWidth="1"/>
    <col min="14347" max="14347" width="15.140625" customWidth="1"/>
    <col min="14348" max="14348" width="17.140625" customWidth="1"/>
    <col min="14349" max="14349" width="15.7109375" customWidth="1"/>
    <col min="14350" max="14350" width="13.5703125" bestFit="1" customWidth="1"/>
    <col min="14595" max="14595" width="8.7109375" customWidth="1"/>
    <col min="14596" max="14596" width="53.42578125" customWidth="1"/>
    <col min="14597" max="14597" width="15.7109375" customWidth="1"/>
    <col min="14598" max="14598" width="15.85546875" customWidth="1"/>
    <col min="14599" max="14599" width="15.5703125" customWidth="1"/>
    <col min="14600" max="14600" width="17" customWidth="1"/>
    <col min="14601" max="14601" width="17.85546875" customWidth="1"/>
    <col min="14602" max="14602" width="14.5703125" customWidth="1"/>
    <col min="14603" max="14603" width="15.140625" customWidth="1"/>
    <col min="14604" max="14604" width="17.140625" customWidth="1"/>
    <col min="14605" max="14605" width="15.7109375" customWidth="1"/>
    <col min="14606" max="14606" width="13.5703125" bestFit="1" customWidth="1"/>
    <col min="14851" max="14851" width="8.7109375" customWidth="1"/>
    <col min="14852" max="14852" width="53.42578125" customWidth="1"/>
    <col min="14853" max="14853" width="15.7109375" customWidth="1"/>
    <col min="14854" max="14854" width="15.85546875" customWidth="1"/>
    <col min="14855" max="14855" width="15.5703125" customWidth="1"/>
    <col min="14856" max="14856" width="17" customWidth="1"/>
    <col min="14857" max="14857" width="17.85546875" customWidth="1"/>
    <col min="14858" max="14858" width="14.5703125" customWidth="1"/>
    <col min="14859" max="14859" width="15.140625" customWidth="1"/>
    <col min="14860" max="14860" width="17.140625" customWidth="1"/>
    <col min="14861" max="14861" width="15.7109375" customWidth="1"/>
    <col min="14862" max="14862" width="13.5703125" bestFit="1" customWidth="1"/>
    <col min="15107" max="15107" width="8.7109375" customWidth="1"/>
    <col min="15108" max="15108" width="53.42578125" customWidth="1"/>
    <col min="15109" max="15109" width="15.7109375" customWidth="1"/>
    <col min="15110" max="15110" width="15.85546875" customWidth="1"/>
    <col min="15111" max="15111" width="15.5703125" customWidth="1"/>
    <col min="15112" max="15112" width="17" customWidth="1"/>
    <col min="15113" max="15113" width="17.85546875" customWidth="1"/>
    <col min="15114" max="15114" width="14.5703125" customWidth="1"/>
    <col min="15115" max="15115" width="15.140625" customWidth="1"/>
    <col min="15116" max="15116" width="17.140625" customWidth="1"/>
    <col min="15117" max="15117" width="15.7109375" customWidth="1"/>
    <col min="15118" max="15118" width="13.5703125" bestFit="1" customWidth="1"/>
    <col min="15363" max="15363" width="8.7109375" customWidth="1"/>
    <col min="15364" max="15364" width="53.42578125" customWidth="1"/>
    <col min="15365" max="15365" width="15.7109375" customWidth="1"/>
    <col min="15366" max="15366" width="15.85546875" customWidth="1"/>
    <col min="15367" max="15367" width="15.5703125" customWidth="1"/>
    <col min="15368" max="15368" width="17" customWidth="1"/>
    <col min="15369" max="15369" width="17.85546875" customWidth="1"/>
    <col min="15370" max="15370" width="14.5703125" customWidth="1"/>
    <col min="15371" max="15371" width="15.140625" customWidth="1"/>
    <col min="15372" max="15372" width="17.140625" customWidth="1"/>
    <col min="15373" max="15373" width="15.7109375" customWidth="1"/>
    <col min="15374" max="15374" width="13.5703125" bestFit="1" customWidth="1"/>
    <col min="15619" max="15619" width="8.7109375" customWidth="1"/>
    <col min="15620" max="15620" width="53.42578125" customWidth="1"/>
    <col min="15621" max="15621" width="15.7109375" customWidth="1"/>
    <col min="15622" max="15622" width="15.85546875" customWidth="1"/>
    <col min="15623" max="15623" width="15.5703125" customWidth="1"/>
    <col min="15624" max="15624" width="17" customWidth="1"/>
    <col min="15625" max="15625" width="17.85546875" customWidth="1"/>
    <col min="15626" max="15626" width="14.5703125" customWidth="1"/>
    <col min="15627" max="15627" width="15.140625" customWidth="1"/>
    <col min="15628" max="15628" width="17.140625" customWidth="1"/>
    <col min="15629" max="15629" width="15.7109375" customWidth="1"/>
    <col min="15630" max="15630" width="13.5703125" bestFit="1" customWidth="1"/>
    <col min="15875" max="15875" width="8.7109375" customWidth="1"/>
    <col min="15876" max="15876" width="53.42578125" customWidth="1"/>
    <col min="15877" max="15877" width="15.7109375" customWidth="1"/>
    <col min="15878" max="15878" width="15.85546875" customWidth="1"/>
    <col min="15879" max="15879" width="15.5703125" customWidth="1"/>
    <col min="15880" max="15880" width="17" customWidth="1"/>
    <col min="15881" max="15881" width="17.85546875" customWidth="1"/>
    <col min="15882" max="15882" width="14.5703125" customWidth="1"/>
    <col min="15883" max="15883" width="15.140625" customWidth="1"/>
    <col min="15884" max="15884" width="17.140625" customWidth="1"/>
    <col min="15885" max="15885" width="15.7109375" customWidth="1"/>
    <col min="15886" max="15886" width="13.5703125" bestFit="1" customWidth="1"/>
    <col min="16131" max="16131" width="8.7109375" customWidth="1"/>
    <col min="16132" max="16132" width="53.42578125" customWidth="1"/>
    <col min="16133" max="16133" width="15.7109375" customWidth="1"/>
    <col min="16134" max="16134" width="15.85546875" customWidth="1"/>
    <col min="16135" max="16135" width="15.5703125" customWidth="1"/>
    <col min="16136" max="16136" width="17" customWidth="1"/>
    <col min="16137" max="16137" width="17.85546875" customWidth="1"/>
    <col min="16138" max="16138" width="14.5703125" customWidth="1"/>
    <col min="16139" max="16139" width="15.140625" customWidth="1"/>
    <col min="16140" max="16140" width="17.140625" customWidth="1"/>
    <col min="16141" max="16141" width="15.7109375" customWidth="1"/>
    <col min="16142" max="16142" width="13.5703125" bestFit="1" customWidth="1"/>
  </cols>
  <sheetData>
    <row r="1" spans="1:13" ht="15.75" x14ac:dyDescent="0.25">
      <c r="G1" s="130"/>
      <c r="H1" s="130"/>
      <c r="I1" s="130"/>
      <c r="J1" s="130"/>
      <c r="K1" s="480" t="s">
        <v>653</v>
      </c>
      <c r="L1" s="480"/>
      <c r="M1" s="480"/>
    </row>
    <row r="2" spans="1:13" ht="15.75" x14ac:dyDescent="0.25">
      <c r="G2" s="130"/>
      <c r="H2" s="130"/>
      <c r="I2" s="130"/>
      <c r="J2" s="130"/>
      <c r="K2" s="480" t="s">
        <v>658</v>
      </c>
      <c r="L2" s="480"/>
      <c r="M2" s="480"/>
    </row>
    <row r="3" spans="1:13" ht="15.75" x14ac:dyDescent="0.25">
      <c r="K3" s="480" t="s">
        <v>586</v>
      </c>
      <c r="L3" s="480"/>
      <c r="M3" s="480"/>
    </row>
    <row r="4" spans="1:13" ht="15.75" x14ac:dyDescent="0.25">
      <c r="K4" s="480" t="s">
        <v>659</v>
      </c>
      <c r="L4" s="480"/>
      <c r="M4" s="480"/>
    </row>
    <row r="5" spans="1:13" ht="15.75" x14ac:dyDescent="0.25">
      <c r="K5" s="480" t="s">
        <v>936</v>
      </c>
      <c r="L5" s="480"/>
      <c r="M5" s="480"/>
    </row>
    <row r="7" spans="1:13" ht="16.5" x14ac:dyDescent="0.25">
      <c r="A7" s="476" t="s">
        <v>719</v>
      </c>
      <c r="B7" s="476"/>
      <c r="C7" s="476"/>
      <c r="D7" s="476"/>
      <c r="E7" s="476"/>
      <c r="F7" s="476"/>
      <c r="G7" s="476"/>
      <c r="H7" s="476"/>
      <c r="I7" s="476"/>
      <c r="J7" s="476"/>
      <c r="K7" s="476"/>
      <c r="L7" s="476"/>
      <c r="M7" s="476"/>
    </row>
    <row r="8" spans="1:13" ht="16.5" x14ac:dyDescent="0.25">
      <c r="A8" s="142"/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9" spans="1:13" ht="16.5" x14ac:dyDescent="0.25">
      <c r="A9" s="476" t="s">
        <v>660</v>
      </c>
      <c r="B9" s="476"/>
      <c r="C9" s="476"/>
      <c r="D9" s="476"/>
      <c r="E9" s="476"/>
      <c r="F9" s="476"/>
      <c r="G9" s="476"/>
      <c r="H9" s="476"/>
      <c r="I9" s="476"/>
      <c r="J9" s="476"/>
      <c r="K9" s="476"/>
      <c r="L9" s="476"/>
      <c r="M9" s="476"/>
    </row>
    <row r="10" spans="1:13" ht="16.5" x14ac:dyDescent="0.25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</row>
    <row r="11" spans="1:13" s="1" customFormat="1" ht="15" customHeight="1" x14ac:dyDescent="0.25">
      <c r="A11" s="470" t="s">
        <v>655</v>
      </c>
      <c r="B11" s="470" t="s">
        <v>661</v>
      </c>
      <c r="C11" s="470" t="s">
        <v>662</v>
      </c>
      <c r="D11" s="470"/>
      <c r="E11" s="470"/>
      <c r="F11" s="470"/>
      <c r="G11" s="470"/>
      <c r="H11" s="470"/>
      <c r="I11" s="470"/>
      <c r="J11" s="470"/>
      <c r="K11" s="470"/>
      <c r="L11" s="470"/>
      <c r="M11" s="470"/>
    </row>
    <row r="12" spans="1:13" s="1" customFormat="1" ht="15" customHeight="1" x14ac:dyDescent="0.25">
      <c r="A12" s="470"/>
      <c r="B12" s="470"/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</row>
    <row r="13" spans="1:13" s="1" customFormat="1" ht="15.75" x14ac:dyDescent="0.25">
      <c r="A13" s="470"/>
      <c r="B13" s="470"/>
      <c r="C13" s="471" t="s">
        <v>649</v>
      </c>
      <c r="D13" s="477" t="s">
        <v>116</v>
      </c>
      <c r="E13" s="478"/>
      <c r="F13" s="479"/>
      <c r="G13" s="471" t="s">
        <v>577</v>
      </c>
      <c r="H13" s="477" t="s">
        <v>116</v>
      </c>
      <c r="I13" s="478"/>
      <c r="J13" s="479"/>
      <c r="K13" s="471" t="s">
        <v>650</v>
      </c>
      <c r="L13" s="477" t="s">
        <v>116</v>
      </c>
      <c r="M13" s="479"/>
    </row>
    <row r="14" spans="1:13" s="1" customFormat="1" ht="47.25" x14ac:dyDescent="0.25">
      <c r="A14" s="470"/>
      <c r="B14" s="470"/>
      <c r="C14" s="472"/>
      <c r="D14" s="141" t="s">
        <v>663</v>
      </c>
      <c r="E14" s="143" t="s">
        <v>656</v>
      </c>
      <c r="F14" s="143" t="s">
        <v>657</v>
      </c>
      <c r="G14" s="472"/>
      <c r="H14" s="141" t="s">
        <v>663</v>
      </c>
      <c r="I14" s="143" t="s">
        <v>656</v>
      </c>
      <c r="J14" s="143" t="s">
        <v>657</v>
      </c>
      <c r="K14" s="472"/>
      <c r="L14" s="143" t="s">
        <v>656</v>
      </c>
      <c r="M14" s="143" t="s">
        <v>657</v>
      </c>
    </row>
    <row r="15" spans="1:13" s="1" customFormat="1" ht="15.75" x14ac:dyDescent="0.25">
      <c r="A15" s="144" t="s">
        <v>664</v>
      </c>
      <c r="B15" s="145" t="s">
        <v>665</v>
      </c>
      <c r="C15" s="146">
        <f t="shared" ref="C15:M15" si="0">SUM(C17:C20)</f>
        <v>127646.12831</v>
      </c>
      <c r="D15" s="146">
        <f t="shared" si="0"/>
        <v>47403.956680000003</v>
      </c>
      <c r="E15" s="146">
        <f t="shared" si="0"/>
        <v>28622.04507</v>
      </c>
      <c r="F15" s="146">
        <f t="shared" si="0"/>
        <v>51620.126560000004</v>
      </c>
      <c r="G15" s="146">
        <f t="shared" si="0"/>
        <v>69444.889629999991</v>
      </c>
      <c r="H15" s="146">
        <f t="shared" si="0"/>
        <v>0</v>
      </c>
      <c r="I15" s="146">
        <f t="shared" si="0"/>
        <v>24383</v>
      </c>
      <c r="J15" s="146">
        <f t="shared" si="0"/>
        <v>45061.889629999998</v>
      </c>
      <c r="K15" s="146">
        <f t="shared" si="0"/>
        <v>59618.9</v>
      </c>
      <c r="L15" s="146">
        <f t="shared" si="0"/>
        <v>24383</v>
      </c>
      <c r="M15" s="146">
        <f t="shared" si="0"/>
        <v>35235.9</v>
      </c>
    </row>
    <row r="16" spans="1:13" s="1" customFormat="1" ht="16.5" x14ac:dyDescent="0.25">
      <c r="A16" s="144"/>
      <c r="B16" s="145" t="s">
        <v>666</v>
      </c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8"/>
    </row>
    <row r="17" spans="1:18" s="1" customFormat="1" ht="81.75" customHeight="1" x14ac:dyDescent="0.25">
      <c r="A17" s="144" t="s">
        <v>667</v>
      </c>
      <c r="B17" s="149" t="s">
        <v>668</v>
      </c>
      <c r="C17" s="150">
        <f>SUM(E17:F17)</f>
        <v>24666.799999999999</v>
      </c>
      <c r="D17" s="151">
        <v>0</v>
      </c>
      <c r="E17" s="148">
        <v>0</v>
      </c>
      <c r="F17" s="151">
        <v>24666.799999999999</v>
      </c>
      <c r="G17" s="150">
        <f>SUM(I17:J17)</f>
        <v>25466.2</v>
      </c>
      <c r="H17" s="151">
        <v>0</v>
      </c>
      <c r="I17" s="148">
        <v>0</v>
      </c>
      <c r="J17" s="151">
        <v>25466.2</v>
      </c>
      <c r="K17" s="146">
        <f>SUM(L17:M17)</f>
        <v>25923.4</v>
      </c>
      <c r="L17" s="152">
        <f>I17-E17</f>
        <v>0</v>
      </c>
      <c r="M17" s="152">
        <v>25923.4</v>
      </c>
    </row>
    <row r="18" spans="1:18" s="1" customFormat="1" ht="73.5" customHeight="1" x14ac:dyDescent="0.25">
      <c r="A18" s="144" t="s">
        <v>669</v>
      </c>
      <c r="B18" s="149" t="s">
        <v>670</v>
      </c>
      <c r="C18" s="150">
        <f>SUM(E18:F18)</f>
        <v>26127.1</v>
      </c>
      <c r="D18" s="151">
        <v>0</v>
      </c>
      <c r="E18" s="151">
        <v>26127.1</v>
      </c>
      <c r="F18" s="151">
        <v>0</v>
      </c>
      <c r="G18" s="150">
        <f>SUM(I18:J18)</f>
        <v>24383</v>
      </c>
      <c r="H18" s="151">
        <v>0</v>
      </c>
      <c r="I18" s="148">
        <v>24383</v>
      </c>
      <c r="J18" s="148">
        <v>0</v>
      </c>
      <c r="K18" s="146">
        <f>SUM(L18:M18)</f>
        <v>24383</v>
      </c>
      <c r="L18" s="148">
        <v>24383</v>
      </c>
      <c r="M18" s="152">
        <f>J18-F18</f>
        <v>0</v>
      </c>
      <c r="P18" s="197"/>
      <c r="Q18" s="197"/>
      <c r="R18" s="197"/>
    </row>
    <row r="19" spans="1:18" s="1" customFormat="1" ht="55.5" customHeight="1" x14ac:dyDescent="0.25">
      <c r="A19" s="144" t="s">
        <v>671</v>
      </c>
      <c r="B19" s="149" t="s">
        <v>651</v>
      </c>
      <c r="C19" s="150">
        <f>SUM(D19:F19)</f>
        <v>49898.901750000005</v>
      </c>
      <c r="D19" s="151">
        <v>47403.956680000003</v>
      </c>
      <c r="E19" s="151">
        <v>2494.9450700000002</v>
      </c>
      <c r="F19" s="151">
        <v>0</v>
      </c>
      <c r="G19" s="150">
        <f>SUM(H19:J19)</f>
        <v>0</v>
      </c>
      <c r="H19" s="151">
        <v>0</v>
      </c>
      <c r="I19" s="151">
        <v>0</v>
      </c>
      <c r="J19" s="151">
        <v>0</v>
      </c>
      <c r="K19" s="146">
        <f>SUM(L19:M19)</f>
        <v>0</v>
      </c>
      <c r="L19" s="152">
        <v>0</v>
      </c>
      <c r="M19" s="152">
        <v>0</v>
      </c>
    </row>
    <row r="20" spans="1:18" s="1" customFormat="1" ht="24" customHeight="1" x14ac:dyDescent="0.25">
      <c r="A20" s="144" t="s">
        <v>672</v>
      </c>
      <c r="B20" s="149" t="s">
        <v>673</v>
      </c>
      <c r="C20" s="150">
        <f>F20</f>
        <v>26953.326560000005</v>
      </c>
      <c r="D20" s="150">
        <v>0</v>
      </c>
      <c r="E20" s="151">
        <v>0</v>
      </c>
      <c r="F20" s="151">
        <f>F28-F17-F18</f>
        <v>26953.326560000005</v>
      </c>
      <c r="G20" s="150">
        <f>SUM(I20:J20)</f>
        <v>19595.689629999997</v>
      </c>
      <c r="H20" s="150">
        <v>0</v>
      </c>
      <c r="I20" s="151">
        <v>0</v>
      </c>
      <c r="J20" s="151">
        <f>J28-J17</f>
        <v>19595.689629999997</v>
      </c>
      <c r="K20" s="146">
        <f>SUM(L20:M20)</f>
        <v>9312.5</v>
      </c>
      <c r="L20" s="152">
        <f>I20-E20</f>
        <v>0</v>
      </c>
      <c r="M20" s="151">
        <f>M28-M17</f>
        <v>9312.5</v>
      </c>
    </row>
    <row r="21" spans="1:18" s="1" customFormat="1" ht="15.75" x14ac:dyDescent="0.25">
      <c r="A21" s="153"/>
      <c r="B21" s="154"/>
      <c r="C21" s="155"/>
      <c r="D21" s="155"/>
      <c r="E21" s="156"/>
      <c r="F21" s="156"/>
      <c r="G21" s="155"/>
      <c r="H21" s="155"/>
      <c r="I21" s="156"/>
      <c r="J21" s="156"/>
      <c r="K21" s="157"/>
      <c r="L21" s="158"/>
      <c r="M21" s="158"/>
    </row>
    <row r="22" spans="1:18" s="1" customFormat="1" ht="15.75" x14ac:dyDescent="0.25">
      <c r="A22" s="469" t="s">
        <v>674</v>
      </c>
      <c r="B22" s="469"/>
      <c r="C22" s="469"/>
      <c r="D22" s="469"/>
      <c r="E22" s="469"/>
      <c r="F22" s="469"/>
      <c r="G22" s="469"/>
      <c r="H22" s="469"/>
      <c r="I22" s="469"/>
      <c r="J22" s="469"/>
      <c r="K22" s="469"/>
      <c r="L22" s="469"/>
      <c r="M22" s="469"/>
    </row>
    <row r="23" spans="1:18" ht="16.5" x14ac:dyDescent="0.25">
      <c r="A23" s="159"/>
      <c r="B23" s="159"/>
      <c r="C23" s="142"/>
      <c r="D23" s="142"/>
      <c r="E23" s="142"/>
      <c r="F23" s="142"/>
      <c r="G23" s="142"/>
      <c r="H23" s="142"/>
      <c r="I23" s="142"/>
      <c r="J23" s="142"/>
    </row>
    <row r="24" spans="1:18" x14ac:dyDescent="0.25">
      <c r="A24" s="470" t="s">
        <v>655</v>
      </c>
      <c r="B24" s="470" t="s">
        <v>675</v>
      </c>
      <c r="C24" s="470" t="s">
        <v>662</v>
      </c>
      <c r="D24" s="470"/>
      <c r="E24" s="470"/>
      <c r="F24" s="470"/>
      <c r="G24" s="470"/>
      <c r="H24" s="470"/>
      <c r="I24" s="470"/>
      <c r="J24" s="470"/>
      <c r="K24" s="470"/>
      <c r="L24" s="470"/>
      <c r="M24" s="470"/>
    </row>
    <row r="25" spans="1:18" x14ac:dyDescent="0.25">
      <c r="A25" s="470"/>
      <c r="B25" s="470"/>
      <c r="C25" s="470"/>
      <c r="D25" s="470"/>
      <c r="E25" s="470"/>
      <c r="F25" s="470"/>
      <c r="G25" s="470"/>
      <c r="H25" s="470"/>
      <c r="I25" s="470"/>
      <c r="J25" s="470"/>
      <c r="K25" s="470"/>
      <c r="L25" s="470"/>
      <c r="M25" s="470"/>
    </row>
    <row r="26" spans="1:18" ht="15.75" x14ac:dyDescent="0.25">
      <c r="A26" s="470"/>
      <c r="B26" s="470"/>
      <c r="C26" s="471" t="s">
        <v>649</v>
      </c>
      <c r="D26" s="473" t="s">
        <v>116</v>
      </c>
      <c r="E26" s="474"/>
      <c r="F26" s="475"/>
      <c r="G26" s="471" t="s">
        <v>577</v>
      </c>
      <c r="H26" s="473" t="s">
        <v>116</v>
      </c>
      <c r="I26" s="474"/>
      <c r="J26" s="475"/>
      <c r="K26" s="471" t="s">
        <v>650</v>
      </c>
      <c r="L26" s="474" t="s">
        <v>116</v>
      </c>
      <c r="M26" s="475"/>
    </row>
    <row r="27" spans="1:18" ht="47.25" x14ac:dyDescent="0.25">
      <c r="A27" s="470"/>
      <c r="B27" s="470"/>
      <c r="C27" s="472"/>
      <c r="D27" s="141" t="s">
        <v>663</v>
      </c>
      <c r="E27" s="143" t="s">
        <v>656</v>
      </c>
      <c r="F27" s="143" t="s">
        <v>657</v>
      </c>
      <c r="G27" s="472"/>
      <c r="H27" s="141" t="s">
        <v>663</v>
      </c>
      <c r="I27" s="143" t="s">
        <v>656</v>
      </c>
      <c r="J27" s="143" t="s">
        <v>657</v>
      </c>
      <c r="K27" s="472"/>
      <c r="L27" s="143" t="s">
        <v>656</v>
      </c>
      <c r="M27" s="143" t="s">
        <v>657</v>
      </c>
    </row>
    <row r="28" spans="1:18" ht="48" customHeight="1" x14ac:dyDescent="0.25">
      <c r="A28" s="230" t="s">
        <v>664</v>
      </c>
      <c r="B28" s="231" t="s">
        <v>676</v>
      </c>
      <c r="C28" s="232">
        <f t="shared" ref="C28:M28" si="1">C29+C102</f>
        <v>127646.12831000001</v>
      </c>
      <c r="D28" s="232">
        <f t="shared" si="1"/>
        <v>47403.956680000003</v>
      </c>
      <c r="E28" s="232">
        <f t="shared" si="1"/>
        <v>28622.04507</v>
      </c>
      <c r="F28" s="232">
        <f t="shared" si="1"/>
        <v>51620.126560000004</v>
      </c>
      <c r="G28" s="232">
        <f t="shared" si="1"/>
        <v>69444.889629999991</v>
      </c>
      <c r="H28" s="232">
        <f t="shared" si="1"/>
        <v>0</v>
      </c>
      <c r="I28" s="232">
        <f t="shared" si="1"/>
        <v>24383</v>
      </c>
      <c r="J28" s="232">
        <f t="shared" si="1"/>
        <v>45061.889629999998</v>
      </c>
      <c r="K28" s="232">
        <f t="shared" si="1"/>
        <v>59618.9</v>
      </c>
      <c r="L28" s="232">
        <f t="shared" si="1"/>
        <v>24383</v>
      </c>
      <c r="M28" s="232">
        <f t="shared" si="1"/>
        <v>35235.9</v>
      </c>
    </row>
    <row r="29" spans="1:18" s="160" customFormat="1" ht="31.5" x14ac:dyDescent="0.25">
      <c r="A29" s="233" t="s">
        <v>667</v>
      </c>
      <c r="B29" s="234" t="s">
        <v>677</v>
      </c>
      <c r="C29" s="235">
        <f t="shared" ref="C29:L29" si="2">C30+C36+C98+C100+C33</f>
        <v>126646.25606000001</v>
      </c>
      <c r="D29" s="235">
        <f t="shared" si="2"/>
        <v>47403.956680000003</v>
      </c>
      <c r="E29" s="235">
        <f t="shared" si="2"/>
        <v>28622.04507</v>
      </c>
      <c r="F29" s="235">
        <f t="shared" si="2"/>
        <v>50620.254310000004</v>
      </c>
      <c r="G29" s="235">
        <f t="shared" si="2"/>
        <v>69144.489629999996</v>
      </c>
      <c r="H29" s="235">
        <f t="shared" si="2"/>
        <v>0</v>
      </c>
      <c r="I29" s="235">
        <f t="shared" si="2"/>
        <v>24383</v>
      </c>
      <c r="J29" s="235">
        <f t="shared" si="2"/>
        <v>44761.489629999996</v>
      </c>
      <c r="K29" s="235">
        <f t="shared" si="2"/>
        <v>59618.9</v>
      </c>
      <c r="L29" s="235">
        <f t="shared" si="2"/>
        <v>24383</v>
      </c>
      <c r="M29" s="235">
        <f>M30+M36+M98+M100</f>
        <v>35235.9</v>
      </c>
    </row>
    <row r="30" spans="1:18" s="161" customFormat="1" ht="47.25" x14ac:dyDescent="0.25">
      <c r="A30" s="237" t="s">
        <v>678</v>
      </c>
      <c r="B30" s="238" t="s">
        <v>886</v>
      </c>
      <c r="C30" s="239">
        <f>C31+C32</f>
        <v>539.5</v>
      </c>
      <c r="D30" s="239">
        <f t="shared" ref="D30:M30" si="3">D31+D32</f>
        <v>0</v>
      </c>
      <c r="E30" s="239">
        <f t="shared" si="3"/>
        <v>0</v>
      </c>
      <c r="F30" s="239">
        <f t="shared" si="3"/>
        <v>539.5</v>
      </c>
      <c r="G30" s="239">
        <f t="shared" si="3"/>
        <v>542.79999999999995</v>
      </c>
      <c r="H30" s="239">
        <f t="shared" si="3"/>
        <v>0</v>
      </c>
      <c r="I30" s="239">
        <f t="shared" si="3"/>
        <v>0</v>
      </c>
      <c r="J30" s="239">
        <f t="shared" si="3"/>
        <v>542.79999999999995</v>
      </c>
      <c r="K30" s="239">
        <f t="shared" si="3"/>
        <v>542.79999999999995</v>
      </c>
      <c r="L30" s="239">
        <f t="shared" si="3"/>
        <v>0</v>
      </c>
      <c r="M30" s="239">
        <f t="shared" si="3"/>
        <v>542.79999999999995</v>
      </c>
    </row>
    <row r="31" spans="1:18" s="165" customFormat="1" ht="47.25" x14ac:dyDescent="0.25">
      <c r="A31" s="162"/>
      <c r="B31" s="163" t="s">
        <v>679</v>
      </c>
      <c r="C31" s="164">
        <f>F31</f>
        <v>-4.5297099404706387E-14</v>
      </c>
      <c r="D31" s="164">
        <v>0</v>
      </c>
      <c r="E31" s="164">
        <v>0</v>
      </c>
      <c r="F31" s="164">
        <f>542.8-539.5-3.3</f>
        <v>-4.5297099404706387E-14</v>
      </c>
      <c r="G31" s="164">
        <f>J31</f>
        <v>542.79999999999995</v>
      </c>
      <c r="H31" s="164">
        <v>0</v>
      </c>
      <c r="I31" s="164">
        <v>0</v>
      </c>
      <c r="J31" s="164">
        <v>542.79999999999995</v>
      </c>
      <c r="K31" s="164">
        <f>M31</f>
        <v>542.79999999999995</v>
      </c>
      <c r="L31" s="164">
        <v>0</v>
      </c>
      <c r="M31" s="164">
        <v>542.79999999999995</v>
      </c>
    </row>
    <row r="32" spans="1:18" s="165" customFormat="1" ht="31.5" x14ac:dyDescent="0.25">
      <c r="A32" s="397"/>
      <c r="B32" s="405" t="s">
        <v>883</v>
      </c>
      <c r="C32" s="164">
        <f>F32</f>
        <v>539.5</v>
      </c>
      <c r="D32" s="398">
        <v>0</v>
      </c>
      <c r="E32" s="398">
        <v>0</v>
      </c>
      <c r="F32" s="398">
        <v>539.5</v>
      </c>
      <c r="G32" s="398">
        <v>0</v>
      </c>
      <c r="H32" s="398">
        <v>0</v>
      </c>
      <c r="I32" s="398">
        <v>0</v>
      </c>
      <c r="J32" s="398">
        <v>0</v>
      </c>
      <c r="K32" s="398">
        <v>0</v>
      </c>
      <c r="L32" s="398">
        <v>0</v>
      </c>
      <c r="M32" s="398">
        <v>0</v>
      </c>
    </row>
    <row r="33" spans="1:13" s="165" customFormat="1" ht="35.25" customHeight="1" x14ac:dyDescent="0.25">
      <c r="A33" s="237" t="s">
        <v>680</v>
      </c>
      <c r="B33" s="238" t="s">
        <v>740</v>
      </c>
      <c r="C33" s="239">
        <f>C34</f>
        <v>200</v>
      </c>
      <c r="D33" s="239">
        <v>0</v>
      </c>
      <c r="E33" s="239">
        <v>0</v>
      </c>
      <c r="F33" s="239">
        <f>F34</f>
        <v>200</v>
      </c>
      <c r="G33" s="239">
        <f>G34+G35</f>
        <v>4800</v>
      </c>
      <c r="H33" s="239">
        <f>H34+H35</f>
        <v>0</v>
      </c>
      <c r="I33" s="239">
        <f>I34+I35</f>
        <v>0</v>
      </c>
      <c r="J33" s="239">
        <f>J34+J35</f>
        <v>4800</v>
      </c>
      <c r="K33" s="239">
        <v>0</v>
      </c>
      <c r="L33" s="239">
        <v>0</v>
      </c>
      <c r="M33" s="239">
        <v>0</v>
      </c>
    </row>
    <row r="34" spans="1:13" s="165" customFormat="1" ht="47.25" x14ac:dyDescent="0.25">
      <c r="A34" s="162"/>
      <c r="B34" s="163" t="s">
        <v>741</v>
      </c>
      <c r="C34" s="164">
        <f>F34</f>
        <v>200</v>
      </c>
      <c r="D34" s="164">
        <v>0</v>
      </c>
      <c r="E34" s="164">
        <v>0</v>
      </c>
      <c r="F34" s="164">
        <f>285-85</f>
        <v>200</v>
      </c>
      <c r="G34" s="164">
        <v>0</v>
      </c>
      <c r="H34" s="164">
        <v>0</v>
      </c>
      <c r="I34" s="164">
        <v>0</v>
      </c>
      <c r="J34" s="164">
        <v>0</v>
      </c>
      <c r="K34" s="164">
        <v>0</v>
      </c>
      <c r="L34" s="164">
        <v>0</v>
      </c>
      <c r="M34" s="164">
        <v>0</v>
      </c>
    </row>
    <row r="35" spans="1:13" s="165" customFormat="1" ht="47.25" x14ac:dyDescent="0.25">
      <c r="A35" s="397"/>
      <c r="B35" s="405" t="s">
        <v>889</v>
      </c>
      <c r="C35" s="164">
        <f>F35</f>
        <v>0</v>
      </c>
      <c r="D35" s="398">
        <v>0</v>
      </c>
      <c r="E35" s="398">
        <v>0</v>
      </c>
      <c r="F35" s="398">
        <v>0</v>
      </c>
      <c r="G35" s="164">
        <f>H35+I35+J35</f>
        <v>4800</v>
      </c>
      <c r="H35" s="398">
        <v>0</v>
      </c>
      <c r="I35" s="398">
        <v>0</v>
      </c>
      <c r="J35" s="398">
        <v>4800</v>
      </c>
      <c r="K35" s="398">
        <v>0</v>
      </c>
      <c r="L35" s="398">
        <v>0</v>
      </c>
      <c r="M35" s="398">
        <v>0</v>
      </c>
    </row>
    <row r="36" spans="1:13" s="161" customFormat="1" ht="31.5" x14ac:dyDescent="0.25">
      <c r="A36" s="237" t="s">
        <v>685</v>
      </c>
      <c r="B36" s="240" t="s">
        <v>681</v>
      </c>
      <c r="C36" s="239">
        <f>C37+C72+C52</f>
        <v>43647.675920000001</v>
      </c>
      <c r="D36" s="239">
        <v>0</v>
      </c>
      <c r="E36" s="239">
        <f>E37+E72+E52</f>
        <v>26127.1</v>
      </c>
      <c r="F36" s="239">
        <f>F37+F72+F52</f>
        <v>17520.575920000003</v>
      </c>
      <c r="G36" s="239">
        <f>G37+G72+G52</f>
        <v>30506.400000000001</v>
      </c>
      <c r="H36" s="239">
        <v>0</v>
      </c>
      <c r="I36" s="239">
        <f>I37+I72+I52</f>
        <v>24383</v>
      </c>
      <c r="J36" s="239">
        <f>J37+J72+J52</f>
        <v>6123.4</v>
      </c>
      <c r="K36" s="239">
        <f>K37+K72+K52</f>
        <v>27092.2</v>
      </c>
      <c r="L36" s="239">
        <f>L37+L72+L52</f>
        <v>24383</v>
      </c>
      <c r="M36" s="239">
        <f>M37+M72+M52</f>
        <v>2709.2</v>
      </c>
    </row>
    <row r="37" spans="1:13" s="206" customFormat="1" ht="31.5" x14ac:dyDescent="0.25">
      <c r="A37" s="203"/>
      <c r="B37" s="204" t="s">
        <v>682</v>
      </c>
      <c r="C37" s="205">
        <f>E37+F37</f>
        <v>29022.64399</v>
      </c>
      <c r="D37" s="205">
        <v>0</v>
      </c>
      <c r="E37" s="205">
        <v>26127.1</v>
      </c>
      <c r="F37" s="205">
        <f>SUM(F39:F51)</f>
        <v>2895.5439900000006</v>
      </c>
      <c r="G37" s="205">
        <f>SUM(I37+J37)</f>
        <v>27092.2</v>
      </c>
      <c r="H37" s="205">
        <v>0</v>
      </c>
      <c r="I37" s="205">
        <v>24383</v>
      </c>
      <c r="J37" s="205">
        <v>2709.2</v>
      </c>
      <c r="K37" s="205">
        <f>SUM(L37+M37)</f>
        <v>27092.2</v>
      </c>
      <c r="L37" s="205">
        <v>24383</v>
      </c>
      <c r="M37" s="205">
        <v>2709.2</v>
      </c>
    </row>
    <row r="38" spans="1:13" s="206" customFormat="1" ht="15.75" x14ac:dyDescent="0.25">
      <c r="A38" s="203"/>
      <c r="B38" s="423" t="s">
        <v>787</v>
      </c>
      <c r="C38" s="201">
        <v>0</v>
      </c>
      <c r="D38" s="201">
        <v>0</v>
      </c>
      <c r="E38" s="424">
        <f>E37-E39-E40-E41-E42-E43-E44-E45-E46-E47-E48-E49-E50-E51</f>
        <v>67.204429999999661</v>
      </c>
      <c r="F38" s="201">
        <v>0</v>
      </c>
      <c r="G38" s="201">
        <f>SUM(I38+J38)</f>
        <v>27092.2</v>
      </c>
      <c r="H38" s="201">
        <v>0</v>
      </c>
      <c r="I38" s="201">
        <v>24383</v>
      </c>
      <c r="J38" s="201">
        <v>2709.2</v>
      </c>
      <c r="K38" s="201">
        <f>SUM(L38+M38)</f>
        <v>27092.2</v>
      </c>
      <c r="L38" s="201">
        <v>24383</v>
      </c>
      <c r="M38" s="201">
        <v>2709.2</v>
      </c>
    </row>
    <row r="39" spans="1:13" s="165" customFormat="1" ht="31.5" x14ac:dyDescent="0.25">
      <c r="A39" s="162"/>
      <c r="B39" s="425" t="s">
        <v>748</v>
      </c>
      <c r="C39" s="201">
        <f>D39+E39+F39</f>
        <v>3710.7764000000002</v>
      </c>
      <c r="D39" s="201">
        <v>0</v>
      </c>
      <c r="E39" s="426">
        <v>3339.6987600000002</v>
      </c>
      <c r="F39" s="426">
        <v>371.07763999999997</v>
      </c>
      <c r="G39" s="164">
        <v>0</v>
      </c>
      <c r="H39" s="164">
        <v>0</v>
      </c>
      <c r="I39" s="164">
        <v>0</v>
      </c>
      <c r="J39" s="164">
        <v>0</v>
      </c>
      <c r="K39" s="164">
        <v>0</v>
      </c>
      <c r="L39" s="164">
        <v>0</v>
      </c>
      <c r="M39" s="164">
        <v>0</v>
      </c>
    </row>
    <row r="40" spans="1:13" s="165" customFormat="1" ht="31.5" x14ac:dyDescent="0.25">
      <c r="A40" s="162"/>
      <c r="B40" s="427" t="s">
        <v>749</v>
      </c>
      <c r="C40" s="201">
        <f t="shared" ref="C40:C51" si="4">D40+E40+F40</f>
        <v>6989.3533900000002</v>
      </c>
      <c r="D40" s="201">
        <v>0</v>
      </c>
      <c r="E40" s="201">
        <v>6290.4180500000002</v>
      </c>
      <c r="F40" s="201">
        <v>698.93534</v>
      </c>
      <c r="G40" s="164">
        <v>0</v>
      </c>
      <c r="H40" s="164">
        <v>0</v>
      </c>
      <c r="I40" s="164">
        <v>0</v>
      </c>
      <c r="J40" s="164">
        <v>0</v>
      </c>
      <c r="K40" s="164">
        <v>0</v>
      </c>
      <c r="L40" s="164">
        <v>0</v>
      </c>
      <c r="M40" s="164">
        <v>0</v>
      </c>
    </row>
    <row r="41" spans="1:13" s="165" customFormat="1" ht="15.75" x14ac:dyDescent="0.25">
      <c r="A41" s="162"/>
      <c r="B41" s="427" t="s">
        <v>750</v>
      </c>
      <c r="C41" s="201">
        <f t="shared" si="4"/>
        <v>4928.31466</v>
      </c>
      <c r="D41" s="201">
        <v>0</v>
      </c>
      <c r="E41" s="201">
        <v>4435.4831899999999</v>
      </c>
      <c r="F41" s="201">
        <v>492.83147000000002</v>
      </c>
      <c r="G41" s="164">
        <v>0</v>
      </c>
      <c r="H41" s="164">
        <v>0</v>
      </c>
      <c r="I41" s="164">
        <v>0</v>
      </c>
      <c r="J41" s="164">
        <v>0</v>
      </c>
      <c r="K41" s="164">
        <v>0</v>
      </c>
      <c r="L41" s="164">
        <v>0</v>
      </c>
      <c r="M41" s="164">
        <v>0</v>
      </c>
    </row>
    <row r="42" spans="1:13" s="165" customFormat="1" ht="34.5" x14ac:dyDescent="0.25">
      <c r="A42" s="162"/>
      <c r="B42" s="428" t="s">
        <v>751</v>
      </c>
      <c r="C42" s="201">
        <f t="shared" si="4"/>
        <v>600</v>
      </c>
      <c r="D42" s="201">
        <v>0</v>
      </c>
      <c r="E42" s="201">
        <v>540</v>
      </c>
      <c r="F42" s="201">
        <v>60</v>
      </c>
      <c r="G42" s="164">
        <v>0</v>
      </c>
      <c r="H42" s="164">
        <v>0</v>
      </c>
      <c r="I42" s="164">
        <v>0</v>
      </c>
      <c r="J42" s="164">
        <v>0</v>
      </c>
      <c r="K42" s="164">
        <v>0</v>
      </c>
      <c r="L42" s="164">
        <v>0</v>
      </c>
      <c r="M42" s="164">
        <v>0</v>
      </c>
    </row>
    <row r="43" spans="1:13" s="165" customFormat="1" ht="15.75" x14ac:dyDescent="0.25">
      <c r="A43" s="162"/>
      <c r="B43" s="427" t="s">
        <v>752</v>
      </c>
      <c r="C43" s="201">
        <f t="shared" si="4"/>
        <v>837.89409999999998</v>
      </c>
      <c r="D43" s="201">
        <v>0</v>
      </c>
      <c r="E43" s="201">
        <v>754.10469000000001</v>
      </c>
      <c r="F43" s="201">
        <v>83.789410000000004</v>
      </c>
      <c r="G43" s="164">
        <v>0</v>
      </c>
      <c r="H43" s="164">
        <v>0</v>
      </c>
      <c r="I43" s="164">
        <v>0</v>
      </c>
      <c r="J43" s="164">
        <v>0</v>
      </c>
      <c r="K43" s="164">
        <v>0</v>
      </c>
      <c r="L43" s="164">
        <v>0</v>
      </c>
      <c r="M43" s="164">
        <v>0</v>
      </c>
    </row>
    <row r="44" spans="1:13" s="165" customFormat="1" ht="15.75" x14ac:dyDescent="0.25">
      <c r="A44" s="162"/>
      <c r="B44" s="427" t="s">
        <v>753</v>
      </c>
      <c r="C44" s="201">
        <f t="shared" si="4"/>
        <v>792.48118999999997</v>
      </c>
      <c r="D44" s="201">
        <v>0</v>
      </c>
      <c r="E44" s="201">
        <v>713.23307</v>
      </c>
      <c r="F44" s="201">
        <v>79.24812</v>
      </c>
      <c r="G44" s="164">
        <v>0</v>
      </c>
      <c r="H44" s="164">
        <v>0</v>
      </c>
      <c r="I44" s="164">
        <v>0</v>
      </c>
      <c r="J44" s="164">
        <v>0</v>
      </c>
      <c r="K44" s="164">
        <v>0</v>
      </c>
      <c r="L44" s="164">
        <v>0</v>
      </c>
      <c r="M44" s="164">
        <v>0</v>
      </c>
    </row>
    <row r="45" spans="1:13" s="165" customFormat="1" ht="31.5" x14ac:dyDescent="0.25">
      <c r="A45" s="162"/>
      <c r="B45" s="427" t="s">
        <v>754</v>
      </c>
      <c r="C45" s="201">
        <f t="shared" si="4"/>
        <v>950.31331</v>
      </c>
      <c r="D45" s="201">
        <v>0</v>
      </c>
      <c r="E45" s="201">
        <v>855.28197</v>
      </c>
      <c r="F45" s="201">
        <v>95.03134</v>
      </c>
      <c r="G45" s="164">
        <v>0</v>
      </c>
      <c r="H45" s="164">
        <v>0</v>
      </c>
      <c r="I45" s="164">
        <v>0</v>
      </c>
      <c r="J45" s="164">
        <v>0</v>
      </c>
      <c r="K45" s="164">
        <v>0</v>
      </c>
      <c r="L45" s="164">
        <v>0</v>
      </c>
      <c r="M45" s="164">
        <v>0</v>
      </c>
    </row>
    <row r="46" spans="1:13" s="165" customFormat="1" ht="15.75" x14ac:dyDescent="0.25">
      <c r="A46" s="162"/>
      <c r="B46" s="427" t="s">
        <v>755</v>
      </c>
      <c r="C46" s="201">
        <f t="shared" si="4"/>
        <v>1749.8029199999999</v>
      </c>
      <c r="D46" s="201">
        <v>0</v>
      </c>
      <c r="E46" s="201">
        <v>1574.8226199999999</v>
      </c>
      <c r="F46" s="201">
        <v>174.9803</v>
      </c>
      <c r="G46" s="164">
        <v>0</v>
      </c>
      <c r="H46" s="164">
        <v>0</v>
      </c>
      <c r="I46" s="164">
        <v>0</v>
      </c>
      <c r="J46" s="164">
        <v>0</v>
      </c>
      <c r="K46" s="164">
        <v>0</v>
      </c>
      <c r="L46" s="164">
        <v>0</v>
      </c>
      <c r="M46" s="164">
        <v>0</v>
      </c>
    </row>
    <row r="47" spans="1:13" s="165" customFormat="1" ht="31.5" x14ac:dyDescent="0.25">
      <c r="A47" s="162"/>
      <c r="B47" s="427" t="s">
        <v>756</v>
      </c>
      <c r="C47" s="201">
        <f t="shared" si="4"/>
        <v>3750</v>
      </c>
      <c r="D47" s="201">
        <v>0</v>
      </c>
      <c r="E47" s="201">
        <v>3375</v>
      </c>
      <c r="F47" s="201">
        <v>375</v>
      </c>
      <c r="G47" s="164">
        <v>0</v>
      </c>
      <c r="H47" s="164">
        <v>0</v>
      </c>
      <c r="I47" s="164">
        <v>0</v>
      </c>
      <c r="J47" s="164">
        <v>0</v>
      </c>
      <c r="K47" s="164">
        <v>0</v>
      </c>
      <c r="L47" s="164">
        <v>0</v>
      </c>
      <c r="M47" s="164">
        <v>0</v>
      </c>
    </row>
    <row r="48" spans="1:13" s="165" customFormat="1" ht="15.75" x14ac:dyDescent="0.25">
      <c r="A48" s="162"/>
      <c r="B48" s="427" t="s">
        <v>757</v>
      </c>
      <c r="C48" s="201">
        <f t="shared" si="4"/>
        <v>1543.22019</v>
      </c>
      <c r="D48" s="201">
        <v>0</v>
      </c>
      <c r="E48" s="201">
        <v>1388.8981699999999</v>
      </c>
      <c r="F48" s="201">
        <v>154.32202000000001</v>
      </c>
      <c r="G48" s="164">
        <v>0</v>
      </c>
      <c r="H48" s="164">
        <v>0</v>
      </c>
      <c r="I48" s="164">
        <v>0</v>
      </c>
      <c r="J48" s="164">
        <v>0</v>
      </c>
      <c r="K48" s="164">
        <v>0</v>
      </c>
      <c r="L48" s="164">
        <v>0</v>
      </c>
      <c r="M48" s="164">
        <v>0</v>
      </c>
    </row>
    <row r="49" spans="1:16" s="165" customFormat="1" ht="31.5" x14ac:dyDescent="0.25">
      <c r="A49" s="162"/>
      <c r="B49" s="427" t="s">
        <v>758</v>
      </c>
      <c r="C49" s="201">
        <f t="shared" si="4"/>
        <v>1146.4693100000002</v>
      </c>
      <c r="D49" s="201">
        <v>0</v>
      </c>
      <c r="E49" s="201">
        <v>1031.8223700000001</v>
      </c>
      <c r="F49" s="201">
        <v>114.64694</v>
      </c>
      <c r="G49" s="164">
        <v>0</v>
      </c>
      <c r="H49" s="164">
        <v>0</v>
      </c>
      <c r="I49" s="164">
        <v>0</v>
      </c>
      <c r="J49" s="164">
        <v>0</v>
      </c>
      <c r="K49" s="164">
        <v>0</v>
      </c>
      <c r="L49" s="164">
        <v>0</v>
      </c>
      <c r="M49" s="164">
        <v>0</v>
      </c>
    </row>
    <row r="50" spans="1:16" s="165" customFormat="1" ht="31.5" x14ac:dyDescent="0.25">
      <c r="A50" s="162"/>
      <c r="B50" s="427" t="s">
        <v>759</v>
      </c>
      <c r="C50" s="201">
        <f t="shared" si="4"/>
        <v>1112.1059</v>
      </c>
      <c r="D50" s="201">
        <v>0</v>
      </c>
      <c r="E50" s="201">
        <v>1000.89531</v>
      </c>
      <c r="F50" s="201">
        <v>111.21059</v>
      </c>
      <c r="G50" s="164">
        <v>0</v>
      </c>
      <c r="H50" s="164">
        <v>0</v>
      </c>
      <c r="I50" s="164">
        <v>0</v>
      </c>
      <c r="J50" s="164">
        <v>0</v>
      </c>
      <c r="K50" s="164">
        <v>0</v>
      </c>
      <c r="L50" s="164">
        <v>0</v>
      </c>
      <c r="M50" s="164">
        <v>0</v>
      </c>
    </row>
    <row r="51" spans="1:16" s="165" customFormat="1" ht="31.5" x14ac:dyDescent="0.25">
      <c r="A51" s="162"/>
      <c r="B51" s="427" t="s">
        <v>760</v>
      </c>
      <c r="C51" s="201">
        <f t="shared" si="4"/>
        <v>844.70819000000006</v>
      </c>
      <c r="D51" s="201">
        <v>0</v>
      </c>
      <c r="E51" s="201">
        <v>760.23737000000006</v>
      </c>
      <c r="F51" s="201">
        <v>84.470820000000003</v>
      </c>
      <c r="G51" s="164">
        <v>0</v>
      </c>
      <c r="H51" s="164">
        <v>0</v>
      </c>
      <c r="I51" s="164">
        <v>0</v>
      </c>
      <c r="J51" s="164">
        <v>0</v>
      </c>
      <c r="K51" s="164">
        <v>0</v>
      </c>
      <c r="L51" s="164">
        <v>0</v>
      </c>
      <c r="M51" s="164">
        <v>0</v>
      </c>
    </row>
    <row r="52" spans="1:16" s="206" customFormat="1" ht="31.5" x14ac:dyDescent="0.25">
      <c r="A52" s="203"/>
      <c r="B52" s="204" t="s">
        <v>683</v>
      </c>
      <c r="C52" s="205">
        <f>E52+F52</f>
        <v>4858.5</v>
      </c>
      <c r="D52" s="205">
        <v>0</v>
      </c>
      <c r="E52" s="205">
        <v>0</v>
      </c>
      <c r="F52" s="205">
        <f>SUM(F53:F67)</f>
        <v>4858.5</v>
      </c>
      <c r="G52" s="205">
        <f>G68+G69+G70+G71</f>
        <v>2214.1999999999998</v>
      </c>
      <c r="H52" s="205">
        <v>0</v>
      </c>
      <c r="I52" s="205">
        <v>0</v>
      </c>
      <c r="J52" s="205">
        <f>J68+J69+J70+J71</f>
        <v>2214.1999999999998</v>
      </c>
      <c r="K52" s="205">
        <v>0</v>
      </c>
      <c r="L52" s="205">
        <v>0</v>
      </c>
      <c r="M52" s="205">
        <v>0</v>
      </c>
      <c r="N52" s="207"/>
      <c r="O52" s="207"/>
      <c r="P52" s="207"/>
    </row>
    <row r="53" spans="1:16" s="165" customFormat="1" ht="31.5" x14ac:dyDescent="0.25">
      <c r="A53" s="162"/>
      <c r="B53" s="202" t="s">
        <v>761</v>
      </c>
      <c r="C53" s="201">
        <f>E53+F53</f>
        <v>387.4</v>
      </c>
      <c r="D53" s="201">
        <v>0</v>
      </c>
      <c r="E53" s="201">
        <v>0</v>
      </c>
      <c r="F53" s="201">
        <v>387.4</v>
      </c>
      <c r="G53" s="164">
        <v>0</v>
      </c>
      <c r="H53" s="164">
        <v>0</v>
      </c>
      <c r="I53" s="164">
        <v>0</v>
      </c>
      <c r="J53" s="164">
        <v>0</v>
      </c>
      <c r="K53" s="164">
        <v>0</v>
      </c>
      <c r="L53" s="164">
        <v>0</v>
      </c>
      <c r="M53" s="164">
        <v>0</v>
      </c>
    </row>
    <row r="54" spans="1:16" s="165" customFormat="1" ht="31.5" x14ac:dyDescent="0.25">
      <c r="A54" s="162"/>
      <c r="B54" s="202" t="s">
        <v>762</v>
      </c>
      <c r="C54" s="201">
        <f t="shared" ref="C54:C67" si="5">E54+F54</f>
        <v>435.6</v>
      </c>
      <c r="D54" s="201">
        <v>0</v>
      </c>
      <c r="E54" s="201">
        <v>0</v>
      </c>
      <c r="F54" s="201">
        <v>435.6</v>
      </c>
      <c r="G54" s="164">
        <v>0</v>
      </c>
      <c r="H54" s="164">
        <v>0</v>
      </c>
      <c r="I54" s="164">
        <v>0</v>
      </c>
      <c r="J54" s="164">
        <v>0</v>
      </c>
      <c r="K54" s="164">
        <v>0</v>
      </c>
      <c r="L54" s="164">
        <v>0</v>
      </c>
      <c r="M54" s="164">
        <v>0</v>
      </c>
    </row>
    <row r="55" spans="1:16" s="165" customFormat="1" ht="31.5" x14ac:dyDescent="0.25">
      <c r="A55" s="162"/>
      <c r="B55" s="202" t="s">
        <v>763</v>
      </c>
      <c r="C55" s="201">
        <f t="shared" si="5"/>
        <v>387.5</v>
      </c>
      <c r="D55" s="201">
        <v>0</v>
      </c>
      <c r="E55" s="201">
        <v>0</v>
      </c>
      <c r="F55" s="201">
        <v>387.5</v>
      </c>
      <c r="G55" s="164">
        <v>0</v>
      </c>
      <c r="H55" s="164">
        <v>0</v>
      </c>
      <c r="I55" s="164">
        <v>0</v>
      </c>
      <c r="J55" s="164">
        <v>0</v>
      </c>
      <c r="K55" s="164">
        <v>0</v>
      </c>
      <c r="L55" s="164">
        <v>0</v>
      </c>
      <c r="M55" s="164">
        <v>0</v>
      </c>
    </row>
    <row r="56" spans="1:16" s="165" customFormat="1" ht="31.5" x14ac:dyDescent="0.25">
      <c r="A56" s="162"/>
      <c r="B56" s="202" t="s">
        <v>764</v>
      </c>
      <c r="C56" s="201">
        <f t="shared" si="5"/>
        <v>599.5</v>
      </c>
      <c r="D56" s="201">
        <v>0</v>
      </c>
      <c r="E56" s="201">
        <v>0</v>
      </c>
      <c r="F56" s="201">
        <v>599.5</v>
      </c>
      <c r="G56" s="164">
        <v>0</v>
      </c>
      <c r="H56" s="164">
        <v>0</v>
      </c>
      <c r="I56" s="164">
        <v>0</v>
      </c>
      <c r="J56" s="164">
        <v>0</v>
      </c>
      <c r="K56" s="164">
        <v>0</v>
      </c>
      <c r="L56" s="164">
        <v>0</v>
      </c>
      <c r="M56" s="164">
        <v>0</v>
      </c>
    </row>
    <row r="57" spans="1:16" s="165" customFormat="1" ht="31.5" x14ac:dyDescent="0.25">
      <c r="A57" s="162"/>
      <c r="B57" s="202" t="s">
        <v>765</v>
      </c>
      <c r="C57" s="201">
        <f t="shared" si="5"/>
        <v>113.4</v>
      </c>
      <c r="D57" s="201">
        <v>0</v>
      </c>
      <c r="E57" s="201">
        <v>0</v>
      </c>
      <c r="F57" s="201">
        <v>113.4</v>
      </c>
      <c r="G57" s="164">
        <v>0</v>
      </c>
      <c r="H57" s="164">
        <v>0</v>
      </c>
      <c r="I57" s="164">
        <v>0</v>
      </c>
      <c r="J57" s="164">
        <v>0</v>
      </c>
      <c r="K57" s="164">
        <v>0</v>
      </c>
      <c r="L57" s="164">
        <v>0</v>
      </c>
      <c r="M57" s="164">
        <v>0</v>
      </c>
    </row>
    <row r="58" spans="1:16" s="165" customFormat="1" ht="31.5" x14ac:dyDescent="0.25">
      <c r="A58" s="162"/>
      <c r="B58" s="202" t="s">
        <v>766</v>
      </c>
      <c r="C58" s="201">
        <f t="shared" si="5"/>
        <v>125.8</v>
      </c>
      <c r="D58" s="201">
        <v>0</v>
      </c>
      <c r="E58" s="201">
        <v>0</v>
      </c>
      <c r="F58" s="201">
        <v>125.8</v>
      </c>
      <c r="G58" s="164">
        <v>0</v>
      </c>
      <c r="H58" s="164">
        <v>0</v>
      </c>
      <c r="I58" s="164">
        <v>0</v>
      </c>
      <c r="J58" s="164">
        <v>0</v>
      </c>
      <c r="K58" s="164">
        <v>0</v>
      </c>
      <c r="L58" s="164">
        <v>0</v>
      </c>
      <c r="M58" s="164">
        <v>0</v>
      </c>
    </row>
    <row r="59" spans="1:16" s="165" customFormat="1" ht="31.5" x14ac:dyDescent="0.25">
      <c r="A59" s="162"/>
      <c r="B59" s="202" t="s">
        <v>767</v>
      </c>
      <c r="C59" s="201">
        <f t="shared" si="5"/>
        <v>115.8</v>
      </c>
      <c r="D59" s="201">
        <v>0</v>
      </c>
      <c r="E59" s="201">
        <v>0</v>
      </c>
      <c r="F59" s="201">
        <v>115.8</v>
      </c>
      <c r="G59" s="164">
        <v>0</v>
      </c>
      <c r="H59" s="164">
        <v>0</v>
      </c>
      <c r="I59" s="164">
        <v>0</v>
      </c>
      <c r="J59" s="164">
        <v>0</v>
      </c>
      <c r="K59" s="164">
        <v>0</v>
      </c>
      <c r="L59" s="164">
        <v>0</v>
      </c>
      <c r="M59" s="164">
        <v>0</v>
      </c>
    </row>
    <row r="60" spans="1:16" s="165" customFormat="1" ht="47.25" x14ac:dyDescent="0.25">
      <c r="A60" s="162"/>
      <c r="B60" s="202" t="s">
        <v>768</v>
      </c>
      <c r="C60" s="201">
        <f t="shared" si="5"/>
        <v>326.7</v>
      </c>
      <c r="D60" s="201">
        <v>0</v>
      </c>
      <c r="E60" s="201">
        <v>0</v>
      </c>
      <c r="F60" s="201">
        <v>326.7</v>
      </c>
      <c r="G60" s="164">
        <v>0</v>
      </c>
      <c r="H60" s="164">
        <v>0</v>
      </c>
      <c r="I60" s="164">
        <v>0</v>
      </c>
      <c r="J60" s="164">
        <v>0</v>
      </c>
      <c r="K60" s="164">
        <v>0</v>
      </c>
      <c r="L60" s="164">
        <v>0</v>
      </c>
      <c r="M60" s="164">
        <v>0</v>
      </c>
    </row>
    <row r="61" spans="1:16" s="165" customFormat="1" ht="15.75" x14ac:dyDescent="0.25">
      <c r="A61" s="162"/>
      <c r="B61" s="202" t="s">
        <v>769</v>
      </c>
      <c r="C61" s="201">
        <f t="shared" si="5"/>
        <v>89.2</v>
      </c>
      <c r="D61" s="201">
        <v>0</v>
      </c>
      <c r="E61" s="201">
        <v>0</v>
      </c>
      <c r="F61" s="201">
        <v>89.2</v>
      </c>
      <c r="G61" s="164">
        <v>0</v>
      </c>
      <c r="H61" s="164">
        <v>0</v>
      </c>
      <c r="I61" s="164">
        <v>0</v>
      </c>
      <c r="J61" s="164">
        <v>0</v>
      </c>
      <c r="K61" s="164">
        <v>0</v>
      </c>
      <c r="L61" s="164">
        <v>0</v>
      </c>
      <c r="M61" s="164">
        <v>0</v>
      </c>
    </row>
    <row r="62" spans="1:16" s="165" customFormat="1" ht="31.5" x14ac:dyDescent="0.25">
      <c r="A62" s="162"/>
      <c r="B62" s="202" t="s">
        <v>770</v>
      </c>
      <c r="C62" s="201">
        <f t="shared" si="5"/>
        <v>158.6</v>
      </c>
      <c r="D62" s="201">
        <v>0</v>
      </c>
      <c r="E62" s="201">
        <v>0</v>
      </c>
      <c r="F62" s="201">
        <v>158.6</v>
      </c>
      <c r="G62" s="164">
        <v>0</v>
      </c>
      <c r="H62" s="164">
        <v>0</v>
      </c>
      <c r="I62" s="164">
        <v>0</v>
      </c>
      <c r="J62" s="164">
        <v>0</v>
      </c>
      <c r="K62" s="164">
        <v>0</v>
      </c>
      <c r="L62" s="164">
        <v>0</v>
      </c>
      <c r="M62" s="164">
        <v>0</v>
      </c>
    </row>
    <row r="63" spans="1:16" s="165" customFormat="1" ht="31.5" x14ac:dyDescent="0.25">
      <c r="A63" s="162"/>
      <c r="B63" s="202" t="s">
        <v>771</v>
      </c>
      <c r="C63" s="201">
        <f t="shared" si="5"/>
        <v>121.4</v>
      </c>
      <c r="D63" s="201">
        <v>0</v>
      </c>
      <c r="E63" s="201">
        <v>0</v>
      </c>
      <c r="F63" s="201">
        <v>121.4</v>
      </c>
      <c r="G63" s="164">
        <v>0</v>
      </c>
      <c r="H63" s="164">
        <v>0</v>
      </c>
      <c r="I63" s="164">
        <v>0</v>
      </c>
      <c r="J63" s="164">
        <v>0</v>
      </c>
      <c r="K63" s="164">
        <v>0</v>
      </c>
      <c r="L63" s="164">
        <v>0</v>
      </c>
      <c r="M63" s="164">
        <v>0</v>
      </c>
    </row>
    <row r="64" spans="1:16" s="165" customFormat="1" ht="31.5" x14ac:dyDescent="0.25">
      <c r="A64" s="162"/>
      <c r="B64" s="202" t="s">
        <v>772</v>
      </c>
      <c r="C64" s="201">
        <f t="shared" si="5"/>
        <v>600</v>
      </c>
      <c r="D64" s="201">
        <v>0</v>
      </c>
      <c r="E64" s="201">
        <v>0</v>
      </c>
      <c r="F64" s="201">
        <v>600</v>
      </c>
      <c r="G64" s="164">
        <v>0</v>
      </c>
      <c r="H64" s="164">
        <v>0</v>
      </c>
      <c r="I64" s="164">
        <v>0</v>
      </c>
      <c r="J64" s="164">
        <v>0</v>
      </c>
      <c r="K64" s="164">
        <v>0</v>
      </c>
      <c r="L64" s="164">
        <v>0</v>
      </c>
      <c r="M64" s="164">
        <v>0</v>
      </c>
    </row>
    <row r="65" spans="1:16" s="165" customFormat="1" ht="31.5" x14ac:dyDescent="0.25">
      <c r="A65" s="162"/>
      <c r="B65" s="202" t="s">
        <v>773</v>
      </c>
      <c r="C65" s="201">
        <f t="shared" si="5"/>
        <v>600</v>
      </c>
      <c r="D65" s="201">
        <v>0</v>
      </c>
      <c r="E65" s="201">
        <v>0</v>
      </c>
      <c r="F65" s="201">
        <v>600</v>
      </c>
      <c r="G65" s="164">
        <v>0</v>
      </c>
      <c r="H65" s="164">
        <v>0</v>
      </c>
      <c r="I65" s="164">
        <v>0</v>
      </c>
      <c r="J65" s="164">
        <v>0</v>
      </c>
      <c r="K65" s="164">
        <v>0</v>
      </c>
      <c r="L65" s="164">
        <v>0</v>
      </c>
      <c r="M65" s="164">
        <v>0</v>
      </c>
    </row>
    <row r="66" spans="1:16" s="165" customFormat="1" ht="47.25" x14ac:dyDescent="0.25">
      <c r="A66" s="162"/>
      <c r="B66" s="202" t="s">
        <v>811</v>
      </c>
      <c r="C66" s="201">
        <f t="shared" si="5"/>
        <v>598.5</v>
      </c>
      <c r="D66" s="201">
        <v>0</v>
      </c>
      <c r="E66" s="201">
        <v>0</v>
      </c>
      <c r="F66" s="201">
        <v>598.5</v>
      </c>
      <c r="G66" s="164">
        <v>0</v>
      </c>
      <c r="H66" s="164">
        <v>0</v>
      </c>
      <c r="I66" s="164">
        <v>0</v>
      </c>
      <c r="J66" s="164">
        <v>0</v>
      </c>
      <c r="K66" s="164">
        <v>0</v>
      </c>
      <c r="L66" s="164">
        <v>0</v>
      </c>
      <c r="M66" s="164">
        <v>0</v>
      </c>
    </row>
    <row r="67" spans="1:16" s="165" customFormat="1" ht="31.5" x14ac:dyDescent="0.25">
      <c r="A67" s="162"/>
      <c r="B67" s="202" t="s">
        <v>812</v>
      </c>
      <c r="C67" s="201">
        <f t="shared" si="5"/>
        <v>199.1</v>
      </c>
      <c r="D67" s="201">
        <v>0</v>
      </c>
      <c r="E67" s="201">
        <v>0</v>
      </c>
      <c r="F67" s="201">
        <v>199.1</v>
      </c>
      <c r="G67" s="164">
        <v>0</v>
      </c>
      <c r="H67" s="164">
        <v>0</v>
      </c>
      <c r="I67" s="164">
        <v>0</v>
      </c>
      <c r="J67" s="164">
        <v>0</v>
      </c>
      <c r="K67" s="164">
        <v>0</v>
      </c>
      <c r="L67" s="164">
        <v>0</v>
      </c>
      <c r="M67" s="164">
        <v>0</v>
      </c>
    </row>
    <row r="68" spans="1:16" s="165" customFormat="1" ht="47.25" x14ac:dyDescent="0.25">
      <c r="A68" s="371"/>
      <c r="B68" s="372" t="s">
        <v>871</v>
      </c>
      <c r="C68" s="373"/>
      <c r="D68" s="373"/>
      <c r="E68" s="373"/>
      <c r="F68" s="373"/>
      <c r="G68" s="374">
        <v>488.3</v>
      </c>
      <c r="H68" s="374"/>
      <c r="I68" s="374"/>
      <c r="J68" s="374">
        <v>488.3</v>
      </c>
      <c r="K68" s="374"/>
      <c r="L68" s="374"/>
      <c r="M68" s="374"/>
    </row>
    <row r="69" spans="1:16" s="165" customFormat="1" ht="31.5" x14ac:dyDescent="0.25">
      <c r="A69" s="383"/>
      <c r="B69" s="372" t="s">
        <v>874</v>
      </c>
      <c r="C69" s="384"/>
      <c r="D69" s="384"/>
      <c r="E69" s="384"/>
      <c r="F69" s="384"/>
      <c r="G69" s="385">
        <v>600</v>
      </c>
      <c r="H69" s="385"/>
      <c r="I69" s="385"/>
      <c r="J69" s="385">
        <v>600</v>
      </c>
      <c r="K69" s="385"/>
      <c r="L69" s="385"/>
      <c r="M69" s="385"/>
    </row>
    <row r="70" spans="1:16" s="165" customFormat="1" ht="31.5" x14ac:dyDescent="0.25">
      <c r="A70" s="383"/>
      <c r="B70" s="372" t="s">
        <v>875</v>
      </c>
      <c r="C70" s="384"/>
      <c r="D70" s="384"/>
      <c r="E70" s="384"/>
      <c r="F70" s="384"/>
      <c r="G70" s="385">
        <v>600</v>
      </c>
      <c r="H70" s="385"/>
      <c r="I70" s="385"/>
      <c r="J70" s="385">
        <v>600</v>
      </c>
      <c r="K70" s="385"/>
      <c r="L70" s="385"/>
      <c r="M70" s="385"/>
    </row>
    <row r="71" spans="1:16" s="165" customFormat="1" ht="31.5" x14ac:dyDescent="0.25">
      <c r="A71" s="383"/>
      <c r="B71" s="372" t="s">
        <v>894</v>
      </c>
      <c r="C71" s="384"/>
      <c r="D71" s="384"/>
      <c r="E71" s="384"/>
      <c r="F71" s="384"/>
      <c r="G71" s="385">
        <f>J71</f>
        <v>525.9</v>
      </c>
      <c r="H71" s="385"/>
      <c r="I71" s="385"/>
      <c r="J71" s="385">
        <v>525.9</v>
      </c>
      <c r="K71" s="385"/>
      <c r="L71" s="385"/>
      <c r="M71" s="385"/>
    </row>
    <row r="72" spans="1:16" s="206" customFormat="1" ht="31.5" x14ac:dyDescent="0.25">
      <c r="A72" s="203"/>
      <c r="B72" s="204" t="s">
        <v>684</v>
      </c>
      <c r="C72" s="205">
        <f>F72</f>
        <v>9766.531930000001</v>
      </c>
      <c r="D72" s="205">
        <v>0</v>
      </c>
      <c r="E72" s="205">
        <v>0</v>
      </c>
      <c r="F72" s="205">
        <f>SUM(F73:F97)</f>
        <v>9766.531930000001</v>
      </c>
      <c r="G72" s="205">
        <f>J72</f>
        <v>1200</v>
      </c>
      <c r="H72" s="205">
        <v>0</v>
      </c>
      <c r="I72" s="205">
        <v>0</v>
      </c>
      <c r="J72" s="205">
        <f>J95+J96</f>
        <v>1200</v>
      </c>
      <c r="K72" s="205">
        <v>0</v>
      </c>
      <c r="L72" s="205">
        <v>0</v>
      </c>
      <c r="M72" s="205">
        <v>0</v>
      </c>
      <c r="N72" s="207"/>
      <c r="O72" s="207"/>
      <c r="P72" s="207"/>
    </row>
    <row r="73" spans="1:16" s="165" customFormat="1" ht="31.5" x14ac:dyDescent="0.25">
      <c r="A73" s="162"/>
      <c r="B73" s="202" t="s">
        <v>774</v>
      </c>
      <c r="C73" s="201">
        <f>F73</f>
        <v>1590.0740000000001</v>
      </c>
      <c r="D73" s="201">
        <v>0</v>
      </c>
      <c r="E73" s="201">
        <v>0</v>
      </c>
      <c r="F73" s="201">
        <v>1590.0740000000001</v>
      </c>
      <c r="G73" s="164">
        <v>0</v>
      </c>
      <c r="H73" s="164">
        <v>0</v>
      </c>
      <c r="I73" s="164">
        <v>0</v>
      </c>
      <c r="J73" s="164">
        <v>0</v>
      </c>
      <c r="K73" s="164">
        <v>0</v>
      </c>
      <c r="L73" s="164">
        <v>0</v>
      </c>
      <c r="M73" s="164">
        <v>0</v>
      </c>
    </row>
    <row r="74" spans="1:16" s="165" customFormat="1" ht="31.5" x14ac:dyDescent="0.25">
      <c r="A74" s="162"/>
      <c r="B74" s="202" t="s">
        <v>775</v>
      </c>
      <c r="C74" s="201">
        <f t="shared" ref="C74:C94" si="6">F74</f>
        <v>577.70000000000005</v>
      </c>
      <c r="D74" s="201">
        <v>0</v>
      </c>
      <c r="E74" s="201">
        <v>0</v>
      </c>
      <c r="F74" s="201">
        <v>577.70000000000005</v>
      </c>
      <c r="G74" s="164">
        <v>0</v>
      </c>
      <c r="H74" s="164">
        <v>0</v>
      </c>
      <c r="I74" s="164">
        <v>0</v>
      </c>
      <c r="J74" s="164">
        <v>0</v>
      </c>
      <c r="K74" s="164">
        <v>0</v>
      </c>
      <c r="L74" s="164">
        <v>0</v>
      </c>
      <c r="M74" s="164">
        <v>0</v>
      </c>
    </row>
    <row r="75" spans="1:16" s="165" customFormat="1" ht="31.5" x14ac:dyDescent="0.25">
      <c r="A75" s="162"/>
      <c r="B75" s="202" t="s">
        <v>776</v>
      </c>
      <c r="C75" s="201">
        <f t="shared" si="6"/>
        <v>204.4</v>
      </c>
      <c r="D75" s="201">
        <v>0</v>
      </c>
      <c r="E75" s="201">
        <v>0</v>
      </c>
      <c r="F75" s="201">
        <v>204.4</v>
      </c>
      <c r="G75" s="164">
        <v>0</v>
      </c>
      <c r="H75" s="164">
        <v>0</v>
      </c>
      <c r="I75" s="164">
        <v>0</v>
      </c>
      <c r="J75" s="164">
        <v>0</v>
      </c>
      <c r="K75" s="164">
        <v>0</v>
      </c>
      <c r="L75" s="164">
        <v>0</v>
      </c>
      <c r="M75" s="164">
        <v>0</v>
      </c>
    </row>
    <row r="76" spans="1:16" s="165" customFormat="1" ht="31.5" x14ac:dyDescent="0.25">
      <c r="A76" s="162"/>
      <c r="B76" s="202" t="s">
        <v>777</v>
      </c>
      <c r="C76" s="201">
        <f t="shared" si="6"/>
        <v>142.69999999999999</v>
      </c>
      <c r="D76" s="201">
        <v>0</v>
      </c>
      <c r="E76" s="201">
        <v>0</v>
      </c>
      <c r="F76" s="201">
        <v>142.69999999999999</v>
      </c>
      <c r="G76" s="164">
        <v>0</v>
      </c>
      <c r="H76" s="164">
        <v>0</v>
      </c>
      <c r="I76" s="164">
        <v>0</v>
      </c>
      <c r="J76" s="164">
        <v>0</v>
      </c>
      <c r="K76" s="164">
        <v>0</v>
      </c>
      <c r="L76" s="164">
        <v>0</v>
      </c>
      <c r="M76" s="164">
        <v>0</v>
      </c>
    </row>
    <row r="77" spans="1:16" s="165" customFormat="1" ht="47.25" x14ac:dyDescent="0.25">
      <c r="A77" s="162"/>
      <c r="B77" s="202" t="s">
        <v>778</v>
      </c>
      <c r="C77" s="201">
        <f t="shared" si="6"/>
        <v>424.3</v>
      </c>
      <c r="D77" s="201">
        <v>0</v>
      </c>
      <c r="E77" s="201">
        <v>0</v>
      </c>
      <c r="F77" s="201">
        <v>424.3</v>
      </c>
      <c r="G77" s="164">
        <v>0</v>
      </c>
      <c r="H77" s="164">
        <v>0</v>
      </c>
      <c r="I77" s="164">
        <v>0</v>
      </c>
      <c r="J77" s="164">
        <v>0</v>
      </c>
      <c r="K77" s="164">
        <v>0</v>
      </c>
      <c r="L77" s="164">
        <v>0</v>
      </c>
      <c r="M77" s="164">
        <v>0</v>
      </c>
    </row>
    <row r="78" spans="1:16" s="165" customFormat="1" ht="15.75" x14ac:dyDescent="0.25">
      <c r="A78" s="162"/>
      <c r="B78" s="202" t="s">
        <v>779</v>
      </c>
      <c r="C78" s="201">
        <f t="shared" si="6"/>
        <v>374.6</v>
      </c>
      <c r="D78" s="201">
        <v>0</v>
      </c>
      <c r="E78" s="201">
        <v>0</v>
      </c>
      <c r="F78" s="201">
        <v>374.6</v>
      </c>
      <c r="G78" s="164">
        <v>0</v>
      </c>
      <c r="H78" s="164">
        <v>0</v>
      </c>
      <c r="I78" s="164">
        <v>0</v>
      </c>
      <c r="J78" s="164">
        <v>0</v>
      </c>
      <c r="K78" s="164">
        <v>0</v>
      </c>
      <c r="L78" s="164">
        <v>0</v>
      </c>
      <c r="M78" s="164">
        <v>0</v>
      </c>
    </row>
    <row r="79" spans="1:16" s="165" customFormat="1" ht="31.5" x14ac:dyDescent="0.25">
      <c r="A79" s="162"/>
      <c r="B79" s="202" t="s">
        <v>780</v>
      </c>
      <c r="C79" s="201">
        <f t="shared" si="6"/>
        <v>600</v>
      </c>
      <c r="D79" s="201">
        <v>0</v>
      </c>
      <c r="E79" s="201">
        <v>0</v>
      </c>
      <c r="F79" s="201">
        <v>600</v>
      </c>
      <c r="G79" s="164">
        <v>0</v>
      </c>
      <c r="H79" s="164">
        <v>0</v>
      </c>
      <c r="I79" s="164">
        <v>0</v>
      </c>
      <c r="J79" s="164">
        <v>0</v>
      </c>
      <c r="K79" s="164">
        <v>0</v>
      </c>
      <c r="L79" s="164">
        <v>0</v>
      </c>
      <c r="M79" s="164">
        <v>0</v>
      </c>
    </row>
    <row r="80" spans="1:16" s="165" customFormat="1" ht="31.5" x14ac:dyDescent="0.25">
      <c r="A80" s="162"/>
      <c r="B80" s="202" t="s">
        <v>781</v>
      </c>
      <c r="C80" s="201">
        <f t="shared" si="6"/>
        <v>600</v>
      </c>
      <c r="D80" s="201">
        <v>0</v>
      </c>
      <c r="E80" s="201">
        <v>0</v>
      </c>
      <c r="F80" s="201">
        <v>600</v>
      </c>
      <c r="G80" s="164">
        <v>0</v>
      </c>
      <c r="H80" s="164">
        <v>0</v>
      </c>
      <c r="I80" s="164">
        <v>0</v>
      </c>
      <c r="J80" s="164">
        <v>0</v>
      </c>
      <c r="K80" s="164">
        <v>0</v>
      </c>
      <c r="L80" s="164">
        <v>0</v>
      </c>
      <c r="M80" s="164">
        <v>0</v>
      </c>
    </row>
    <row r="81" spans="1:13" s="165" customFormat="1" ht="15.75" x14ac:dyDescent="0.25">
      <c r="A81" s="162"/>
      <c r="B81" s="202" t="s">
        <v>782</v>
      </c>
      <c r="C81" s="201">
        <f t="shared" si="6"/>
        <v>597</v>
      </c>
      <c r="D81" s="201">
        <v>0</v>
      </c>
      <c r="E81" s="201">
        <v>0</v>
      </c>
      <c r="F81" s="201">
        <v>597</v>
      </c>
      <c r="G81" s="164">
        <v>0</v>
      </c>
      <c r="H81" s="164">
        <v>0</v>
      </c>
      <c r="I81" s="164">
        <v>0</v>
      </c>
      <c r="J81" s="164">
        <v>0</v>
      </c>
      <c r="K81" s="164">
        <v>0</v>
      </c>
      <c r="L81" s="164">
        <v>0</v>
      </c>
      <c r="M81" s="164">
        <v>0</v>
      </c>
    </row>
    <row r="82" spans="1:13" s="165" customFormat="1" ht="31.5" x14ac:dyDescent="0.25">
      <c r="A82" s="162"/>
      <c r="B82" s="202" t="s">
        <v>783</v>
      </c>
      <c r="C82" s="201">
        <f t="shared" si="6"/>
        <v>167.03942000000001</v>
      </c>
      <c r="D82" s="201">
        <v>0</v>
      </c>
      <c r="E82" s="201">
        <v>0</v>
      </c>
      <c r="F82" s="201">
        <v>167.03942000000001</v>
      </c>
      <c r="G82" s="164">
        <v>0</v>
      </c>
      <c r="H82" s="164">
        <v>0</v>
      </c>
      <c r="I82" s="164">
        <v>0</v>
      </c>
      <c r="J82" s="164">
        <v>0</v>
      </c>
      <c r="K82" s="164">
        <v>0</v>
      </c>
      <c r="L82" s="164">
        <v>0</v>
      </c>
      <c r="M82" s="164">
        <v>0</v>
      </c>
    </row>
    <row r="83" spans="1:13" s="165" customFormat="1" ht="31.5" x14ac:dyDescent="0.25">
      <c r="A83" s="162"/>
      <c r="B83" s="202" t="s">
        <v>784</v>
      </c>
      <c r="C83" s="201">
        <f t="shared" si="6"/>
        <v>597</v>
      </c>
      <c r="D83" s="201">
        <v>0</v>
      </c>
      <c r="E83" s="201">
        <v>0</v>
      </c>
      <c r="F83" s="201">
        <v>597</v>
      </c>
      <c r="G83" s="164">
        <v>0</v>
      </c>
      <c r="H83" s="164">
        <v>0</v>
      </c>
      <c r="I83" s="164">
        <v>0</v>
      </c>
      <c r="J83" s="164">
        <v>0</v>
      </c>
      <c r="K83" s="164">
        <v>0</v>
      </c>
      <c r="L83" s="164">
        <v>0</v>
      </c>
      <c r="M83" s="164">
        <v>0</v>
      </c>
    </row>
    <row r="84" spans="1:13" s="165" customFormat="1" ht="31.5" x14ac:dyDescent="0.25">
      <c r="A84" s="162"/>
      <c r="B84" s="202" t="s">
        <v>785</v>
      </c>
      <c r="C84" s="201">
        <f t="shared" si="6"/>
        <v>1441.5</v>
      </c>
      <c r="D84" s="201">
        <v>0</v>
      </c>
      <c r="E84" s="201">
        <v>0</v>
      </c>
      <c r="F84" s="201">
        <v>1441.5</v>
      </c>
      <c r="G84" s="164">
        <v>0</v>
      </c>
      <c r="H84" s="164">
        <v>0</v>
      </c>
      <c r="I84" s="164">
        <v>0</v>
      </c>
      <c r="J84" s="164">
        <v>0</v>
      </c>
      <c r="K84" s="164">
        <v>0</v>
      </c>
      <c r="L84" s="164">
        <v>0</v>
      </c>
      <c r="M84" s="164">
        <v>0</v>
      </c>
    </row>
    <row r="85" spans="1:13" s="165" customFormat="1" ht="31.5" x14ac:dyDescent="0.25">
      <c r="A85" s="162"/>
      <c r="B85" s="202" t="s">
        <v>786</v>
      </c>
      <c r="C85" s="201">
        <f t="shared" si="6"/>
        <v>102.7</v>
      </c>
      <c r="D85" s="201">
        <v>0</v>
      </c>
      <c r="E85" s="201">
        <v>0</v>
      </c>
      <c r="F85" s="201">
        <v>102.7</v>
      </c>
      <c r="G85" s="164">
        <v>0</v>
      </c>
      <c r="H85" s="164">
        <v>0</v>
      </c>
      <c r="I85" s="164">
        <v>0</v>
      </c>
      <c r="J85" s="164">
        <v>0</v>
      </c>
      <c r="K85" s="164">
        <v>0</v>
      </c>
      <c r="L85" s="164">
        <v>0</v>
      </c>
      <c r="M85" s="164">
        <v>0</v>
      </c>
    </row>
    <row r="86" spans="1:13" s="165" customFormat="1" ht="31.5" x14ac:dyDescent="0.25">
      <c r="A86" s="162"/>
      <c r="B86" s="202" t="s">
        <v>807</v>
      </c>
      <c r="C86" s="201">
        <f t="shared" si="6"/>
        <v>200</v>
      </c>
      <c r="D86" s="201">
        <v>0</v>
      </c>
      <c r="E86" s="201">
        <v>0</v>
      </c>
      <c r="F86" s="201">
        <v>200</v>
      </c>
      <c r="G86" s="164">
        <v>0</v>
      </c>
      <c r="H86" s="164">
        <v>0</v>
      </c>
      <c r="I86" s="164">
        <v>0</v>
      </c>
      <c r="J86" s="164">
        <v>0</v>
      </c>
      <c r="K86" s="164">
        <v>0</v>
      </c>
      <c r="L86" s="164">
        <v>0</v>
      </c>
      <c r="M86" s="164">
        <v>0</v>
      </c>
    </row>
    <row r="87" spans="1:13" s="165" customFormat="1" ht="15.75" x14ac:dyDescent="0.25">
      <c r="A87" s="162"/>
      <c r="B87" s="202" t="s">
        <v>887</v>
      </c>
      <c r="C87" s="201">
        <f t="shared" si="6"/>
        <v>226.47212999999996</v>
      </c>
      <c r="D87" s="201">
        <v>0</v>
      </c>
      <c r="E87" s="201">
        <v>0</v>
      </c>
      <c r="F87" s="201">
        <f>226.47213+58.20507-58.20507</f>
        <v>226.47212999999996</v>
      </c>
      <c r="G87" s="164">
        <v>0</v>
      </c>
      <c r="H87" s="164">
        <v>0</v>
      </c>
      <c r="I87" s="164">
        <v>0</v>
      </c>
      <c r="J87" s="164">
        <v>0</v>
      </c>
      <c r="K87" s="164">
        <v>0</v>
      </c>
      <c r="L87" s="164">
        <v>0</v>
      </c>
      <c r="M87" s="164">
        <v>0</v>
      </c>
    </row>
    <row r="88" spans="1:13" s="165" customFormat="1" ht="31.5" x14ac:dyDescent="0.25">
      <c r="A88" s="421"/>
      <c r="B88" s="435" t="s">
        <v>924</v>
      </c>
      <c r="C88" s="446">
        <f t="shared" si="6"/>
        <v>599.99224000000004</v>
      </c>
      <c r="D88" s="201">
        <v>0</v>
      </c>
      <c r="E88" s="201">
        <v>0</v>
      </c>
      <c r="F88" s="446">
        <v>599.99224000000004</v>
      </c>
      <c r="G88" s="436"/>
      <c r="H88" s="436"/>
      <c r="I88" s="436"/>
      <c r="J88" s="436"/>
      <c r="K88" s="436"/>
      <c r="L88" s="436"/>
      <c r="M88" s="436"/>
    </row>
    <row r="89" spans="1:13" s="165" customFormat="1" ht="31.5" x14ac:dyDescent="0.25">
      <c r="A89" s="421"/>
      <c r="B89" s="202" t="s">
        <v>925</v>
      </c>
      <c r="C89" s="446">
        <f t="shared" si="6"/>
        <v>315.32279999999997</v>
      </c>
      <c r="D89" s="201">
        <v>0</v>
      </c>
      <c r="E89" s="201">
        <v>0</v>
      </c>
      <c r="F89" s="446">
        <v>315.32279999999997</v>
      </c>
      <c r="G89" s="436"/>
      <c r="H89" s="436"/>
      <c r="I89" s="436"/>
      <c r="J89" s="436"/>
      <c r="K89" s="436"/>
      <c r="L89" s="436"/>
      <c r="M89" s="436"/>
    </row>
    <row r="90" spans="1:13" s="165" customFormat="1" ht="31.5" x14ac:dyDescent="0.25">
      <c r="A90" s="421"/>
      <c r="B90" s="435" t="s">
        <v>926</v>
      </c>
      <c r="C90" s="446">
        <f t="shared" si="6"/>
        <v>359.04671999999999</v>
      </c>
      <c r="D90" s="201">
        <v>0</v>
      </c>
      <c r="E90" s="201">
        <v>0</v>
      </c>
      <c r="F90" s="446">
        <v>359.04671999999999</v>
      </c>
      <c r="G90" s="436"/>
      <c r="H90" s="436"/>
      <c r="I90" s="436"/>
      <c r="J90" s="436"/>
      <c r="K90" s="436"/>
      <c r="L90" s="436"/>
      <c r="M90" s="436"/>
    </row>
    <row r="91" spans="1:13" s="165" customFormat="1" ht="31.5" x14ac:dyDescent="0.25">
      <c r="A91" s="421"/>
      <c r="B91" s="429" t="s">
        <v>921</v>
      </c>
      <c r="C91" s="430">
        <f t="shared" si="6"/>
        <v>102.03700000000001</v>
      </c>
      <c r="D91" s="422">
        <v>0</v>
      </c>
      <c r="E91" s="422">
        <v>0</v>
      </c>
      <c r="F91" s="430">
        <v>102.03700000000001</v>
      </c>
      <c r="G91" s="431"/>
      <c r="H91" s="431"/>
      <c r="I91" s="431"/>
      <c r="J91" s="431"/>
      <c r="K91" s="431"/>
      <c r="L91" s="431"/>
      <c r="M91" s="431"/>
    </row>
    <row r="92" spans="1:13" s="165" customFormat="1" ht="31.5" x14ac:dyDescent="0.25">
      <c r="A92" s="162"/>
      <c r="B92" s="202" t="s">
        <v>808</v>
      </c>
      <c r="C92" s="201">
        <f t="shared" si="6"/>
        <v>70.147620000000003</v>
      </c>
      <c r="D92" s="201">
        <v>0</v>
      </c>
      <c r="E92" s="201">
        <v>0</v>
      </c>
      <c r="F92" s="201">
        <v>70.147620000000003</v>
      </c>
      <c r="G92" s="164">
        <v>0</v>
      </c>
      <c r="H92" s="164">
        <v>0</v>
      </c>
      <c r="I92" s="164">
        <v>0</v>
      </c>
      <c r="J92" s="164">
        <v>0</v>
      </c>
      <c r="K92" s="164">
        <v>0</v>
      </c>
      <c r="L92" s="164">
        <v>0</v>
      </c>
      <c r="M92" s="164">
        <v>0</v>
      </c>
    </row>
    <row r="93" spans="1:13" s="165" customFormat="1" ht="31.5" x14ac:dyDescent="0.25">
      <c r="A93" s="162"/>
      <c r="B93" s="202" t="s">
        <v>809</v>
      </c>
      <c r="C93" s="201">
        <f t="shared" si="6"/>
        <v>300.3</v>
      </c>
      <c r="D93" s="201">
        <v>0</v>
      </c>
      <c r="E93" s="201">
        <v>0</v>
      </c>
      <c r="F93" s="201">
        <v>300.3</v>
      </c>
      <c r="G93" s="164">
        <v>0</v>
      </c>
      <c r="H93" s="164">
        <v>0</v>
      </c>
      <c r="I93" s="164">
        <v>0</v>
      </c>
      <c r="J93" s="164">
        <v>0</v>
      </c>
      <c r="K93" s="164">
        <v>0</v>
      </c>
      <c r="L93" s="164">
        <v>0</v>
      </c>
      <c r="M93" s="164">
        <v>0</v>
      </c>
    </row>
    <row r="94" spans="1:13" s="165" customFormat="1" ht="31.5" x14ac:dyDescent="0.25">
      <c r="A94" s="162"/>
      <c r="B94" s="202" t="s">
        <v>810</v>
      </c>
      <c r="C94" s="201">
        <f t="shared" si="6"/>
        <v>89.2</v>
      </c>
      <c r="D94" s="201">
        <v>0</v>
      </c>
      <c r="E94" s="201">
        <v>0</v>
      </c>
      <c r="F94" s="201">
        <v>89.2</v>
      </c>
      <c r="G94" s="164">
        <v>0</v>
      </c>
      <c r="H94" s="164">
        <v>0</v>
      </c>
      <c r="I94" s="164">
        <v>0</v>
      </c>
      <c r="J94" s="164">
        <v>0</v>
      </c>
      <c r="K94" s="164">
        <v>0</v>
      </c>
      <c r="L94" s="164">
        <v>0</v>
      </c>
      <c r="M94" s="164">
        <v>0</v>
      </c>
    </row>
    <row r="95" spans="1:13" s="165" customFormat="1" ht="15.75" x14ac:dyDescent="0.25">
      <c r="A95" s="162"/>
      <c r="B95" s="202" t="s">
        <v>892</v>
      </c>
      <c r="C95" s="201">
        <f>F95</f>
        <v>0</v>
      </c>
      <c r="D95" s="201">
        <v>0</v>
      </c>
      <c r="E95" s="201">
        <v>0</v>
      </c>
      <c r="F95" s="201">
        <v>0</v>
      </c>
      <c r="G95" s="164">
        <f>H95+I95+J95</f>
        <v>600</v>
      </c>
      <c r="H95" s="164">
        <v>0</v>
      </c>
      <c r="I95" s="164">
        <v>0</v>
      </c>
      <c r="J95" s="164">
        <v>600</v>
      </c>
      <c r="K95" s="164">
        <v>0</v>
      </c>
      <c r="L95" s="164">
        <v>0</v>
      </c>
      <c r="M95" s="164">
        <v>0</v>
      </c>
    </row>
    <row r="96" spans="1:13" s="165" customFormat="1" ht="15.75" x14ac:dyDescent="0.25">
      <c r="A96" s="162"/>
      <c r="B96" s="202" t="s">
        <v>893</v>
      </c>
      <c r="C96" s="201">
        <f>F96</f>
        <v>0</v>
      </c>
      <c r="D96" s="201">
        <v>0</v>
      </c>
      <c r="E96" s="201">
        <v>0</v>
      </c>
      <c r="F96" s="201">
        <v>0</v>
      </c>
      <c r="G96" s="164">
        <f>H96+I96+J96</f>
        <v>600</v>
      </c>
      <c r="H96" s="164">
        <v>0</v>
      </c>
      <c r="I96" s="164">
        <v>0</v>
      </c>
      <c r="J96" s="164">
        <v>600</v>
      </c>
      <c r="K96" s="164">
        <v>0</v>
      </c>
      <c r="L96" s="164">
        <v>0</v>
      </c>
      <c r="M96" s="164">
        <v>0</v>
      </c>
    </row>
    <row r="97" spans="1:16" s="165" customFormat="1" ht="31.5" x14ac:dyDescent="0.25">
      <c r="A97" s="421"/>
      <c r="B97" s="432" t="s">
        <v>922</v>
      </c>
      <c r="C97" s="430">
        <f>F97</f>
        <v>85</v>
      </c>
      <c r="D97" s="430"/>
      <c r="E97" s="430"/>
      <c r="F97" s="430">
        <v>85</v>
      </c>
      <c r="G97" s="431"/>
      <c r="H97" s="431"/>
      <c r="I97" s="431"/>
      <c r="J97" s="431"/>
      <c r="K97" s="431"/>
      <c r="L97" s="431"/>
      <c r="M97" s="431"/>
    </row>
    <row r="98" spans="1:16" s="161" customFormat="1" ht="15.75" x14ac:dyDescent="0.25">
      <c r="A98" s="237" t="s">
        <v>688</v>
      </c>
      <c r="B98" s="240" t="s">
        <v>686</v>
      </c>
      <c r="C98" s="239">
        <f>E98+F98</f>
        <v>31983.9</v>
      </c>
      <c r="D98" s="239">
        <v>0</v>
      </c>
      <c r="E98" s="239">
        <v>0</v>
      </c>
      <c r="F98" s="239">
        <f>F99</f>
        <v>31983.9</v>
      </c>
      <c r="G98" s="239">
        <f>I98+J98</f>
        <v>31983.9</v>
      </c>
      <c r="H98" s="239">
        <v>0</v>
      </c>
      <c r="I98" s="239">
        <v>0</v>
      </c>
      <c r="J98" s="239">
        <f>J99</f>
        <v>31983.9</v>
      </c>
      <c r="K98" s="239">
        <f>L98+M98</f>
        <v>31983.9</v>
      </c>
      <c r="L98" s="241">
        <v>0</v>
      </c>
      <c r="M98" s="239">
        <f>M99</f>
        <v>31983.9</v>
      </c>
      <c r="N98" s="199"/>
      <c r="O98" s="199"/>
      <c r="P98" s="199"/>
    </row>
    <row r="99" spans="1:16" s="165" customFormat="1" ht="48.75" customHeight="1" x14ac:dyDescent="0.25">
      <c r="A99" s="162"/>
      <c r="B99" s="166" t="s">
        <v>687</v>
      </c>
      <c r="C99" s="164">
        <f>E99+F99</f>
        <v>31983.9</v>
      </c>
      <c r="D99" s="164">
        <v>0</v>
      </c>
      <c r="E99" s="164">
        <v>0</v>
      </c>
      <c r="F99" s="164">
        <v>31983.9</v>
      </c>
      <c r="G99" s="164">
        <f>I99+J99</f>
        <v>31983.9</v>
      </c>
      <c r="H99" s="164">
        <v>0</v>
      </c>
      <c r="I99" s="164">
        <v>0</v>
      </c>
      <c r="J99" s="164">
        <v>31983.9</v>
      </c>
      <c r="K99" s="164">
        <f>L99+M99</f>
        <v>31983.9</v>
      </c>
      <c r="L99" s="167">
        <v>0</v>
      </c>
      <c r="M99" s="164">
        <v>31983.9</v>
      </c>
      <c r="N99" s="198"/>
      <c r="O99" s="198"/>
      <c r="P99" s="198"/>
    </row>
    <row r="100" spans="1:16" s="161" customFormat="1" ht="31.5" x14ac:dyDescent="0.25">
      <c r="A100" s="237" t="s">
        <v>747</v>
      </c>
      <c r="B100" s="240" t="s">
        <v>419</v>
      </c>
      <c r="C100" s="239">
        <f>E100+F100+D100</f>
        <v>50275.180140000004</v>
      </c>
      <c r="D100" s="239">
        <f>D101</f>
        <v>47403.956680000003</v>
      </c>
      <c r="E100" s="239">
        <f>E101</f>
        <v>2494.9450700000002</v>
      </c>
      <c r="F100" s="239">
        <f>F101</f>
        <v>376.27839</v>
      </c>
      <c r="G100" s="239">
        <f>I100+J100+H100</f>
        <v>1311.3896299999999</v>
      </c>
      <c r="H100" s="239">
        <f>H101</f>
        <v>0</v>
      </c>
      <c r="I100" s="239">
        <f>I101</f>
        <v>0</v>
      </c>
      <c r="J100" s="239">
        <f>J101</f>
        <v>1311.3896299999999</v>
      </c>
      <c r="K100" s="239">
        <f>L100+M100</f>
        <v>0</v>
      </c>
      <c r="L100" s="241">
        <v>0</v>
      </c>
      <c r="M100" s="239">
        <f>M101</f>
        <v>0</v>
      </c>
      <c r="N100" s="199"/>
      <c r="O100" s="199"/>
      <c r="P100" s="199"/>
    </row>
    <row r="101" spans="1:16" s="165" customFormat="1" ht="31.5" x14ac:dyDescent="0.25">
      <c r="A101" s="162"/>
      <c r="B101" s="166" t="s">
        <v>689</v>
      </c>
      <c r="C101" s="164">
        <f>E101+F101+D101</f>
        <v>50275.180140000004</v>
      </c>
      <c r="D101" s="164">
        <v>47403.956680000003</v>
      </c>
      <c r="E101" s="164">
        <v>2494.9450700000002</v>
      </c>
      <c r="F101" s="164">
        <f>232.65596+143.62243</f>
        <v>376.27839</v>
      </c>
      <c r="G101" s="164">
        <f>I101+J101+H101</f>
        <v>1311.3896299999999</v>
      </c>
      <c r="H101" s="164">
        <v>0</v>
      </c>
      <c r="I101" s="164">
        <v>0</v>
      </c>
      <c r="J101" s="164">
        <f>1327.7805+127.23157-143.62244</f>
        <v>1311.3896299999999</v>
      </c>
      <c r="K101" s="164">
        <f>L101+M101</f>
        <v>0</v>
      </c>
      <c r="L101" s="167">
        <v>0</v>
      </c>
      <c r="M101" s="164">
        <v>0</v>
      </c>
      <c r="N101" s="198"/>
      <c r="O101" s="198"/>
      <c r="P101" s="198"/>
    </row>
    <row r="102" spans="1:16" s="160" customFormat="1" ht="47.25" x14ac:dyDescent="0.25">
      <c r="A102" s="233" t="s">
        <v>669</v>
      </c>
      <c r="B102" s="234" t="s">
        <v>690</v>
      </c>
      <c r="C102" s="235">
        <f>C103+C105</f>
        <v>999.87225000000012</v>
      </c>
      <c r="D102" s="235">
        <v>0</v>
      </c>
      <c r="E102" s="235">
        <v>0</v>
      </c>
      <c r="F102" s="235">
        <f>F103+F105</f>
        <v>999.87225000000012</v>
      </c>
      <c r="G102" s="235">
        <f>J102</f>
        <v>300.39999999999998</v>
      </c>
      <c r="H102" s="235">
        <v>0</v>
      </c>
      <c r="I102" s="235">
        <v>0</v>
      </c>
      <c r="J102" s="235">
        <f>J103+J105</f>
        <v>300.39999999999998</v>
      </c>
      <c r="K102" s="235">
        <f>K104</f>
        <v>0</v>
      </c>
      <c r="L102" s="236">
        <v>0</v>
      </c>
      <c r="M102" s="235">
        <f>M104</f>
        <v>0</v>
      </c>
      <c r="N102" s="200"/>
      <c r="O102" s="200"/>
      <c r="P102" s="200"/>
    </row>
    <row r="103" spans="1:16" s="165" customFormat="1" ht="31.5" x14ac:dyDescent="0.25">
      <c r="A103" s="237" t="s">
        <v>691</v>
      </c>
      <c r="B103" s="238" t="s">
        <v>414</v>
      </c>
      <c r="C103" s="242">
        <f>C104</f>
        <v>967.17225000000008</v>
      </c>
      <c r="D103" s="242">
        <v>0</v>
      </c>
      <c r="E103" s="242">
        <v>0</v>
      </c>
      <c r="F103" s="242">
        <f>F104</f>
        <v>967.17225000000008</v>
      </c>
      <c r="G103" s="242">
        <v>0</v>
      </c>
      <c r="H103" s="242">
        <v>0</v>
      </c>
      <c r="I103" s="242">
        <v>0</v>
      </c>
      <c r="J103" s="242">
        <v>0</v>
      </c>
      <c r="K103" s="242">
        <v>0</v>
      </c>
      <c r="L103" s="243">
        <v>0</v>
      </c>
      <c r="M103" s="242">
        <v>0</v>
      </c>
      <c r="N103" s="198"/>
      <c r="O103" s="198"/>
      <c r="P103" s="198"/>
    </row>
    <row r="104" spans="1:16" ht="51.75" customHeight="1" x14ac:dyDescent="0.25">
      <c r="A104" s="168"/>
      <c r="B104" s="163" t="s">
        <v>692</v>
      </c>
      <c r="C104" s="169">
        <f>F104</f>
        <v>967.17225000000008</v>
      </c>
      <c r="D104" s="169">
        <v>0</v>
      </c>
      <c r="E104" s="169">
        <v>0</v>
      </c>
      <c r="F104" s="169">
        <f>898.2+68.97225</f>
        <v>967.17225000000008</v>
      </c>
      <c r="G104" s="169">
        <f>J104</f>
        <v>0</v>
      </c>
      <c r="H104" s="169">
        <v>0</v>
      </c>
      <c r="I104" s="169">
        <v>0</v>
      </c>
      <c r="J104" s="169">
        <v>0</v>
      </c>
      <c r="K104" s="169">
        <v>0</v>
      </c>
      <c r="L104" s="170">
        <v>0</v>
      </c>
      <c r="M104" s="171">
        <v>0</v>
      </c>
    </row>
    <row r="105" spans="1:16" ht="31.5" x14ac:dyDescent="0.25">
      <c r="A105" s="375" t="s">
        <v>872</v>
      </c>
      <c r="B105" s="376" t="s">
        <v>849</v>
      </c>
      <c r="C105" s="377">
        <f>C106</f>
        <v>32.700000000000003</v>
      </c>
      <c r="D105" s="377">
        <f>D106</f>
        <v>0</v>
      </c>
      <c r="E105" s="377">
        <f>E106</f>
        <v>0</v>
      </c>
      <c r="F105" s="377">
        <f>F106</f>
        <v>32.700000000000003</v>
      </c>
      <c r="G105" s="377">
        <f>G106</f>
        <v>300.39999999999998</v>
      </c>
      <c r="H105" s="377">
        <f t="shared" ref="H105:M105" si="7">H106</f>
        <v>0</v>
      </c>
      <c r="I105" s="377">
        <f t="shared" si="7"/>
        <v>0</v>
      </c>
      <c r="J105" s="377">
        <f t="shared" si="7"/>
        <v>300.39999999999998</v>
      </c>
      <c r="K105" s="377">
        <f t="shared" si="7"/>
        <v>0</v>
      </c>
      <c r="L105" s="377">
        <f t="shared" si="7"/>
        <v>0</v>
      </c>
      <c r="M105" s="377">
        <f t="shared" si="7"/>
        <v>0</v>
      </c>
    </row>
    <row r="106" spans="1:16" ht="47.25" x14ac:dyDescent="0.25">
      <c r="A106" s="317"/>
      <c r="B106" s="378" t="s">
        <v>873</v>
      </c>
      <c r="C106" s="169">
        <f>F106</f>
        <v>32.700000000000003</v>
      </c>
      <c r="D106" s="169">
        <v>0</v>
      </c>
      <c r="E106" s="169">
        <v>0</v>
      </c>
      <c r="F106" s="169">
        <v>32.700000000000003</v>
      </c>
      <c r="G106" s="169">
        <f>J106</f>
        <v>300.39999999999998</v>
      </c>
      <c r="H106" s="169">
        <v>0</v>
      </c>
      <c r="I106" s="169">
        <v>0</v>
      </c>
      <c r="J106" s="169">
        <v>300.39999999999998</v>
      </c>
      <c r="K106" s="169">
        <v>0</v>
      </c>
      <c r="L106" s="169">
        <v>0</v>
      </c>
      <c r="M106" s="169">
        <v>0</v>
      </c>
    </row>
  </sheetData>
  <mergeCells count="26">
    <mergeCell ref="A7:M7"/>
    <mergeCell ref="K1:M1"/>
    <mergeCell ref="K2:M2"/>
    <mergeCell ref="K3:M3"/>
    <mergeCell ref="K4:M4"/>
    <mergeCell ref="K5:M5"/>
    <mergeCell ref="A9:M9"/>
    <mergeCell ref="A11:A14"/>
    <mergeCell ref="B11:B14"/>
    <mergeCell ref="C11:M12"/>
    <mergeCell ref="C13:C14"/>
    <mergeCell ref="D13:F13"/>
    <mergeCell ref="G13:G14"/>
    <mergeCell ref="H13:J13"/>
    <mergeCell ref="K13:K14"/>
    <mergeCell ref="L13:M13"/>
    <mergeCell ref="A22:M22"/>
    <mergeCell ref="A24:A27"/>
    <mergeCell ref="B24:B27"/>
    <mergeCell ref="C24:M25"/>
    <mergeCell ref="C26:C27"/>
    <mergeCell ref="D26:F26"/>
    <mergeCell ref="G26:G27"/>
    <mergeCell ref="H26:J26"/>
    <mergeCell ref="K26:K27"/>
    <mergeCell ref="L26:M26"/>
  </mergeCells>
  <pageMargins left="0.31496062992125984" right="0.31496062992125984" top="1.1417322834645669" bottom="0.35433070866141736" header="0.31496062992125984" footer="0.31496062992125984"/>
  <pageSetup paperSize="9" scale="53" orientation="landscape" r:id="rId1"/>
  <colBreaks count="1" manualBreakCount="1">
    <brk id="1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view="pageBreakPreview" topLeftCell="A4" zoomScaleSheetLayoutView="100" workbookViewId="0">
      <selection activeCell="D8" sqref="D8"/>
    </sheetView>
  </sheetViews>
  <sheetFormatPr defaultRowHeight="15" x14ac:dyDescent="0.25"/>
  <cols>
    <col min="1" max="1" width="25" customWidth="1"/>
    <col min="2" max="2" width="39" customWidth="1"/>
    <col min="3" max="3" width="18.28515625" customWidth="1"/>
    <col min="4" max="4" width="16.28515625" customWidth="1"/>
    <col min="5" max="5" width="18.42578125" customWidth="1"/>
  </cols>
  <sheetData>
    <row r="1" spans="1:5" ht="15.75" x14ac:dyDescent="0.25">
      <c r="A1" s="140"/>
      <c r="B1" s="140"/>
      <c r="C1" s="480" t="s">
        <v>654</v>
      </c>
      <c r="D1" s="480"/>
      <c r="E1" s="480"/>
    </row>
    <row r="2" spans="1:5" ht="15.6" customHeight="1" x14ac:dyDescent="0.25">
      <c r="A2" s="140"/>
      <c r="B2" s="172"/>
      <c r="C2" s="482" t="s">
        <v>587</v>
      </c>
      <c r="D2" s="482"/>
      <c r="E2" s="482"/>
    </row>
    <row r="3" spans="1:5" ht="15.75" x14ac:dyDescent="0.25">
      <c r="A3" s="140"/>
      <c r="B3" s="140"/>
      <c r="C3" s="480" t="s">
        <v>693</v>
      </c>
      <c r="D3" s="480"/>
      <c r="E3" s="480"/>
    </row>
    <row r="4" spans="1:5" ht="15.75" x14ac:dyDescent="0.25">
      <c r="A4" s="140"/>
      <c r="B4" s="173"/>
      <c r="C4" s="480" t="s">
        <v>936</v>
      </c>
      <c r="D4" s="480"/>
      <c r="E4" s="480"/>
    </row>
    <row r="5" spans="1:5" ht="15.75" x14ac:dyDescent="0.25">
      <c r="A5" s="140"/>
      <c r="B5" s="173"/>
      <c r="C5" s="174"/>
      <c r="D5" s="174"/>
      <c r="E5" s="174"/>
    </row>
    <row r="6" spans="1:5" ht="46.9" customHeight="1" x14ac:dyDescent="0.25">
      <c r="A6" s="483" t="s">
        <v>717</v>
      </c>
      <c r="B6" s="483"/>
      <c r="C6" s="483"/>
      <c r="D6" s="483"/>
      <c r="E6" s="483"/>
    </row>
    <row r="7" spans="1:5" x14ac:dyDescent="0.25">
      <c r="A7" s="140"/>
      <c r="B7" s="481" t="s">
        <v>584</v>
      </c>
      <c r="C7" s="481"/>
      <c r="D7" s="481"/>
      <c r="E7" s="481"/>
    </row>
    <row r="8" spans="1:5" ht="71.25" x14ac:dyDescent="0.25">
      <c r="A8" s="175" t="s">
        <v>694</v>
      </c>
      <c r="B8" s="175" t="s">
        <v>695</v>
      </c>
      <c r="C8" s="175" t="s">
        <v>649</v>
      </c>
      <c r="D8" s="175" t="s">
        <v>577</v>
      </c>
      <c r="E8" s="175" t="s">
        <v>650</v>
      </c>
    </row>
    <row r="9" spans="1:5" hidden="1" x14ac:dyDescent="0.25">
      <c r="A9" s="176"/>
      <c r="B9" s="176"/>
      <c r="C9" s="176"/>
      <c r="D9" s="176"/>
      <c r="E9" s="176"/>
    </row>
    <row r="10" spans="1:5" ht="45" x14ac:dyDescent="0.25">
      <c r="A10" s="177" t="s">
        <v>696</v>
      </c>
      <c r="B10" s="178" t="s">
        <v>697</v>
      </c>
      <c r="C10" s="179">
        <f>C11</f>
        <v>13116.131740000099</v>
      </c>
      <c r="D10" s="179">
        <f>D11</f>
        <v>-1.1641532182693481E-10</v>
      </c>
      <c r="E10" s="179">
        <f>E11</f>
        <v>-2.3283064365386963E-10</v>
      </c>
    </row>
    <row r="11" spans="1:5" ht="30" x14ac:dyDescent="0.25">
      <c r="A11" s="177" t="s">
        <v>698</v>
      </c>
      <c r="B11" s="178" t="s">
        <v>699</v>
      </c>
      <c r="C11" s="179">
        <f>(C15+C16)</f>
        <v>13116.131740000099</v>
      </c>
      <c r="D11" s="179">
        <f>(D15+D16)</f>
        <v>-1.1641532182693481E-10</v>
      </c>
      <c r="E11" s="179">
        <f>(E15+E16)</f>
        <v>-2.3283064365386963E-10</v>
      </c>
    </row>
    <row r="12" spans="1:5" x14ac:dyDescent="0.25">
      <c r="A12" s="176" t="s">
        <v>700</v>
      </c>
      <c r="B12" s="180" t="s">
        <v>701</v>
      </c>
      <c r="C12" s="181">
        <f t="shared" ref="C12:E14" si="0">C13</f>
        <v>-1186405.0732</v>
      </c>
      <c r="D12" s="181">
        <f t="shared" si="0"/>
        <v>-916433.32519999996</v>
      </c>
      <c r="E12" s="181">
        <f t="shared" si="0"/>
        <v>-934235.61395000003</v>
      </c>
    </row>
    <row r="13" spans="1:5" ht="30" x14ac:dyDescent="0.25">
      <c r="A13" s="176" t="s">
        <v>702</v>
      </c>
      <c r="B13" s="180" t="s">
        <v>703</v>
      </c>
      <c r="C13" s="181">
        <f t="shared" si="0"/>
        <v>-1186405.0732</v>
      </c>
      <c r="D13" s="181">
        <f t="shared" si="0"/>
        <v>-916433.32519999996</v>
      </c>
      <c r="E13" s="181">
        <f t="shared" si="0"/>
        <v>-934235.61395000003</v>
      </c>
    </row>
    <row r="14" spans="1:5" ht="30" x14ac:dyDescent="0.25">
      <c r="A14" s="176" t="s">
        <v>704</v>
      </c>
      <c r="B14" s="180" t="s">
        <v>705</v>
      </c>
      <c r="C14" s="181">
        <f t="shared" si="0"/>
        <v>-1186405.0732</v>
      </c>
      <c r="D14" s="181">
        <f t="shared" si="0"/>
        <v>-916433.32519999996</v>
      </c>
      <c r="E14" s="181">
        <f t="shared" si="0"/>
        <v>-934235.61395000003</v>
      </c>
    </row>
    <row r="15" spans="1:5" ht="45" x14ac:dyDescent="0.25">
      <c r="A15" s="176" t="s">
        <v>706</v>
      </c>
      <c r="B15" s="180" t="s">
        <v>707</v>
      </c>
      <c r="C15" s="181">
        <v>-1186405.0732</v>
      </c>
      <c r="D15" s="181">
        <v>-916433.32519999996</v>
      </c>
      <c r="E15" s="181">
        <v>-934235.61395000003</v>
      </c>
    </row>
    <row r="16" spans="1:5" ht="30" x14ac:dyDescent="0.25">
      <c r="A16" s="176" t="s">
        <v>708</v>
      </c>
      <c r="B16" s="180" t="s">
        <v>709</v>
      </c>
      <c r="C16" s="181">
        <f>'приложение 1'!F598</f>
        <v>1199521.2049400001</v>
      </c>
      <c r="D16" s="181">
        <f>D19</f>
        <v>916433.32519999985</v>
      </c>
      <c r="E16" s="181">
        <f>E19</f>
        <v>934235.6139499998</v>
      </c>
    </row>
    <row r="17" spans="1:5" ht="30" x14ac:dyDescent="0.25">
      <c r="A17" s="176" t="s">
        <v>710</v>
      </c>
      <c r="B17" s="180" t="s">
        <v>711</v>
      </c>
      <c r="C17" s="181">
        <f>C18</f>
        <v>1199521.2049400001</v>
      </c>
      <c r="D17" s="181">
        <f>D19</f>
        <v>916433.32519999985</v>
      </c>
      <c r="E17" s="181">
        <f>E19</f>
        <v>934235.6139499998</v>
      </c>
    </row>
    <row r="18" spans="1:5" ht="30" x14ac:dyDescent="0.25">
      <c r="A18" s="176" t="s">
        <v>712</v>
      </c>
      <c r="B18" s="180" t="s">
        <v>713</v>
      </c>
      <c r="C18" s="181">
        <f>C19</f>
        <v>1199521.2049400001</v>
      </c>
      <c r="D18" s="181">
        <f>D19</f>
        <v>916433.32519999985</v>
      </c>
      <c r="E18" s="181">
        <f>E19</f>
        <v>934235.6139499998</v>
      </c>
    </row>
    <row r="19" spans="1:5" ht="45" x14ac:dyDescent="0.25">
      <c r="A19" s="176" t="s">
        <v>714</v>
      </c>
      <c r="B19" s="180" t="s">
        <v>715</v>
      </c>
      <c r="C19" s="181">
        <f>'приложение 1'!F598</f>
        <v>1199521.2049400001</v>
      </c>
      <c r="D19" s="181">
        <f>'приложение 1'!I598+9463.68466</f>
        <v>916433.32519999985</v>
      </c>
      <c r="E19" s="181">
        <f>'приложение 1'!L598+26739.77829</f>
        <v>934235.6139499998</v>
      </c>
    </row>
    <row r="20" spans="1:5" x14ac:dyDescent="0.25">
      <c r="A20" s="182"/>
      <c r="B20" s="183" t="s">
        <v>716</v>
      </c>
      <c r="C20" s="184">
        <f>C10</f>
        <v>13116.131740000099</v>
      </c>
      <c r="D20" s="184">
        <f>D10</f>
        <v>-1.1641532182693481E-10</v>
      </c>
      <c r="E20" s="184">
        <f>E10</f>
        <v>-2.3283064365386963E-10</v>
      </c>
    </row>
    <row r="22" spans="1:5" x14ac:dyDescent="0.25">
      <c r="C22" s="185"/>
    </row>
  </sheetData>
  <mergeCells count="6">
    <mergeCell ref="B7:E7"/>
    <mergeCell ref="C1:E1"/>
    <mergeCell ref="C2:E2"/>
    <mergeCell ref="C3:E3"/>
    <mergeCell ref="C4:E4"/>
    <mergeCell ref="A6:E6"/>
  </mergeCells>
  <pageMargins left="0.9055118110236221" right="0.51181102362204722" top="0.74803149606299213" bottom="0.74803149606299213" header="0.31496062992125984" footer="0.31496062992125984"/>
  <pageSetup paperSize="9" scale="7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63"/>
  <sheetViews>
    <sheetView view="pageBreakPreview" topLeftCell="A37" zoomScaleSheetLayoutView="100" workbookViewId="0">
      <selection activeCell="C44" sqref="C44"/>
    </sheetView>
  </sheetViews>
  <sheetFormatPr defaultRowHeight="15" x14ac:dyDescent="0.25"/>
  <cols>
    <col min="1" max="1" width="14.7109375" customWidth="1"/>
    <col min="2" max="2" width="46.7109375" customWidth="1"/>
    <col min="3" max="3" width="12" customWidth="1"/>
    <col min="4" max="4" width="12.140625" customWidth="1"/>
    <col min="5" max="5" width="11.7109375" customWidth="1"/>
  </cols>
  <sheetData>
    <row r="1" spans="1:6" x14ac:dyDescent="0.25">
      <c r="A1" s="407" t="s">
        <v>899</v>
      </c>
      <c r="B1" s="407"/>
      <c r="C1" s="407">
        <v>2025</v>
      </c>
      <c r="D1" s="407">
        <v>2026</v>
      </c>
      <c r="E1" s="407">
        <v>2027</v>
      </c>
    </row>
    <row r="2" spans="1:6" ht="60" x14ac:dyDescent="0.25">
      <c r="A2" s="438" t="s">
        <v>28</v>
      </c>
      <c r="B2" s="439" t="s">
        <v>929</v>
      </c>
      <c r="C2" s="438">
        <v>50</v>
      </c>
      <c r="D2" s="438"/>
      <c r="E2" s="438"/>
    </row>
    <row r="3" spans="1:6" ht="45" x14ac:dyDescent="0.25">
      <c r="A3" s="407" t="s">
        <v>259</v>
      </c>
      <c r="B3" s="406" t="s">
        <v>258</v>
      </c>
      <c r="C3" s="407">
        <v>-3660</v>
      </c>
      <c r="D3" s="407"/>
      <c r="E3" s="407"/>
      <c r="F3" s="484">
        <f>C3+C4+C5+C6+C7+C8+C9</f>
        <v>1422.3000000000006</v>
      </c>
    </row>
    <row r="4" spans="1:6" ht="45" x14ac:dyDescent="0.25">
      <c r="A4" s="407" t="s">
        <v>250</v>
      </c>
      <c r="B4" s="406" t="s">
        <v>249</v>
      </c>
      <c r="C4" s="407">
        <v>-486.8</v>
      </c>
      <c r="D4" s="407"/>
      <c r="E4" s="407"/>
      <c r="F4" s="484"/>
    </row>
    <row r="5" spans="1:6" ht="60" x14ac:dyDescent="0.25">
      <c r="A5" s="407" t="s">
        <v>226</v>
      </c>
      <c r="B5" s="406" t="s">
        <v>225</v>
      </c>
      <c r="C5" s="407">
        <v>-2.9</v>
      </c>
      <c r="D5" s="407"/>
      <c r="E5" s="407"/>
      <c r="F5" s="484"/>
    </row>
    <row r="6" spans="1:6" ht="30" x14ac:dyDescent="0.25">
      <c r="A6" s="407" t="s">
        <v>208</v>
      </c>
      <c r="B6" s="406" t="s">
        <v>900</v>
      </c>
      <c r="C6" s="407">
        <v>-41.7</v>
      </c>
      <c r="D6" s="407"/>
      <c r="E6" s="407"/>
      <c r="F6" s="484"/>
    </row>
    <row r="7" spans="1:6" ht="135" x14ac:dyDescent="0.25">
      <c r="A7" s="407" t="s">
        <v>881</v>
      </c>
      <c r="B7" s="406" t="s">
        <v>930</v>
      </c>
      <c r="C7" s="407">
        <f>4000+578.1</f>
        <v>4578.1000000000004</v>
      </c>
      <c r="D7" s="407">
        <v>-4000</v>
      </c>
      <c r="E7" s="407"/>
      <c r="F7" s="484"/>
    </row>
    <row r="8" spans="1:6" ht="75" x14ac:dyDescent="0.25">
      <c r="A8" s="407" t="s">
        <v>879</v>
      </c>
      <c r="B8" s="406" t="s">
        <v>901</v>
      </c>
      <c r="C8" s="407">
        <v>435.7</v>
      </c>
      <c r="D8" s="407"/>
      <c r="E8" s="407"/>
      <c r="F8" s="484"/>
    </row>
    <row r="9" spans="1:6" ht="60" x14ac:dyDescent="0.25">
      <c r="A9" s="407" t="s">
        <v>896</v>
      </c>
      <c r="B9" s="406" t="s">
        <v>902</v>
      </c>
      <c r="C9" s="407">
        <v>599.9</v>
      </c>
      <c r="D9" s="407">
        <v>-599.9</v>
      </c>
      <c r="E9" s="407"/>
      <c r="F9" s="484"/>
    </row>
    <row r="10" spans="1:6" ht="75" x14ac:dyDescent="0.25">
      <c r="A10" s="411" t="s">
        <v>276</v>
      </c>
      <c r="B10" s="406" t="s">
        <v>275</v>
      </c>
      <c r="C10" s="407">
        <f>1552.05836-1552.094</f>
        <v>-3.5640000000057626E-2</v>
      </c>
      <c r="D10" s="407"/>
      <c r="E10" s="407"/>
    </row>
    <row r="11" spans="1:6" ht="90" x14ac:dyDescent="0.25">
      <c r="A11" s="411" t="s">
        <v>410</v>
      </c>
      <c r="B11" s="406" t="s">
        <v>903</v>
      </c>
      <c r="C11" s="407">
        <v>208.6</v>
      </c>
      <c r="D11" s="407"/>
      <c r="E11" s="407"/>
    </row>
    <row r="12" spans="1:6" ht="26.25" x14ac:dyDescent="0.25">
      <c r="A12" s="36" t="s">
        <v>858</v>
      </c>
      <c r="B12" s="12" t="s">
        <v>633</v>
      </c>
      <c r="C12" s="252">
        <v>-4.1640499999999996</v>
      </c>
      <c r="D12" s="252">
        <v>4.1640499999999996</v>
      </c>
      <c r="E12" s="407"/>
    </row>
    <row r="13" spans="1:6" ht="105" x14ac:dyDescent="0.25">
      <c r="A13" s="411" t="s">
        <v>605</v>
      </c>
      <c r="B13" s="406" t="s">
        <v>904</v>
      </c>
      <c r="C13" s="437">
        <f>1967.8-2600</f>
        <v>-632.20000000000005</v>
      </c>
      <c r="D13" s="407"/>
      <c r="E13" s="407"/>
      <c r="F13" s="485">
        <f>C13+C14+C15</f>
        <v>0</v>
      </c>
    </row>
    <row r="14" spans="1:6" ht="60" x14ac:dyDescent="0.25">
      <c r="A14" s="411"/>
      <c r="B14" s="406" t="s">
        <v>905</v>
      </c>
      <c r="C14" s="437">
        <v>200.2</v>
      </c>
      <c r="D14" s="407"/>
      <c r="E14" s="407"/>
      <c r="F14" s="485"/>
    </row>
    <row r="15" spans="1:6" ht="60" x14ac:dyDescent="0.25">
      <c r="A15" s="411"/>
      <c r="B15" s="406" t="s">
        <v>906</v>
      </c>
      <c r="C15" s="437">
        <v>432</v>
      </c>
      <c r="D15" s="407"/>
      <c r="E15" s="407"/>
      <c r="F15" s="485"/>
    </row>
    <row r="16" spans="1:6" ht="90" x14ac:dyDescent="0.25">
      <c r="A16" s="440" t="s">
        <v>485</v>
      </c>
      <c r="B16" s="439" t="s">
        <v>484</v>
      </c>
      <c r="C16" s="443">
        <v>-1.5</v>
      </c>
      <c r="D16" s="438"/>
      <c r="E16" s="438"/>
      <c r="F16" s="442"/>
    </row>
    <row r="17" spans="1:6" ht="45" x14ac:dyDescent="0.25">
      <c r="A17" s="440" t="s">
        <v>476</v>
      </c>
      <c r="B17" s="439" t="s">
        <v>746</v>
      </c>
      <c r="C17" s="443">
        <v>-32.5</v>
      </c>
      <c r="D17" s="438"/>
      <c r="E17" s="438"/>
      <c r="F17" s="442"/>
    </row>
    <row r="18" spans="1:6" x14ac:dyDescent="0.25">
      <c r="A18" s="440" t="s">
        <v>475</v>
      </c>
      <c r="B18" s="439" t="s">
        <v>474</v>
      </c>
      <c r="C18" s="443">
        <v>-12.5</v>
      </c>
      <c r="D18" s="438"/>
      <c r="E18" s="438"/>
      <c r="F18" s="442"/>
    </row>
    <row r="19" spans="1:6" ht="45" x14ac:dyDescent="0.25">
      <c r="A19" s="411" t="s">
        <v>341</v>
      </c>
      <c r="B19" s="406" t="s">
        <v>340</v>
      </c>
      <c r="C19" s="437">
        <v>-98.690960000000004</v>
      </c>
      <c r="D19" s="407"/>
      <c r="E19" s="407"/>
      <c r="F19" s="484" t="e">
        <f>C19+C20+C21+C23+#REF!+C25+C26+C27+C28+C29</f>
        <v>#REF!</v>
      </c>
    </row>
    <row r="20" spans="1:6" ht="45" x14ac:dyDescent="0.25">
      <c r="A20" s="440" t="s">
        <v>332</v>
      </c>
      <c r="B20" s="439" t="s">
        <v>331</v>
      </c>
      <c r="C20" s="441">
        <v>-136.90890999999999</v>
      </c>
      <c r="D20" s="438"/>
      <c r="E20" s="438"/>
      <c r="F20" s="484"/>
    </row>
    <row r="21" spans="1:6" ht="60" x14ac:dyDescent="0.25">
      <c r="A21" s="440" t="s">
        <v>598</v>
      </c>
      <c r="B21" s="439" t="s">
        <v>599</v>
      </c>
      <c r="C21" s="441">
        <v>220</v>
      </c>
      <c r="D21" s="438"/>
      <c r="E21" s="438"/>
      <c r="F21" s="484"/>
    </row>
    <row r="22" spans="1:6" ht="90" x14ac:dyDescent="0.25">
      <c r="A22" s="411" t="s">
        <v>728</v>
      </c>
      <c r="B22" s="406" t="s">
        <v>907</v>
      </c>
      <c r="C22" s="433">
        <v>69.431709999999995</v>
      </c>
      <c r="D22" s="407"/>
      <c r="E22" s="407"/>
      <c r="F22" s="484"/>
    </row>
    <row r="23" spans="1:6" ht="30" x14ac:dyDescent="0.25">
      <c r="A23" s="440" t="s">
        <v>890</v>
      </c>
      <c r="B23" s="439" t="s">
        <v>891</v>
      </c>
      <c r="C23" s="441">
        <v>-6.3399999999999998E-2</v>
      </c>
      <c r="D23" s="438"/>
      <c r="E23" s="438"/>
      <c r="F23" s="484"/>
    </row>
    <row r="24" spans="1:6" ht="30" x14ac:dyDescent="0.25">
      <c r="A24" s="440" t="s">
        <v>319</v>
      </c>
      <c r="B24" s="439" t="s">
        <v>318</v>
      </c>
      <c r="C24" s="443">
        <v>248</v>
      </c>
      <c r="D24" s="438"/>
      <c r="E24" s="438"/>
      <c r="F24" s="484"/>
    </row>
    <row r="25" spans="1:6" ht="30" x14ac:dyDescent="0.25">
      <c r="A25" s="440" t="s">
        <v>846</v>
      </c>
      <c r="B25" s="439" t="s">
        <v>847</v>
      </c>
      <c r="C25" s="441">
        <v>-30.766660000000002</v>
      </c>
      <c r="D25" s="438"/>
      <c r="E25" s="438"/>
      <c r="F25" s="484"/>
    </row>
    <row r="26" spans="1:6" ht="30" x14ac:dyDescent="0.25">
      <c r="A26" s="440" t="s">
        <v>353</v>
      </c>
      <c r="B26" s="439" t="s">
        <v>352</v>
      </c>
      <c r="C26" s="441">
        <v>381.62563</v>
      </c>
      <c r="D26" s="438"/>
      <c r="E26" s="438"/>
      <c r="F26" s="484"/>
    </row>
    <row r="27" spans="1:6" ht="75" x14ac:dyDescent="0.25">
      <c r="A27" s="440" t="s">
        <v>351</v>
      </c>
      <c r="B27" s="439" t="s">
        <v>639</v>
      </c>
      <c r="C27" s="441">
        <v>-228.63499999999999</v>
      </c>
      <c r="D27" s="438"/>
      <c r="E27" s="438"/>
      <c r="F27" s="484"/>
    </row>
    <row r="28" spans="1:6" ht="30" x14ac:dyDescent="0.25">
      <c r="A28" s="440" t="s">
        <v>355</v>
      </c>
      <c r="B28" s="439" t="s">
        <v>354</v>
      </c>
      <c r="C28" s="441">
        <v>-120</v>
      </c>
      <c r="D28" s="438"/>
      <c r="E28" s="438"/>
      <c r="F28" s="484"/>
    </row>
    <row r="29" spans="1:6" ht="90" x14ac:dyDescent="0.25">
      <c r="A29" s="440" t="s">
        <v>348</v>
      </c>
      <c r="B29" s="439" t="s">
        <v>833</v>
      </c>
      <c r="C29" s="441">
        <v>-55.99241</v>
      </c>
      <c r="D29" s="438"/>
      <c r="E29" s="438"/>
      <c r="F29" s="484"/>
    </row>
    <row r="30" spans="1:6" ht="60" x14ac:dyDescent="0.25">
      <c r="A30" s="411" t="s">
        <v>819</v>
      </c>
      <c r="B30" s="406" t="s">
        <v>908</v>
      </c>
      <c r="C30" s="437">
        <v>-3.3</v>
      </c>
      <c r="D30" s="407"/>
      <c r="E30" s="407"/>
      <c r="F30" s="485">
        <f>C30+C31+C32+C33+C35+C36</f>
        <v>0</v>
      </c>
    </row>
    <row r="31" spans="1:6" ht="60" x14ac:dyDescent="0.25">
      <c r="A31" s="411" t="s">
        <v>818</v>
      </c>
      <c r="B31" s="406" t="s">
        <v>909</v>
      </c>
      <c r="C31" s="437">
        <v>-85</v>
      </c>
      <c r="D31" s="407"/>
      <c r="E31" s="407"/>
      <c r="F31" s="485"/>
    </row>
    <row r="32" spans="1:6" ht="30" x14ac:dyDescent="0.25">
      <c r="A32" s="411" t="s">
        <v>813</v>
      </c>
      <c r="B32" s="406" t="s">
        <v>425</v>
      </c>
      <c r="C32" s="437">
        <v>-7.4671799999999999</v>
      </c>
      <c r="D32" s="407"/>
      <c r="E32" s="407"/>
      <c r="F32" s="485"/>
    </row>
    <row r="33" spans="1:7" ht="90" x14ac:dyDescent="0.25">
      <c r="A33" s="411" t="s">
        <v>816</v>
      </c>
      <c r="B33" s="406" t="s">
        <v>910</v>
      </c>
      <c r="C33" s="437">
        <f>102.037-58.20507+85</f>
        <v>128.83193</v>
      </c>
      <c r="D33" s="407"/>
      <c r="E33" s="407"/>
      <c r="F33" s="485"/>
    </row>
    <row r="34" spans="1:7" ht="60" x14ac:dyDescent="0.25">
      <c r="A34" s="411" t="s">
        <v>852</v>
      </c>
      <c r="B34" s="406" t="s">
        <v>911</v>
      </c>
      <c r="C34" s="407">
        <v>143.62243000000001</v>
      </c>
      <c r="D34" s="407">
        <v>-143.62243000000001</v>
      </c>
      <c r="E34" s="407"/>
      <c r="F34" s="485"/>
    </row>
    <row r="35" spans="1:7" ht="75" x14ac:dyDescent="0.25">
      <c r="A35" s="411" t="s">
        <v>438</v>
      </c>
      <c r="B35" s="406" t="s">
        <v>912</v>
      </c>
      <c r="C35" s="437">
        <v>-102.03700000000001</v>
      </c>
      <c r="D35" s="407"/>
      <c r="E35" s="407"/>
      <c r="F35" s="485"/>
    </row>
    <row r="36" spans="1:7" ht="75" x14ac:dyDescent="0.25">
      <c r="A36" s="411" t="s">
        <v>814</v>
      </c>
      <c r="B36" s="406" t="s">
        <v>913</v>
      </c>
      <c r="C36" s="437">
        <v>68.972250000000003</v>
      </c>
      <c r="D36" s="407"/>
      <c r="E36" s="407"/>
      <c r="F36" s="485"/>
    </row>
    <row r="37" spans="1:7" ht="60" x14ac:dyDescent="0.25">
      <c r="A37" s="411" t="s">
        <v>503</v>
      </c>
      <c r="B37" s="406" t="s">
        <v>914</v>
      </c>
      <c r="C37" s="407">
        <f>891.3+588</f>
        <v>1479.3</v>
      </c>
      <c r="D37" s="407"/>
      <c r="E37" s="407"/>
      <c r="G37" t="s">
        <v>927</v>
      </c>
    </row>
    <row r="38" spans="1:7" ht="45" x14ac:dyDescent="0.25">
      <c r="A38" s="411" t="s">
        <v>495</v>
      </c>
      <c r="B38" s="406" t="s">
        <v>494</v>
      </c>
      <c r="C38" s="437">
        <f>-23.68592-550</f>
        <v>-573.68592000000001</v>
      </c>
      <c r="D38" s="407"/>
      <c r="E38" s="407"/>
      <c r="F38" s="485">
        <f>C38+C39+C40+C41</f>
        <v>-588.00000000000011</v>
      </c>
    </row>
    <row r="39" spans="1:7" ht="30" x14ac:dyDescent="0.25">
      <c r="A39" s="411" t="s">
        <v>497</v>
      </c>
      <c r="B39" s="406" t="s">
        <v>496</v>
      </c>
      <c r="C39" s="437">
        <v>-0.65627999999999997</v>
      </c>
      <c r="D39" s="407"/>
      <c r="E39" s="407"/>
      <c r="F39" s="485"/>
    </row>
    <row r="40" spans="1:7" ht="75" x14ac:dyDescent="0.25">
      <c r="A40" s="411" t="s">
        <v>504</v>
      </c>
      <c r="B40" s="406" t="s">
        <v>591</v>
      </c>
      <c r="C40" s="437">
        <v>-6.2077999999999998</v>
      </c>
      <c r="D40" s="407"/>
      <c r="E40" s="407"/>
      <c r="F40" s="485"/>
    </row>
    <row r="41" spans="1:7" x14ac:dyDescent="0.25">
      <c r="A41" s="411" t="s">
        <v>643</v>
      </c>
      <c r="B41" s="406" t="s">
        <v>788</v>
      </c>
      <c r="C41" s="437">
        <v>-7.45</v>
      </c>
      <c r="D41" s="407"/>
      <c r="E41" s="407"/>
      <c r="F41" s="485"/>
    </row>
    <row r="42" spans="1:7" ht="75" x14ac:dyDescent="0.25">
      <c r="A42" s="411" t="s">
        <v>608</v>
      </c>
      <c r="B42" s="406" t="s">
        <v>790</v>
      </c>
      <c r="C42" s="407">
        <f>631.20414-609.95562</f>
        <v>21.248520000000099</v>
      </c>
      <c r="D42" s="407">
        <f>1982.86999-2004.11851</f>
        <v>-21.248520000000099</v>
      </c>
      <c r="E42" s="407"/>
    </row>
    <row r="43" spans="1:7" ht="45" x14ac:dyDescent="0.25">
      <c r="A43" s="447" t="s">
        <v>528</v>
      </c>
      <c r="B43" s="448" t="s">
        <v>826</v>
      </c>
      <c r="C43" s="449">
        <v>121.1</v>
      </c>
      <c r="D43" s="449"/>
      <c r="E43" s="449"/>
    </row>
    <row r="44" spans="1:7" ht="30" x14ac:dyDescent="0.25">
      <c r="A44" s="411" t="s">
        <v>526</v>
      </c>
      <c r="B44" s="406" t="s">
        <v>915</v>
      </c>
      <c r="C44" s="407">
        <f>114.6+103</f>
        <v>217.6</v>
      </c>
      <c r="D44" s="407"/>
      <c r="E44" s="407"/>
    </row>
    <row r="45" spans="1:7" ht="60" x14ac:dyDescent="0.25">
      <c r="A45" s="411" t="s">
        <v>827</v>
      </c>
      <c r="B45" s="406" t="s">
        <v>928</v>
      </c>
      <c r="C45" s="407">
        <f>1147.4+179.8</f>
        <v>1327.2</v>
      </c>
      <c r="D45" s="407"/>
      <c r="E45" s="407"/>
    </row>
    <row r="46" spans="1:7" x14ac:dyDescent="0.25">
      <c r="A46" s="411"/>
      <c r="B46" s="406"/>
      <c r="C46" s="407"/>
      <c r="D46" s="407"/>
      <c r="E46" s="407"/>
    </row>
    <row r="47" spans="1:7" x14ac:dyDescent="0.25">
      <c r="A47" s="411"/>
      <c r="B47" s="406"/>
      <c r="C47" s="407"/>
      <c r="D47" s="407"/>
      <c r="E47" s="407"/>
    </row>
    <row r="48" spans="1:7" x14ac:dyDescent="0.25">
      <c r="A48" s="411"/>
      <c r="B48" s="406"/>
      <c r="C48" s="407"/>
      <c r="D48" s="407"/>
      <c r="E48" s="407"/>
    </row>
    <row r="49" spans="1:5" x14ac:dyDescent="0.25">
      <c r="A49" s="411"/>
      <c r="B49" s="406"/>
      <c r="C49" s="407"/>
      <c r="D49" s="407"/>
      <c r="E49" s="407"/>
    </row>
    <row r="50" spans="1:5" x14ac:dyDescent="0.25">
      <c r="A50" s="411"/>
      <c r="B50" s="406"/>
      <c r="C50" s="407"/>
      <c r="D50" s="407"/>
      <c r="E50" s="407"/>
    </row>
    <row r="51" spans="1:5" x14ac:dyDescent="0.25">
      <c r="A51" s="411"/>
      <c r="B51" s="406"/>
      <c r="C51" s="407"/>
      <c r="D51" s="407"/>
      <c r="E51" s="407"/>
    </row>
    <row r="52" spans="1:5" x14ac:dyDescent="0.25">
      <c r="A52" s="407"/>
      <c r="B52" s="406"/>
      <c r="C52" s="407"/>
      <c r="D52" s="407"/>
      <c r="E52" s="407"/>
    </row>
    <row r="53" spans="1:5" x14ac:dyDescent="0.25">
      <c r="A53" s="407"/>
      <c r="B53" s="406"/>
      <c r="C53" s="407"/>
      <c r="D53" s="407"/>
      <c r="E53" s="407"/>
    </row>
    <row r="54" spans="1:5" x14ac:dyDescent="0.25">
      <c r="A54" s="407"/>
      <c r="B54" s="406"/>
      <c r="C54" s="407"/>
      <c r="D54" s="407"/>
      <c r="E54" s="407"/>
    </row>
    <row r="55" spans="1:5" x14ac:dyDescent="0.25">
      <c r="A55" s="407"/>
      <c r="B55" s="406"/>
      <c r="C55" s="407"/>
      <c r="D55" s="407"/>
      <c r="E55" s="407"/>
    </row>
    <row r="56" spans="1:5" x14ac:dyDescent="0.25">
      <c r="A56" s="407"/>
      <c r="B56" s="407"/>
      <c r="C56" s="407"/>
      <c r="D56" s="407"/>
      <c r="E56" s="407"/>
    </row>
    <row r="57" spans="1:5" x14ac:dyDescent="0.25">
      <c r="A57" s="407"/>
      <c r="B57" s="407"/>
      <c r="C57" s="407"/>
      <c r="D57" s="407"/>
      <c r="E57" s="407"/>
    </row>
    <row r="58" spans="1:5" x14ac:dyDescent="0.25">
      <c r="A58" s="407"/>
      <c r="B58" s="407"/>
      <c r="C58" s="407"/>
      <c r="D58" s="407"/>
      <c r="E58" s="407"/>
    </row>
    <row r="59" spans="1:5" x14ac:dyDescent="0.25">
      <c r="A59" s="407"/>
      <c r="B59" s="407"/>
      <c r="C59" s="407"/>
      <c r="D59" s="407"/>
      <c r="E59" s="407"/>
    </row>
    <row r="60" spans="1:5" x14ac:dyDescent="0.25">
      <c r="A60" s="407"/>
      <c r="B60" s="407"/>
      <c r="C60" s="407"/>
      <c r="D60" s="407"/>
      <c r="E60" s="407"/>
    </row>
    <row r="61" spans="1:5" x14ac:dyDescent="0.25">
      <c r="A61" s="412"/>
      <c r="B61" s="412" t="s">
        <v>916</v>
      </c>
      <c r="C61" s="412">
        <f>SUM(C2:C60)</f>
        <v>4600.2712600000004</v>
      </c>
      <c r="D61" s="444">
        <f>SUM(D2:D60)</f>
        <v>-4760.6068999999998</v>
      </c>
      <c r="E61" s="412">
        <f>SUM(E10:E60)</f>
        <v>0</v>
      </c>
    </row>
    <row r="63" spans="1:5" x14ac:dyDescent="0.25">
      <c r="B63" s="413"/>
    </row>
  </sheetData>
  <mergeCells count="5">
    <mergeCell ref="F3:F9"/>
    <mergeCell ref="F13:F15"/>
    <mergeCell ref="F30:F36"/>
    <mergeCell ref="F38:F41"/>
    <mergeCell ref="F19:F29"/>
  </mergeCells>
  <pageMargins left="0.7" right="0.7" top="0.75" bottom="0.75" header="0.3" footer="0.3"/>
  <pageSetup paperSize="9" scale="70" orientation="portrait" r:id="rId1"/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приложение 1</vt:lpstr>
      <vt:lpstr>Приложение 2</vt:lpstr>
      <vt:lpstr>Приложение 4</vt:lpstr>
      <vt:lpstr>Приложение 5</vt:lpstr>
      <vt:lpstr>свод</vt:lpstr>
      <vt:lpstr>'приложение 1'!Область_печати</vt:lpstr>
      <vt:lpstr>'Приложение 2'!Область_печати</vt:lpstr>
      <vt:lpstr>'Приложение 4'!Область_печати</vt:lpstr>
      <vt:lpstr>'Приложение 5'!Область_печати</vt:lpstr>
      <vt:lpstr>свод!Область_печати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ЕДДС1</cp:lastModifiedBy>
  <cp:lastPrinted>2025-12-12T09:57:04Z</cp:lastPrinted>
  <dcterms:created xsi:type="dcterms:W3CDTF">2024-10-23T06:02:00Z</dcterms:created>
  <dcterms:modified xsi:type="dcterms:W3CDTF">2025-12-19T04:05:20Z</dcterms:modified>
</cp:coreProperties>
</file>