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50" yWindow="-225" windowWidth="14790" windowHeight="12765" tabRatio="926" firstSheet="11" activeTab="18"/>
  </bookViews>
  <sheets>
    <sheet name="1.Доходы" sheetId="38" r:id="rId1"/>
    <sheet name="2.Расходы по вед" sheetId="23" r:id="rId2"/>
    <sheet name="3.Расходы по РзПр" sheetId="37" r:id="rId3"/>
    <sheet name="4.Приложение по источникам" sheetId="39" r:id="rId4"/>
    <sheet name="5. Размер и структура мун.долга" sheetId="40" r:id="rId5"/>
    <sheet name="6. Программа мун.заим." sheetId="41" r:id="rId6"/>
    <sheet name="7. Программа мун.гарантий" sheetId="42" r:id="rId7"/>
    <sheet name="Справочно.Выполнение МП" sheetId="43" r:id="rId8"/>
    <sheet name="Справочно.ЦС" sheetId="1" r:id="rId9"/>
    <sheet name="Справочно.Содержание ОМСУ" sheetId="44" r:id="rId10"/>
    <sheet name="Справочно.Резервный фонд" sheetId="45" r:id="rId11"/>
    <sheet name="Справочно.Дорожный фонд" sheetId="46" r:id="rId12"/>
    <sheet name="Справочно.инвест.проекты" sheetId="47" r:id="rId13"/>
    <sheet name="Справочно.Бюджетные инвестиции" sheetId="48" r:id="rId14"/>
    <sheet name="Справочно.Исполнение по НП" sheetId="50" r:id="rId15"/>
    <sheet name="Справочно. Деб.зад." sheetId="51" r:id="rId16"/>
    <sheet name="Справочно. Кред.зад." sheetId="52" r:id="rId17"/>
    <sheet name="Справочно. Доходы от исп.им." sheetId="53" r:id="rId18"/>
    <sheet name="Справочно. Доходы от прод.им." sheetId="54" r:id="rId19"/>
  </sheets>
  <externalReferences>
    <externalReference r:id="rId20"/>
    <externalReference r:id="rId21"/>
    <externalReference r:id="rId22"/>
  </externalReferences>
  <definedNames>
    <definedName name="_xlnm._FilterDatabase" localSheetId="1" hidden="1">'2.Расходы по вед'!$A$8:$K$885</definedName>
    <definedName name="_xlnm._FilterDatabase" localSheetId="2" hidden="1">'3.Расходы по РзПр'!$A$8:$F$8</definedName>
    <definedName name="_xlnm._FilterDatabase" localSheetId="10" hidden="1">'Справочно.Резервный фонд'!$A$9:$F$61</definedName>
    <definedName name="_xlnm._FilterDatabase" localSheetId="8" hidden="1">Справочно.ЦС!$A$9:$D$595</definedName>
    <definedName name="_xlnm.Print_Area" localSheetId="0">'1.Доходы'!$A$1:$F$189</definedName>
    <definedName name="_xlnm.Print_Area" localSheetId="1">'2.Расходы по вед'!$A$1:$J$885</definedName>
    <definedName name="_xlnm.Print_Area" localSheetId="2">'3.Расходы по РзПр'!$A$1:$E$55</definedName>
    <definedName name="_xlnm.Print_Area" localSheetId="4">'5. Размер и структура мун.долга'!$A$1:$C$12</definedName>
    <definedName name="_xlnm.Print_Area" localSheetId="15">'Справочно. Деб.зад.'!$A$1:$BE$49</definedName>
    <definedName name="_xlnm.Print_Area" localSheetId="17">'Справочно. Доходы от исп.им.'!$A$1:$G$27</definedName>
    <definedName name="_xlnm.Print_Area" localSheetId="18">'Справочно. Доходы от прод.им.'!$A$1:$G$15</definedName>
    <definedName name="_xlnm.Print_Area" localSheetId="7">'Справочно.Выполнение МП'!$A$1:$I$25</definedName>
    <definedName name="_xlnm.Print_Area" localSheetId="11">'Справочно.Дорожный фонд'!$A$1:$N$93</definedName>
    <definedName name="_xlnm.Print_Area" localSheetId="12">Справочно.инвест.проекты!$A$1:$AA$17</definedName>
    <definedName name="_xlnm.Print_Area" localSheetId="14">'Справочно.Исполнение по НП'!$A$1:$F$38</definedName>
    <definedName name="_xlnm.Print_Area" localSheetId="9">'Справочно.Содержание ОМСУ'!$A$1:$H$36</definedName>
    <definedName name="_xlnm.Print_Area" localSheetId="8">Справочно.ЦС!$A$1:$H$594</definedName>
    <definedName name="Таблица_1" localSheetId="0">#REF!</definedName>
    <definedName name="Таблица_1" localSheetId="17">#REF!</definedName>
    <definedName name="Таблица_1" localSheetId="18">#REF!</definedName>
    <definedName name="Таблица_1" localSheetId="13">#REF!</definedName>
    <definedName name="Таблица_1" localSheetId="12">#REF!</definedName>
    <definedName name="Таблица_1" localSheetId="14">#REF!</definedName>
    <definedName name="Таблица_1">#REF!</definedName>
  </definedNames>
  <calcPr calcId="145621"/>
</workbook>
</file>

<file path=xl/calcChain.xml><?xml version="1.0" encoding="utf-8"?>
<calcChain xmlns="http://schemas.openxmlformats.org/spreadsheetml/2006/main">
  <c r="G14" i="54" l="1"/>
  <c r="D15" i="54"/>
  <c r="G12" i="54"/>
  <c r="G15" i="54" s="1"/>
  <c r="E15" i="54"/>
  <c r="F15" i="54"/>
  <c r="F27" i="53"/>
  <c r="E27" i="53"/>
  <c r="D27" i="53"/>
  <c r="C27" i="53"/>
  <c r="G26" i="53"/>
  <c r="G27" i="53" s="1"/>
  <c r="F24" i="53"/>
  <c r="E24" i="53"/>
  <c r="D24" i="53"/>
  <c r="C24" i="53"/>
  <c r="G23" i="53"/>
  <c r="G24" i="53" s="1"/>
  <c r="F21" i="53"/>
  <c r="E21" i="53"/>
  <c r="D21" i="53"/>
  <c r="C21" i="53"/>
  <c r="G20" i="53"/>
  <c r="G21" i="53" s="1"/>
  <c r="F18" i="53"/>
  <c r="E18" i="53"/>
  <c r="D18" i="53"/>
  <c r="C18" i="53"/>
  <c r="G17" i="53"/>
  <c r="G18" i="53" s="1"/>
  <c r="F15" i="53"/>
  <c r="E15" i="53"/>
  <c r="D15" i="53"/>
  <c r="C15" i="53"/>
  <c r="G14" i="53"/>
  <c r="G15" i="53" s="1"/>
  <c r="F180" i="1" l="1"/>
  <c r="E180" i="1"/>
  <c r="F176" i="1"/>
  <c r="E176" i="1"/>
  <c r="I603" i="23"/>
  <c r="H602" i="23"/>
  <c r="H601" i="23" s="1"/>
  <c r="G602" i="23"/>
  <c r="G601" i="23" s="1"/>
  <c r="I602" i="23" l="1"/>
  <c r="F72" i="1"/>
  <c r="F489" i="1"/>
  <c r="E489" i="1"/>
  <c r="G494" i="1"/>
  <c r="G493" i="1"/>
  <c r="F492" i="1"/>
  <c r="E492" i="1"/>
  <c r="G366" i="1"/>
  <c r="F365" i="1"/>
  <c r="E365" i="1"/>
  <c r="F150" i="1"/>
  <c r="E150" i="1"/>
  <c r="G73" i="1"/>
  <c r="E74" i="1"/>
  <c r="F161" i="1"/>
  <c r="E161" i="1"/>
  <c r="D72" i="1"/>
  <c r="G151" i="1"/>
  <c r="G233" i="1"/>
  <c r="F230" i="1"/>
  <c r="E230" i="1"/>
  <c r="F226" i="1"/>
  <c r="E226" i="1"/>
  <c r="F511" i="1"/>
  <c r="E511" i="1"/>
  <c r="G513" i="1"/>
  <c r="G499" i="1"/>
  <c r="F497" i="1"/>
  <c r="E497" i="1"/>
  <c r="G578" i="1"/>
  <c r="G577" i="1"/>
  <c r="G576" i="1"/>
  <c r="F575" i="1"/>
  <c r="E575" i="1"/>
  <c r="I678" i="23"/>
  <c r="G369" i="1"/>
  <c r="F488" i="1" l="1"/>
  <c r="G492" i="1"/>
  <c r="E488" i="1"/>
  <c r="G574" i="1" l="1"/>
  <c r="F573" i="1"/>
  <c r="E573" i="1"/>
  <c r="I226" i="23"/>
  <c r="H223" i="23"/>
  <c r="G223" i="23"/>
  <c r="G573" i="1" l="1"/>
  <c r="I227" i="23"/>
  <c r="I194" i="23"/>
  <c r="J195" i="23"/>
  <c r="F328" i="1"/>
  <c r="E328" i="1"/>
  <c r="G329" i="1"/>
  <c r="H169" i="23" l="1"/>
  <c r="G169" i="23"/>
  <c r="H18" i="43" l="1"/>
  <c r="I167" i="1" l="1"/>
  <c r="I441" i="1" l="1"/>
  <c r="I378" i="1"/>
  <c r="I320" i="1"/>
  <c r="I305" i="1"/>
  <c r="I213" i="1"/>
  <c r="I212" i="1"/>
  <c r="I159" i="1"/>
  <c r="I121" i="1"/>
  <c r="I115" i="1"/>
  <c r="G23" i="44" l="1"/>
  <c r="G22" i="44"/>
  <c r="G18" i="44"/>
  <c r="F35" i="44"/>
  <c r="F33" i="44"/>
  <c r="F31" i="44"/>
  <c r="F27" i="44"/>
  <c r="F24" i="44"/>
  <c r="F15" i="44" s="1"/>
  <c r="F13" i="44" s="1"/>
  <c r="F14" i="44" s="1"/>
  <c r="BG23" i="52" l="1"/>
  <c r="AZ23" i="52"/>
  <c r="AS23" i="52"/>
  <c r="AL23" i="52"/>
  <c r="AE23" i="52"/>
  <c r="X23" i="52"/>
  <c r="Q23" i="52"/>
  <c r="BG12" i="52"/>
  <c r="AZ12" i="52"/>
  <c r="AS12" i="52"/>
  <c r="AL12" i="52"/>
  <c r="AE12" i="52"/>
  <c r="X12" i="52"/>
  <c r="Q12" i="52"/>
  <c r="J23" i="52"/>
  <c r="J12" i="52"/>
  <c r="AY30" i="51"/>
  <c r="AR30" i="51"/>
  <c r="AK30" i="51"/>
  <c r="AD30" i="51"/>
  <c r="W30" i="51"/>
  <c r="P30" i="51"/>
  <c r="AY11" i="51"/>
  <c r="AR11" i="51"/>
  <c r="AK11" i="51"/>
  <c r="AD11" i="51"/>
  <c r="W11" i="51"/>
  <c r="P11" i="51"/>
  <c r="D37" i="50" l="1"/>
  <c r="C37" i="50"/>
  <c r="D14" i="50"/>
  <c r="C14" i="50"/>
  <c r="C13" i="50" s="1"/>
  <c r="D38" i="50"/>
  <c r="D36" i="50"/>
  <c r="C38" i="50"/>
  <c r="C36" i="50"/>
  <c r="F15" i="50"/>
  <c r="E15" i="50"/>
  <c r="D31" i="50"/>
  <c r="C31" i="50"/>
  <c r="C30" i="50" s="1"/>
  <c r="D25" i="50"/>
  <c r="C25" i="50"/>
  <c r="D19" i="50"/>
  <c r="D18" i="50" s="1"/>
  <c r="D17" i="50" s="1"/>
  <c r="C19" i="50"/>
  <c r="C18" i="50" s="1"/>
  <c r="F21" i="50"/>
  <c r="E21" i="50"/>
  <c r="F20" i="50"/>
  <c r="E20" i="50"/>
  <c r="F33" i="50"/>
  <c r="E33" i="50"/>
  <c r="F32" i="50"/>
  <c r="E32" i="50"/>
  <c r="E22" i="50"/>
  <c r="F22" i="50"/>
  <c r="E31" i="50" l="1"/>
  <c r="E14" i="50"/>
  <c r="D30" i="50"/>
  <c r="D29" i="50" s="1"/>
  <c r="D13" i="50"/>
  <c r="F31" i="50"/>
  <c r="C12" i="50"/>
  <c r="F14" i="50"/>
  <c r="E19" i="50"/>
  <c r="E26" i="50"/>
  <c r="F19" i="50"/>
  <c r="E28" i="50"/>
  <c r="E34" i="50"/>
  <c r="F28" i="50"/>
  <c r="F26" i="50"/>
  <c r="E27" i="50"/>
  <c r="D24" i="50"/>
  <c r="D23" i="50" s="1"/>
  <c r="F27" i="50"/>
  <c r="F34" i="50"/>
  <c r="C24" i="50"/>
  <c r="C23" i="50" s="1"/>
  <c r="E30" i="50" l="1"/>
  <c r="E13" i="50"/>
  <c r="D12" i="50"/>
  <c r="F13" i="50"/>
  <c r="F38" i="50"/>
  <c r="E36" i="50"/>
  <c r="C29" i="50"/>
  <c r="E29" i="50" s="1"/>
  <c r="F30" i="50"/>
  <c r="F37" i="50"/>
  <c r="F18" i="50"/>
  <c r="E18" i="50"/>
  <c r="C17" i="50"/>
  <c r="F24" i="50"/>
  <c r="F23" i="50"/>
  <c r="E24" i="50"/>
  <c r="E37" i="50"/>
  <c r="E38" i="50"/>
  <c r="F36" i="50"/>
  <c r="F29" i="50" l="1"/>
  <c r="C35" i="50"/>
  <c r="E12" i="50"/>
  <c r="D35" i="50"/>
  <c r="F35" i="50" s="1"/>
  <c r="F12" i="50"/>
  <c r="E23" i="50"/>
  <c r="F17" i="50"/>
  <c r="E17" i="50"/>
  <c r="E35" i="50" l="1"/>
  <c r="Q16" i="47"/>
  <c r="W16" i="47" s="1"/>
  <c r="V16" i="47" s="1"/>
  <c r="AA16" i="47" s="1"/>
  <c r="L16" i="47"/>
  <c r="E11" i="48" l="1"/>
  <c r="E12" i="48"/>
  <c r="E13" i="48"/>
  <c r="E14" i="48"/>
  <c r="E15" i="48"/>
  <c r="C16" i="48"/>
  <c r="D16" i="48"/>
  <c r="Q15" i="47"/>
  <c r="W15" i="47" s="1"/>
  <c r="V15" i="47" s="1"/>
  <c r="E16" i="48" l="1"/>
  <c r="N58" i="46"/>
  <c r="M58" i="46"/>
  <c r="N57" i="46"/>
  <c r="M57" i="46"/>
  <c r="N56" i="46"/>
  <c r="M56" i="46"/>
  <c r="N55" i="46"/>
  <c r="M55" i="46"/>
  <c r="N54" i="46"/>
  <c r="M54" i="46"/>
  <c r="N53" i="46"/>
  <c r="M53" i="46"/>
  <c r="N52" i="46"/>
  <c r="M52" i="46"/>
  <c r="N51" i="46"/>
  <c r="M51" i="46"/>
  <c r="N50" i="46"/>
  <c r="M50" i="46"/>
  <c r="N49" i="46"/>
  <c r="M49" i="46"/>
  <c r="N48" i="46"/>
  <c r="M48" i="46"/>
  <c r="N47" i="46"/>
  <c r="M47" i="46"/>
  <c r="N46" i="46"/>
  <c r="M46" i="46"/>
  <c r="N45" i="46"/>
  <c r="M45" i="46"/>
  <c r="N44" i="46"/>
  <c r="M44" i="46"/>
  <c r="N43" i="46"/>
  <c r="M43" i="46"/>
  <c r="N42" i="46"/>
  <c r="M42" i="46"/>
  <c r="J41" i="46"/>
  <c r="I41" i="46"/>
  <c r="F41" i="46"/>
  <c r="N41" i="46" s="1"/>
  <c r="J70" i="46"/>
  <c r="F70" i="46"/>
  <c r="G76" i="46"/>
  <c r="C76" i="46"/>
  <c r="N75" i="46"/>
  <c r="M75" i="46"/>
  <c r="L75" i="46"/>
  <c r="N74" i="46"/>
  <c r="M74" i="46"/>
  <c r="L74" i="46"/>
  <c r="G75" i="46"/>
  <c r="C75" i="46"/>
  <c r="G73" i="46"/>
  <c r="G74" i="46"/>
  <c r="C74" i="46"/>
  <c r="N34" i="46"/>
  <c r="N20" i="46"/>
  <c r="N23" i="46"/>
  <c r="K75" i="46" l="1"/>
  <c r="K74" i="46"/>
  <c r="N93" i="46" l="1"/>
  <c r="M93" i="46"/>
  <c r="L93" i="46"/>
  <c r="G93" i="46"/>
  <c r="C93" i="46"/>
  <c r="N92" i="46"/>
  <c r="M92" i="46"/>
  <c r="L92" i="46"/>
  <c r="G92" i="46"/>
  <c r="C92" i="46"/>
  <c r="M91" i="46"/>
  <c r="L91" i="46"/>
  <c r="F91" i="46"/>
  <c r="N91" i="46" s="1"/>
  <c r="N90" i="46"/>
  <c r="M90" i="46"/>
  <c r="L90" i="46"/>
  <c r="G90" i="46"/>
  <c r="C90" i="46"/>
  <c r="N89" i="46"/>
  <c r="M89" i="46"/>
  <c r="L89" i="46"/>
  <c r="G89" i="46"/>
  <c r="C89" i="46"/>
  <c r="N88" i="46"/>
  <c r="M88" i="46"/>
  <c r="L88" i="46"/>
  <c r="G88" i="46"/>
  <c r="C88" i="46"/>
  <c r="N87" i="46"/>
  <c r="M87" i="46"/>
  <c r="L87" i="46"/>
  <c r="G87" i="46"/>
  <c r="C87" i="46"/>
  <c r="N86" i="46"/>
  <c r="M86" i="46"/>
  <c r="L86" i="46"/>
  <c r="G86" i="46"/>
  <c r="C86" i="46"/>
  <c r="J85" i="46"/>
  <c r="J83" i="46" s="1"/>
  <c r="J82" i="46" s="1"/>
  <c r="I85" i="46"/>
  <c r="I83" i="46" s="1"/>
  <c r="I82" i="46" s="1"/>
  <c r="H85" i="46"/>
  <c r="F85" i="46"/>
  <c r="F83" i="46" s="1"/>
  <c r="E85" i="46"/>
  <c r="D85" i="46"/>
  <c r="L85" i="46" s="1"/>
  <c r="N84" i="46"/>
  <c r="K84" i="46" s="1"/>
  <c r="K83" i="46" s="1"/>
  <c r="M84" i="46"/>
  <c r="L84" i="46"/>
  <c r="G84" i="46"/>
  <c r="H83" i="46"/>
  <c r="E83" i="46"/>
  <c r="L82" i="46"/>
  <c r="N81" i="46"/>
  <c r="M81" i="46"/>
  <c r="L81" i="46"/>
  <c r="G81" i="46"/>
  <c r="C81" i="46"/>
  <c r="G80" i="46"/>
  <c r="F80" i="46"/>
  <c r="N80" i="46" s="1"/>
  <c r="E80" i="46"/>
  <c r="M80" i="46" s="1"/>
  <c r="D80" i="46"/>
  <c r="L80" i="46" s="1"/>
  <c r="J79" i="46"/>
  <c r="I79" i="46"/>
  <c r="H79" i="46"/>
  <c r="H32" i="46" s="1"/>
  <c r="H31" i="46" s="1"/>
  <c r="N78" i="46"/>
  <c r="M78" i="46"/>
  <c r="L78" i="46"/>
  <c r="G78" i="46"/>
  <c r="C78" i="46"/>
  <c r="M77" i="46"/>
  <c r="L77" i="46"/>
  <c r="J77" i="46"/>
  <c r="G77" i="46" s="1"/>
  <c r="F77" i="46"/>
  <c r="N73" i="46"/>
  <c r="M73" i="46"/>
  <c r="L73" i="46"/>
  <c r="C73" i="46"/>
  <c r="K73" i="46" s="1"/>
  <c r="N72" i="46"/>
  <c r="M72" i="46"/>
  <c r="L72" i="46"/>
  <c r="G72" i="46"/>
  <c r="C72" i="46"/>
  <c r="N71" i="46"/>
  <c r="M71" i="46"/>
  <c r="L71" i="46"/>
  <c r="C71" i="46"/>
  <c r="K71" i="46" s="1"/>
  <c r="N70" i="46"/>
  <c r="M70" i="46"/>
  <c r="L70" i="46"/>
  <c r="G70" i="46"/>
  <c r="C70" i="46"/>
  <c r="N69" i="46"/>
  <c r="M69" i="46"/>
  <c r="L69" i="46"/>
  <c r="C69" i="46"/>
  <c r="N68" i="46"/>
  <c r="M68" i="46"/>
  <c r="L68" i="46"/>
  <c r="G68" i="46"/>
  <c r="C68" i="46"/>
  <c r="N67" i="46"/>
  <c r="M67" i="46"/>
  <c r="L67" i="46"/>
  <c r="C67" i="46"/>
  <c r="N66" i="46"/>
  <c r="M66" i="46"/>
  <c r="L66" i="46"/>
  <c r="C66" i="46"/>
  <c r="N65" i="46"/>
  <c r="M65" i="46"/>
  <c r="L65" i="46"/>
  <c r="C65" i="46"/>
  <c r="N64" i="46"/>
  <c r="M64" i="46"/>
  <c r="L64" i="46"/>
  <c r="C64" i="46"/>
  <c r="N63" i="46"/>
  <c r="M63" i="46"/>
  <c r="L63" i="46"/>
  <c r="C63" i="46"/>
  <c r="N62" i="46"/>
  <c r="M62" i="46"/>
  <c r="L62" i="46"/>
  <c r="C62" i="46"/>
  <c r="N61" i="46"/>
  <c r="M61" i="46"/>
  <c r="L61" i="46"/>
  <c r="C61" i="46"/>
  <c r="N60" i="46"/>
  <c r="M60" i="46"/>
  <c r="L60" i="46"/>
  <c r="C60" i="46"/>
  <c r="M59" i="46"/>
  <c r="L59" i="46"/>
  <c r="J59" i="46"/>
  <c r="J40" i="46" s="1"/>
  <c r="F59" i="46"/>
  <c r="C59" i="46" s="1"/>
  <c r="L58" i="46"/>
  <c r="G58" i="46"/>
  <c r="L57" i="46"/>
  <c r="G57" i="46"/>
  <c r="C57" i="46"/>
  <c r="L56" i="46"/>
  <c r="G56" i="46"/>
  <c r="C56" i="46"/>
  <c r="L55" i="46"/>
  <c r="G55" i="46"/>
  <c r="C55" i="46"/>
  <c r="L54" i="46"/>
  <c r="G54" i="46"/>
  <c r="C54" i="46"/>
  <c r="L53" i="46"/>
  <c r="G53" i="46"/>
  <c r="C53" i="46"/>
  <c r="L52" i="46"/>
  <c r="G52" i="46"/>
  <c r="C52" i="46"/>
  <c r="L51" i="46"/>
  <c r="G51" i="46"/>
  <c r="C51" i="46"/>
  <c r="L50" i="46"/>
  <c r="G50" i="46"/>
  <c r="C50" i="46"/>
  <c r="L49" i="46"/>
  <c r="G49" i="46"/>
  <c r="C49" i="46"/>
  <c r="L48" i="46"/>
  <c r="G48" i="46"/>
  <c r="C48" i="46"/>
  <c r="L47" i="46"/>
  <c r="G47" i="46"/>
  <c r="C47" i="46"/>
  <c r="L46" i="46"/>
  <c r="G46" i="46"/>
  <c r="C46" i="46"/>
  <c r="L45" i="46"/>
  <c r="G45" i="46"/>
  <c r="C45" i="46"/>
  <c r="L44" i="46"/>
  <c r="G44" i="46"/>
  <c r="C44" i="46"/>
  <c r="L43" i="46"/>
  <c r="G43" i="46"/>
  <c r="C43" i="46"/>
  <c r="L42" i="46"/>
  <c r="G42" i="46"/>
  <c r="C42" i="46"/>
  <c r="L41" i="46"/>
  <c r="I40" i="46"/>
  <c r="E41" i="46"/>
  <c r="L40" i="46"/>
  <c r="N39" i="46"/>
  <c r="K39" i="46" s="1"/>
  <c r="K38" i="46" s="1"/>
  <c r="M39" i="46"/>
  <c r="L39" i="46"/>
  <c r="G39" i="46"/>
  <c r="G38" i="46" s="1"/>
  <c r="C39" i="46"/>
  <c r="C38" i="46" s="1"/>
  <c r="M38" i="46"/>
  <c r="L38" i="46"/>
  <c r="J38" i="46"/>
  <c r="F38" i="46"/>
  <c r="G37" i="46"/>
  <c r="G35" i="46" s="1"/>
  <c r="N36" i="46"/>
  <c r="K36" i="46" s="1"/>
  <c r="K35" i="46" s="1"/>
  <c r="M36" i="46"/>
  <c r="L36" i="46"/>
  <c r="C36" i="46"/>
  <c r="C35" i="46" s="1"/>
  <c r="M35" i="46"/>
  <c r="L35" i="46"/>
  <c r="J35" i="46"/>
  <c r="F35" i="46"/>
  <c r="K34" i="46"/>
  <c r="M34" i="46"/>
  <c r="L34" i="46"/>
  <c r="G34" i="46"/>
  <c r="G33" i="46" s="1"/>
  <c r="C34" i="46"/>
  <c r="C33" i="46" s="1"/>
  <c r="M33" i="46"/>
  <c r="L33" i="46"/>
  <c r="J33" i="46"/>
  <c r="F33" i="46"/>
  <c r="N24" i="46"/>
  <c r="M24" i="46"/>
  <c r="L24" i="46"/>
  <c r="G24" i="46"/>
  <c r="C24" i="46"/>
  <c r="K23" i="46"/>
  <c r="M23" i="46"/>
  <c r="L23" i="46"/>
  <c r="G23" i="46"/>
  <c r="C23" i="46"/>
  <c r="N22" i="46"/>
  <c r="M22" i="46"/>
  <c r="L22" i="46"/>
  <c r="G22" i="46"/>
  <c r="C22" i="46"/>
  <c r="N21" i="46"/>
  <c r="M21" i="46"/>
  <c r="L21" i="46"/>
  <c r="G21" i="46"/>
  <c r="C21" i="46"/>
  <c r="K20" i="46"/>
  <c r="M20" i="46"/>
  <c r="L20" i="46"/>
  <c r="G20" i="46"/>
  <c r="C20" i="46"/>
  <c r="J18" i="46"/>
  <c r="I18" i="46"/>
  <c r="H18" i="46"/>
  <c r="F18" i="46"/>
  <c r="E18" i="46"/>
  <c r="D18" i="46"/>
  <c r="K81" i="46" l="1"/>
  <c r="K78" i="46"/>
  <c r="C85" i="46"/>
  <c r="C83" i="46" s="1"/>
  <c r="F40" i="46"/>
  <c r="M85" i="46"/>
  <c r="E40" i="46"/>
  <c r="M40" i="46" s="1"/>
  <c r="M41" i="46"/>
  <c r="G82" i="46"/>
  <c r="D83" i="46"/>
  <c r="L83" i="46" s="1"/>
  <c r="G85" i="46"/>
  <c r="L18" i="46"/>
  <c r="E79" i="46"/>
  <c r="M79" i="46" s="1"/>
  <c r="I32" i="46"/>
  <c r="I31" i="46" s="1"/>
  <c r="N59" i="46"/>
  <c r="D79" i="46"/>
  <c r="L79" i="46" s="1"/>
  <c r="L32" i="46" s="1"/>
  <c r="L31" i="46" s="1"/>
  <c r="G79" i="46"/>
  <c r="N83" i="46"/>
  <c r="M83" i="46"/>
  <c r="K22" i="46"/>
  <c r="N35" i="46"/>
  <c r="N38" i="46"/>
  <c r="K44" i="46"/>
  <c r="K45" i="46"/>
  <c r="K48" i="46"/>
  <c r="K49" i="46"/>
  <c r="N77" i="46"/>
  <c r="K77" i="46" s="1"/>
  <c r="E82" i="46"/>
  <c r="M82" i="46" s="1"/>
  <c r="C91" i="46"/>
  <c r="K72" i="46"/>
  <c r="N85" i="46"/>
  <c r="K24" i="46"/>
  <c r="G41" i="46"/>
  <c r="K42" i="46"/>
  <c r="K43" i="46"/>
  <c r="K46" i="46"/>
  <c r="K47" i="46"/>
  <c r="K50" i="46"/>
  <c r="N40" i="46"/>
  <c r="K70" i="46"/>
  <c r="J32" i="46"/>
  <c r="J31" i="46" s="1"/>
  <c r="M18" i="46"/>
  <c r="F79" i="46"/>
  <c r="N79" i="46" s="1"/>
  <c r="G83" i="46"/>
  <c r="N33" i="46"/>
  <c r="G18" i="46"/>
  <c r="K21" i="46"/>
  <c r="C18" i="46"/>
  <c r="K33" i="46"/>
  <c r="K80" i="46"/>
  <c r="G59" i="46"/>
  <c r="C77" i="46"/>
  <c r="F82" i="46"/>
  <c r="K82" i="46"/>
  <c r="N18" i="46"/>
  <c r="C41" i="46"/>
  <c r="C40" i="46" s="1"/>
  <c r="C80" i="46"/>
  <c r="K79" i="46" l="1"/>
  <c r="E32" i="46"/>
  <c r="E31" i="46" s="1"/>
  <c r="G40" i="46"/>
  <c r="G32" i="46" s="1"/>
  <c r="G31" i="46" s="1"/>
  <c r="D11" i="46" s="1"/>
  <c r="D32" i="46"/>
  <c r="D31" i="46" s="1"/>
  <c r="M32" i="46"/>
  <c r="M31" i="46" s="1"/>
  <c r="C82" i="46"/>
  <c r="K18" i="46"/>
  <c r="K41" i="46"/>
  <c r="K40" i="46" s="1"/>
  <c r="K32" i="46" s="1"/>
  <c r="K31" i="46" s="1"/>
  <c r="C79" i="46"/>
  <c r="C32" i="46" s="1"/>
  <c r="F32" i="46"/>
  <c r="F31" i="46" s="1"/>
  <c r="N32" i="46"/>
  <c r="N82" i="46"/>
  <c r="C31" i="46" l="1"/>
  <c r="D95" i="46" s="1"/>
  <c r="N31" i="46"/>
  <c r="F29" i="45"/>
  <c r="E29" i="45"/>
  <c r="F26" i="45"/>
  <c r="E26" i="45"/>
  <c r="F22" i="45"/>
  <c r="E22" i="45"/>
  <c r="F21" i="45"/>
  <c r="E21" i="45"/>
  <c r="F20" i="45"/>
  <c r="E20" i="45"/>
  <c r="F14" i="45"/>
  <c r="E14" i="45"/>
  <c r="D15" i="44"/>
  <c r="E60" i="45" l="1"/>
  <c r="F60" i="45"/>
  <c r="E61" i="45" s="1"/>
  <c r="G36" i="44"/>
  <c r="E35" i="44"/>
  <c r="D35" i="44"/>
  <c r="G34" i="44"/>
  <c r="E33" i="44"/>
  <c r="D33" i="44"/>
  <c r="G32" i="44"/>
  <c r="E31" i="44"/>
  <c r="D31" i="44"/>
  <c r="G30" i="44"/>
  <c r="G29" i="44"/>
  <c r="G28" i="44"/>
  <c r="E27" i="44"/>
  <c r="H27" i="44" s="1"/>
  <c r="D27" i="44"/>
  <c r="D13" i="44" s="1"/>
  <c r="G26" i="44"/>
  <c r="G25" i="44"/>
  <c r="G24" i="44"/>
  <c r="G21" i="44"/>
  <c r="G20" i="44"/>
  <c r="G19" i="44"/>
  <c r="G17" i="44"/>
  <c r="G16" i="44"/>
  <c r="E15" i="44"/>
  <c r="G27" i="44" l="1"/>
  <c r="G31" i="44"/>
  <c r="G33" i="44"/>
  <c r="G15" i="44"/>
  <c r="E13" i="44"/>
  <c r="G35" i="44"/>
  <c r="H31" i="44" l="1"/>
  <c r="H15" i="44"/>
  <c r="G13" i="44"/>
  <c r="H33" i="44"/>
  <c r="H35" i="44"/>
  <c r="H593" i="1" l="1"/>
  <c r="G593" i="1"/>
  <c r="H591" i="1"/>
  <c r="G591" i="1"/>
  <c r="H589" i="1"/>
  <c r="G589" i="1"/>
  <c r="H587" i="1"/>
  <c r="G587" i="1"/>
  <c r="H585" i="1"/>
  <c r="G585" i="1"/>
  <c r="H583" i="1"/>
  <c r="G583" i="1"/>
  <c r="H579" i="1"/>
  <c r="G579" i="1"/>
  <c r="H572" i="1"/>
  <c r="G572" i="1"/>
  <c r="H570" i="1"/>
  <c r="H568" i="1"/>
  <c r="G568" i="1"/>
  <c r="H567" i="1"/>
  <c r="G567" i="1"/>
  <c r="H566" i="1"/>
  <c r="G566" i="1"/>
  <c r="H565" i="1"/>
  <c r="G565" i="1"/>
  <c r="G564" i="1"/>
  <c r="G563" i="1"/>
  <c r="H562" i="1"/>
  <c r="G562" i="1"/>
  <c r="H561" i="1"/>
  <c r="G561" i="1"/>
  <c r="H560" i="1"/>
  <c r="G560" i="1"/>
  <c r="H558" i="1"/>
  <c r="G558" i="1"/>
  <c r="G556" i="1"/>
  <c r="G554" i="1"/>
  <c r="H552" i="1"/>
  <c r="G552" i="1"/>
  <c r="G550" i="1"/>
  <c r="G548" i="1"/>
  <c r="G546" i="1"/>
  <c r="G544" i="1"/>
  <c r="H543" i="1"/>
  <c r="G543" i="1"/>
  <c r="G541" i="1"/>
  <c r="G540" i="1"/>
  <c r="H539" i="1"/>
  <c r="G539" i="1"/>
  <c r="H536" i="1"/>
  <c r="G536" i="1"/>
  <c r="H535" i="1"/>
  <c r="G535" i="1"/>
  <c r="H533" i="1"/>
  <c r="G533" i="1"/>
  <c r="H532" i="1"/>
  <c r="G532" i="1"/>
  <c r="H529" i="1"/>
  <c r="G529" i="1"/>
  <c r="H526" i="1"/>
  <c r="G526" i="1"/>
  <c r="H525" i="1"/>
  <c r="G525" i="1"/>
  <c r="G524" i="1"/>
  <c r="H522" i="1"/>
  <c r="G522" i="1"/>
  <c r="G518" i="1"/>
  <c r="H515" i="1"/>
  <c r="G515" i="1"/>
  <c r="G512" i="1"/>
  <c r="H510" i="1"/>
  <c r="G510" i="1"/>
  <c r="G509" i="1"/>
  <c r="G508" i="1"/>
  <c r="G507" i="1"/>
  <c r="H504" i="1"/>
  <c r="G504" i="1"/>
  <c r="H503" i="1"/>
  <c r="G503" i="1"/>
  <c r="H501" i="1"/>
  <c r="G501" i="1"/>
  <c r="H498" i="1"/>
  <c r="G498" i="1"/>
  <c r="H491" i="1"/>
  <c r="G491" i="1"/>
  <c r="H490" i="1"/>
  <c r="G490" i="1"/>
  <c r="H486" i="1"/>
  <c r="G486" i="1"/>
  <c r="H485" i="1"/>
  <c r="G485" i="1"/>
  <c r="H484" i="1"/>
  <c r="G484" i="1"/>
  <c r="H480" i="1"/>
  <c r="G480" i="1"/>
  <c r="H476" i="1"/>
  <c r="G476" i="1"/>
  <c r="H474" i="1"/>
  <c r="G474" i="1"/>
  <c r="H471" i="1"/>
  <c r="G471" i="1"/>
  <c r="H470" i="1"/>
  <c r="G470" i="1"/>
  <c r="H467" i="1"/>
  <c r="G467" i="1"/>
  <c r="H466" i="1"/>
  <c r="G466" i="1"/>
  <c r="G465" i="1"/>
  <c r="G464" i="1"/>
  <c r="H463" i="1"/>
  <c r="G463" i="1"/>
  <c r="H459" i="1"/>
  <c r="G459" i="1"/>
  <c r="H455" i="1"/>
  <c r="G455" i="1"/>
  <c r="H454" i="1"/>
  <c r="G454" i="1"/>
  <c r="H453" i="1"/>
  <c r="G453" i="1"/>
  <c r="H449" i="1"/>
  <c r="G449" i="1"/>
  <c r="H446" i="1"/>
  <c r="G446" i="1"/>
  <c r="H444" i="1"/>
  <c r="G444" i="1"/>
  <c r="H442" i="1"/>
  <c r="G442" i="1"/>
  <c r="H441" i="1"/>
  <c r="G441" i="1"/>
  <c r="G440" i="1"/>
  <c r="H437" i="1"/>
  <c r="G437" i="1"/>
  <c r="H433" i="1"/>
  <c r="G433" i="1"/>
  <c r="H431" i="1"/>
  <c r="G431" i="1"/>
  <c r="H423" i="1"/>
  <c r="G423" i="1"/>
  <c r="H421" i="1"/>
  <c r="G421" i="1"/>
  <c r="H418" i="1"/>
  <c r="G418" i="1"/>
  <c r="H416" i="1"/>
  <c r="G416" i="1"/>
  <c r="H415" i="1"/>
  <c r="G415" i="1"/>
  <c r="G414" i="1"/>
  <c r="H412" i="1"/>
  <c r="G412" i="1"/>
  <c r="H410" i="1"/>
  <c r="G410" i="1"/>
  <c r="G408" i="1"/>
  <c r="G407" i="1"/>
  <c r="H406" i="1"/>
  <c r="G406" i="1"/>
  <c r="H405" i="1"/>
  <c r="G405" i="1"/>
  <c r="H402" i="1"/>
  <c r="G402" i="1"/>
  <c r="H399" i="1"/>
  <c r="G399" i="1"/>
  <c r="G396" i="1"/>
  <c r="G395" i="1"/>
  <c r="G394" i="1"/>
  <c r="H392" i="1"/>
  <c r="G392" i="1"/>
  <c r="H390" i="1"/>
  <c r="G390" i="1"/>
  <c r="H388" i="1"/>
  <c r="G388" i="1"/>
  <c r="H387" i="1"/>
  <c r="G387" i="1"/>
  <c r="H386" i="1"/>
  <c r="G386" i="1"/>
  <c r="H384" i="1"/>
  <c r="G384" i="1"/>
  <c r="H381" i="1"/>
  <c r="G381" i="1"/>
  <c r="H379" i="1"/>
  <c r="G379" i="1"/>
  <c r="G378" i="1"/>
  <c r="H375" i="1"/>
  <c r="G375" i="1"/>
  <c r="H373" i="1"/>
  <c r="G373" i="1"/>
  <c r="H372" i="1"/>
  <c r="G372" i="1"/>
  <c r="H368" i="1"/>
  <c r="H365" i="1"/>
  <c r="G365" i="1"/>
  <c r="H362" i="1"/>
  <c r="G362" i="1"/>
  <c r="G361" i="1"/>
  <c r="H356" i="1"/>
  <c r="G356" i="1"/>
  <c r="H355" i="1"/>
  <c r="G355" i="1"/>
  <c r="H354" i="1"/>
  <c r="G354" i="1"/>
  <c r="H348" i="1"/>
  <c r="G348" i="1"/>
  <c r="H346" i="1"/>
  <c r="G346" i="1"/>
  <c r="H344" i="1"/>
  <c r="G344" i="1"/>
  <c r="H343" i="1"/>
  <c r="G343" i="1"/>
  <c r="H342" i="1"/>
  <c r="G342" i="1"/>
  <c r="H339" i="1"/>
  <c r="G339" i="1"/>
  <c r="H335" i="1"/>
  <c r="G335" i="1"/>
  <c r="H330" i="1"/>
  <c r="H327" i="1"/>
  <c r="H326" i="1"/>
  <c r="G326" i="1"/>
  <c r="H324" i="1"/>
  <c r="G324" i="1"/>
  <c r="H323" i="1"/>
  <c r="G323" i="1"/>
  <c r="G321" i="1"/>
  <c r="G320" i="1"/>
  <c r="H315" i="1"/>
  <c r="G315" i="1"/>
  <c r="H313" i="1"/>
  <c r="G313" i="1"/>
  <c r="H308" i="1"/>
  <c r="G308" i="1"/>
  <c r="H306" i="1"/>
  <c r="G306" i="1"/>
  <c r="H305" i="1"/>
  <c r="G305" i="1"/>
  <c r="G301" i="1"/>
  <c r="H299" i="1"/>
  <c r="G299" i="1"/>
  <c r="H295" i="1"/>
  <c r="G295" i="1"/>
  <c r="G290" i="1"/>
  <c r="H283" i="1"/>
  <c r="G283" i="1"/>
  <c r="G282" i="1"/>
  <c r="G281" i="1"/>
  <c r="H277" i="1"/>
  <c r="G277" i="1"/>
  <c r="H275" i="1"/>
  <c r="G275" i="1"/>
  <c r="G273" i="1"/>
  <c r="H270" i="1"/>
  <c r="G270" i="1"/>
  <c r="H269" i="1"/>
  <c r="G269" i="1"/>
  <c r="H263" i="1"/>
  <c r="G263" i="1"/>
  <c r="H258" i="1"/>
  <c r="G258" i="1"/>
  <c r="H249" i="1"/>
  <c r="G249" i="1"/>
  <c r="H248" i="1"/>
  <c r="H239" i="1"/>
  <c r="G239" i="1"/>
  <c r="H238" i="1"/>
  <c r="G238" i="1"/>
  <c r="G237" i="1"/>
  <c r="G236" i="1"/>
  <c r="H235" i="1"/>
  <c r="G235" i="1"/>
  <c r="H232" i="1"/>
  <c r="G232" i="1"/>
  <c r="G231" i="1"/>
  <c r="H229" i="1"/>
  <c r="G229" i="1"/>
  <c r="G226" i="1"/>
  <c r="H222" i="1"/>
  <c r="G222" i="1"/>
  <c r="H221" i="1"/>
  <c r="G221" i="1"/>
  <c r="H220" i="1"/>
  <c r="G220" i="1"/>
  <c r="H219" i="1"/>
  <c r="G219" i="1"/>
  <c r="H217" i="1"/>
  <c r="G217" i="1"/>
  <c r="H214" i="1"/>
  <c r="G214" i="1"/>
  <c r="H213" i="1"/>
  <c r="G213" i="1"/>
  <c r="H212" i="1"/>
  <c r="G212" i="1"/>
  <c r="H209" i="1"/>
  <c r="G209" i="1"/>
  <c r="H205" i="1"/>
  <c r="G205" i="1"/>
  <c r="H204" i="1"/>
  <c r="G204" i="1"/>
  <c r="H201" i="1"/>
  <c r="G201" i="1"/>
  <c r="H200" i="1"/>
  <c r="G200" i="1"/>
  <c r="H197" i="1"/>
  <c r="G197" i="1"/>
  <c r="H196" i="1"/>
  <c r="G196" i="1"/>
  <c r="H193" i="1"/>
  <c r="G193" i="1"/>
  <c r="H192" i="1"/>
  <c r="G192" i="1"/>
  <c r="G188" i="1"/>
  <c r="H184" i="1"/>
  <c r="G184" i="1"/>
  <c r="G178" i="1"/>
  <c r="H176" i="1"/>
  <c r="G176" i="1"/>
  <c r="H174" i="1"/>
  <c r="G174" i="1"/>
  <c r="H173" i="1"/>
  <c r="G173" i="1"/>
  <c r="H168" i="1"/>
  <c r="G168" i="1"/>
  <c r="G167" i="1"/>
  <c r="H165" i="1"/>
  <c r="G165" i="1"/>
  <c r="G164" i="1"/>
  <c r="G163" i="1"/>
  <c r="G162" i="1"/>
  <c r="H161" i="1"/>
  <c r="G161" i="1"/>
  <c r="H160" i="1"/>
  <c r="G159" i="1"/>
  <c r="H157" i="1"/>
  <c r="G157" i="1"/>
  <c r="H155" i="1"/>
  <c r="G155" i="1"/>
  <c r="H150" i="1"/>
  <c r="G150" i="1"/>
  <c r="G147" i="1"/>
  <c r="H145" i="1"/>
  <c r="G145" i="1"/>
  <c r="H141" i="1"/>
  <c r="G141" i="1"/>
  <c r="H139" i="1"/>
  <c r="G139" i="1"/>
  <c r="H138" i="1"/>
  <c r="G138" i="1"/>
  <c r="H137" i="1"/>
  <c r="G137" i="1"/>
  <c r="H136" i="1"/>
  <c r="H135" i="1"/>
  <c r="G135" i="1"/>
  <c r="H133" i="1"/>
  <c r="G133" i="1"/>
  <c r="G131" i="1"/>
  <c r="G129" i="1"/>
  <c r="H125" i="1"/>
  <c r="G125" i="1"/>
  <c r="G122" i="1"/>
  <c r="H121" i="1"/>
  <c r="G121" i="1"/>
  <c r="G117" i="1"/>
  <c r="G115" i="1"/>
  <c r="H113" i="1"/>
  <c r="G113" i="1"/>
  <c r="H112" i="1"/>
  <c r="G112" i="1"/>
  <c r="H111" i="1"/>
  <c r="G111" i="1"/>
  <c r="H109" i="1"/>
  <c r="G109" i="1"/>
  <c r="G107" i="1"/>
  <c r="H105" i="1"/>
  <c r="G104" i="1"/>
  <c r="H103" i="1"/>
  <c r="G103" i="1"/>
  <c r="H101" i="1"/>
  <c r="G101" i="1"/>
  <c r="H97" i="1"/>
  <c r="G97" i="1"/>
  <c r="H95" i="1"/>
  <c r="G95" i="1"/>
  <c r="H93" i="1"/>
  <c r="G93" i="1"/>
  <c r="H89" i="1"/>
  <c r="G89" i="1"/>
  <c r="H86" i="1"/>
  <c r="G86" i="1"/>
  <c r="G84" i="1"/>
  <c r="H80" i="1"/>
  <c r="G80" i="1"/>
  <c r="G78" i="1"/>
  <c r="H76" i="1"/>
  <c r="G76" i="1"/>
  <c r="H74" i="1"/>
  <c r="G74" i="1"/>
  <c r="G71" i="1"/>
  <c r="H66" i="1"/>
  <c r="G66" i="1"/>
  <c r="H64" i="1"/>
  <c r="G64" i="1"/>
  <c r="H60" i="1"/>
  <c r="G60" i="1"/>
  <c r="H59" i="1"/>
  <c r="G59" i="1"/>
  <c r="G57" i="1"/>
  <c r="H56" i="1"/>
  <c r="G56" i="1"/>
  <c r="H55" i="1"/>
  <c r="G55" i="1"/>
  <c r="H54" i="1"/>
  <c r="G54" i="1"/>
  <c r="H52" i="1"/>
  <c r="G52" i="1"/>
  <c r="H49" i="1"/>
  <c r="G49" i="1"/>
  <c r="H47" i="1"/>
  <c r="G47" i="1"/>
  <c r="H46" i="1"/>
  <c r="G46" i="1"/>
  <c r="H44" i="1"/>
  <c r="G44" i="1"/>
  <c r="H43" i="1"/>
  <c r="G43" i="1"/>
  <c r="G42" i="1"/>
  <c r="G41" i="1"/>
  <c r="H39" i="1"/>
  <c r="H38" i="1"/>
  <c r="H37" i="1"/>
  <c r="H36" i="1"/>
  <c r="G36" i="1"/>
  <c r="H35" i="1"/>
  <c r="G35" i="1"/>
  <c r="H31" i="1"/>
  <c r="G31" i="1"/>
  <c r="H20" i="1"/>
  <c r="G20" i="1"/>
  <c r="H18" i="1"/>
  <c r="G18" i="1"/>
  <c r="H15" i="1"/>
  <c r="G15" i="1"/>
  <c r="F27" i="1"/>
  <c r="E27" i="1"/>
  <c r="F26" i="1"/>
  <c r="E26" i="1"/>
  <c r="F29" i="1"/>
  <c r="E29" i="1"/>
  <c r="F28" i="1"/>
  <c r="E28" i="1"/>
  <c r="F166" i="1"/>
  <c r="E166" i="1"/>
  <c r="H166" i="1" s="1"/>
  <c r="H821" i="23"/>
  <c r="H820" i="23" s="1"/>
  <c r="G821" i="23"/>
  <c r="G820" i="23" s="1"/>
  <c r="F322" i="1"/>
  <c r="E322" i="1"/>
  <c r="D322" i="1"/>
  <c r="F319" i="1"/>
  <c r="E319" i="1"/>
  <c r="F545" i="1"/>
  <c r="E545" i="1"/>
  <c r="H27" i="1" l="1"/>
  <c r="G28" i="1"/>
  <c r="G29" i="1"/>
  <c r="G27" i="1"/>
  <c r="F25" i="1"/>
  <c r="E25" i="1"/>
  <c r="H26" i="1"/>
  <c r="G26" i="1"/>
  <c r="G319" i="1"/>
  <c r="E318" i="1"/>
  <c r="G322" i="1"/>
  <c r="G166" i="1"/>
  <c r="G545" i="1"/>
  <c r="H322" i="1"/>
  <c r="F318" i="1"/>
  <c r="E555" i="1"/>
  <c r="F555" i="1"/>
  <c r="F553" i="1"/>
  <c r="E553" i="1"/>
  <c r="G25" i="1" l="1"/>
  <c r="G553" i="1"/>
  <c r="G318" i="1"/>
  <c r="G555" i="1"/>
  <c r="F48" i="1"/>
  <c r="E48" i="1"/>
  <c r="H48" i="1" s="1"/>
  <c r="F45" i="1"/>
  <c r="E45" i="1"/>
  <c r="H45" i="1" s="1"/>
  <c r="G180" i="1" l="1"/>
  <c r="G48" i="1"/>
  <c r="G45" i="1"/>
  <c r="F469" i="1"/>
  <c r="E469" i="1"/>
  <c r="E439" i="1"/>
  <c r="F439" i="1"/>
  <c r="E468" i="1" l="1"/>
  <c r="H468" i="1" s="1"/>
  <c r="H469" i="1"/>
  <c r="F468" i="1"/>
  <c r="G469" i="1"/>
  <c r="G439" i="1"/>
  <c r="F393" i="1"/>
  <c r="E393" i="1"/>
  <c r="F377" i="1"/>
  <c r="F363" i="1"/>
  <c r="E363" i="1"/>
  <c r="E377" i="1"/>
  <c r="F248" i="1"/>
  <c r="G248" i="1" s="1"/>
  <c r="F280" i="1"/>
  <c r="E280" i="1"/>
  <c r="E274" i="1"/>
  <c r="I274" i="1" s="1"/>
  <c r="F211" i="1"/>
  <c r="E211" i="1"/>
  <c r="F187" i="1"/>
  <c r="E187" i="1"/>
  <c r="D187" i="1"/>
  <c r="D186" i="1" s="1"/>
  <c r="D185" i="1" s="1"/>
  <c r="F360" i="1" l="1"/>
  <c r="F359" i="1" s="1"/>
  <c r="G363" i="1"/>
  <c r="G280" i="1"/>
  <c r="E360" i="1"/>
  <c r="E359" i="1" s="1"/>
  <c r="G393" i="1"/>
  <c r="G468" i="1"/>
  <c r="F186" i="1"/>
  <c r="G187" i="1"/>
  <c r="E186" i="1"/>
  <c r="G274" i="1"/>
  <c r="H274" i="1"/>
  <c r="E376" i="1"/>
  <c r="H376" i="1" s="1"/>
  <c r="H377" i="1"/>
  <c r="F376" i="1"/>
  <c r="G377" i="1"/>
  <c r="G211" i="1"/>
  <c r="F120" i="1"/>
  <c r="E120" i="1"/>
  <c r="F119" i="1"/>
  <c r="E119" i="1"/>
  <c r="F136" i="1"/>
  <c r="G136" i="1" s="1"/>
  <c r="F116" i="1"/>
  <c r="E116" i="1"/>
  <c r="F106" i="1"/>
  <c r="E106" i="1"/>
  <c r="F114" i="1"/>
  <c r="E114" i="1"/>
  <c r="F75" i="1"/>
  <c r="E75" i="1"/>
  <c r="F58" i="1"/>
  <c r="E58" i="1"/>
  <c r="H58" i="1" s="1"/>
  <c r="F40" i="1"/>
  <c r="E40" i="1"/>
  <c r="F34" i="1"/>
  <c r="E34" i="1"/>
  <c r="H34" i="1" s="1"/>
  <c r="F592" i="1"/>
  <c r="E592" i="1"/>
  <c r="F590" i="1"/>
  <c r="E590" i="1"/>
  <c r="F588" i="1"/>
  <c r="E588" i="1"/>
  <c r="F586" i="1"/>
  <c r="E586" i="1"/>
  <c r="F584" i="1"/>
  <c r="E584" i="1"/>
  <c r="F582" i="1"/>
  <c r="E582" i="1"/>
  <c r="E581" i="1"/>
  <c r="F580" i="1"/>
  <c r="G575" i="1"/>
  <c r="F571" i="1"/>
  <c r="E571" i="1"/>
  <c r="F559" i="1"/>
  <c r="E559" i="1"/>
  <c r="F557" i="1"/>
  <c r="E557" i="1"/>
  <c r="F551" i="1"/>
  <c r="E551" i="1"/>
  <c r="F549" i="1"/>
  <c r="E549" i="1"/>
  <c r="F547" i="1"/>
  <c r="E547" i="1"/>
  <c r="F542" i="1"/>
  <c r="E542" i="1"/>
  <c r="F538" i="1"/>
  <c r="E538" i="1"/>
  <c r="F534" i="1"/>
  <c r="E534" i="1"/>
  <c r="F528" i="1"/>
  <c r="E528" i="1"/>
  <c r="E523" i="1"/>
  <c r="F523" i="1"/>
  <c r="F521" i="1"/>
  <c r="E521" i="1"/>
  <c r="F517" i="1"/>
  <c r="E517" i="1"/>
  <c r="F514" i="1"/>
  <c r="E514" i="1"/>
  <c r="F506" i="1"/>
  <c r="E506" i="1"/>
  <c r="F502" i="1"/>
  <c r="E502" i="1"/>
  <c r="F500" i="1"/>
  <c r="E500" i="1"/>
  <c r="F483" i="1"/>
  <c r="E483" i="1"/>
  <c r="F482" i="1"/>
  <c r="E482" i="1"/>
  <c r="F479" i="1"/>
  <c r="E479" i="1"/>
  <c r="F475" i="1"/>
  <c r="E475" i="1"/>
  <c r="F473" i="1"/>
  <c r="E473" i="1"/>
  <c r="F462" i="1"/>
  <c r="E462" i="1"/>
  <c r="F458" i="1"/>
  <c r="F457" i="1" s="1"/>
  <c r="E458" i="1"/>
  <c r="F452" i="1"/>
  <c r="E452" i="1"/>
  <c r="F448" i="1"/>
  <c r="E448" i="1"/>
  <c r="F445" i="1"/>
  <c r="E445" i="1"/>
  <c r="F443" i="1"/>
  <c r="E443" i="1"/>
  <c r="F436" i="1"/>
  <c r="E436" i="1"/>
  <c r="F434" i="1"/>
  <c r="E434" i="1"/>
  <c r="F432" i="1"/>
  <c r="E432" i="1"/>
  <c r="F430" i="1"/>
  <c r="E430" i="1"/>
  <c r="F428" i="1"/>
  <c r="E428" i="1"/>
  <c r="F422" i="1"/>
  <c r="E422" i="1"/>
  <c r="F420" i="1"/>
  <c r="E420" i="1"/>
  <c r="F417" i="1"/>
  <c r="E417" i="1"/>
  <c r="F413" i="1"/>
  <c r="E413" i="1"/>
  <c r="F411" i="1"/>
  <c r="E411" i="1"/>
  <c r="F409" i="1"/>
  <c r="E409" i="1"/>
  <c r="F401" i="1"/>
  <c r="E401" i="1"/>
  <c r="E400" i="1" s="1"/>
  <c r="F398" i="1"/>
  <c r="E398" i="1"/>
  <c r="F391" i="1"/>
  <c r="E391" i="1"/>
  <c r="F389" i="1"/>
  <c r="E389" i="1"/>
  <c r="F385" i="1"/>
  <c r="E385" i="1"/>
  <c r="F383" i="1"/>
  <c r="E383" i="1"/>
  <c r="F380" i="1"/>
  <c r="E380" i="1"/>
  <c r="F374" i="1"/>
  <c r="E374" i="1"/>
  <c r="F371" i="1"/>
  <c r="E371" i="1"/>
  <c r="E370" i="1" s="1"/>
  <c r="F353" i="1"/>
  <c r="E353" i="1"/>
  <c r="F352" i="1"/>
  <c r="E352" i="1"/>
  <c r="F347" i="1"/>
  <c r="E347" i="1"/>
  <c r="F345" i="1"/>
  <c r="E345" i="1"/>
  <c r="F341" i="1"/>
  <c r="E341" i="1"/>
  <c r="F338" i="1"/>
  <c r="E338" i="1"/>
  <c r="F334" i="1"/>
  <c r="F333" i="1" s="1"/>
  <c r="E334" i="1"/>
  <c r="E333" i="1" s="1"/>
  <c r="E325" i="1"/>
  <c r="F314" i="1"/>
  <c r="E314" i="1"/>
  <c r="F312" i="1"/>
  <c r="E312" i="1"/>
  <c r="F307" i="1"/>
  <c r="E307" i="1"/>
  <c r="F304" i="1"/>
  <c r="E304" i="1"/>
  <c r="E300" i="1"/>
  <c r="F300" i="1"/>
  <c r="F298" i="1"/>
  <c r="E298" i="1"/>
  <c r="F294" i="1"/>
  <c r="F293" i="1" s="1"/>
  <c r="E294" i="1"/>
  <c r="F291" i="1"/>
  <c r="E291" i="1"/>
  <c r="F287" i="1"/>
  <c r="E287" i="1"/>
  <c r="F279" i="1"/>
  <c r="E279" i="1"/>
  <c r="F276" i="1"/>
  <c r="E276" i="1"/>
  <c r="F272" i="1"/>
  <c r="E272" i="1"/>
  <c r="F268" i="1"/>
  <c r="E268" i="1"/>
  <c r="F262" i="1"/>
  <c r="E262" i="1"/>
  <c r="F260" i="1"/>
  <c r="F259" i="1" s="1"/>
  <c r="E260" i="1"/>
  <c r="E259" i="1" s="1"/>
  <c r="F257" i="1"/>
  <c r="E257" i="1"/>
  <c r="F255" i="1"/>
  <c r="E255" i="1"/>
  <c r="F252" i="1"/>
  <c r="F251" i="1" s="1"/>
  <c r="E252" i="1"/>
  <c r="E251" i="1" s="1"/>
  <c r="F247" i="1"/>
  <c r="E247" i="1"/>
  <c r="F244" i="1"/>
  <c r="E244" i="1"/>
  <c r="F234" i="1"/>
  <c r="E234" i="1"/>
  <c r="F228" i="1"/>
  <c r="E228" i="1"/>
  <c r="F218" i="1"/>
  <c r="E218" i="1"/>
  <c r="F216" i="1"/>
  <c r="E216" i="1"/>
  <c r="F210" i="1"/>
  <c r="E210" i="1"/>
  <c r="F208" i="1"/>
  <c r="E208" i="1"/>
  <c r="F203" i="1"/>
  <c r="E203" i="1"/>
  <c r="E202" i="1" s="1"/>
  <c r="F199" i="1"/>
  <c r="E199" i="1"/>
  <c r="F195" i="1"/>
  <c r="F194" i="1" s="1"/>
  <c r="E195" i="1"/>
  <c r="F191" i="1"/>
  <c r="E191" i="1"/>
  <c r="F183" i="1"/>
  <c r="E183" i="1"/>
  <c r="F179" i="1"/>
  <c r="E179" i="1"/>
  <c r="F177" i="1"/>
  <c r="E177" i="1"/>
  <c r="F175" i="1"/>
  <c r="E175" i="1"/>
  <c r="F172" i="1"/>
  <c r="E172" i="1"/>
  <c r="F158" i="1"/>
  <c r="E158" i="1"/>
  <c r="F156" i="1"/>
  <c r="E156" i="1"/>
  <c r="F154" i="1"/>
  <c r="E154" i="1"/>
  <c r="F146" i="1"/>
  <c r="E146" i="1"/>
  <c r="F144" i="1"/>
  <c r="E144" i="1"/>
  <c r="F140" i="1"/>
  <c r="E140" i="1"/>
  <c r="F134" i="1"/>
  <c r="E134" i="1"/>
  <c r="F132" i="1"/>
  <c r="E132" i="1"/>
  <c r="F130" i="1"/>
  <c r="E130" i="1"/>
  <c r="F128" i="1"/>
  <c r="E128" i="1"/>
  <c r="F124" i="1"/>
  <c r="E124" i="1"/>
  <c r="E123" i="1" s="1"/>
  <c r="F110" i="1"/>
  <c r="E110" i="1"/>
  <c r="F108" i="1"/>
  <c r="E108" i="1"/>
  <c r="F102" i="1"/>
  <c r="E102" i="1"/>
  <c r="F100" i="1"/>
  <c r="E100" i="1"/>
  <c r="F99" i="1"/>
  <c r="E99" i="1"/>
  <c r="F96" i="1"/>
  <c r="E96" i="1"/>
  <c r="F94" i="1"/>
  <c r="E94" i="1"/>
  <c r="F92" i="1"/>
  <c r="E92" i="1"/>
  <c r="F90" i="1"/>
  <c r="F87" i="1" s="1"/>
  <c r="E90" i="1"/>
  <c r="E88" i="1" s="1"/>
  <c r="F85" i="1"/>
  <c r="E85" i="1"/>
  <c r="F83" i="1"/>
  <c r="E83" i="1"/>
  <c r="F79" i="1"/>
  <c r="E79" i="1"/>
  <c r="F77" i="1"/>
  <c r="E77" i="1"/>
  <c r="F70" i="1"/>
  <c r="E70" i="1"/>
  <c r="F65" i="1"/>
  <c r="E65" i="1"/>
  <c r="F63" i="1"/>
  <c r="E63" i="1"/>
  <c r="F53" i="1"/>
  <c r="E53" i="1"/>
  <c r="F51" i="1"/>
  <c r="E51" i="1"/>
  <c r="F30" i="1"/>
  <c r="E30" i="1"/>
  <c r="F24" i="1"/>
  <c r="E24" i="1"/>
  <c r="F19" i="1"/>
  <c r="E19" i="1"/>
  <c r="F17" i="1"/>
  <c r="E17" i="1"/>
  <c r="F14" i="1"/>
  <c r="E14" i="1"/>
  <c r="D19" i="1"/>
  <c r="F537" i="1" l="1"/>
  <c r="F224" i="1"/>
  <c r="F223" i="1" s="1"/>
  <c r="I102" i="1"/>
  <c r="I216" i="1"/>
  <c r="E224" i="1"/>
  <c r="E223" i="1" s="1"/>
  <c r="I300" i="1"/>
  <c r="I100" i="1"/>
  <c r="I108" i="1"/>
  <c r="I148" i="1"/>
  <c r="E87" i="1"/>
  <c r="G87" i="1" s="1"/>
  <c r="G90" i="1"/>
  <c r="G99" i="1"/>
  <c r="I72" i="1"/>
  <c r="I85" i="1"/>
  <c r="H75" i="1"/>
  <c r="I75" i="1"/>
  <c r="I106" i="1"/>
  <c r="F88" i="1"/>
  <c r="G88" i="1" s="1"/>
  <c r="I116" i="1"/>
  <c r="F254" i="1"/>
  <c r="F253" i="1" s="1"/>
  <c r="G255" i="1"/>
  <c r="F23" i="1"/>
  <c r="G24" i="1"/>
  <c r="E98" i="1"/>
  <c r="E91" i="1" s="1"/>
  <c r="E243" i="1"/>
  <c r="E242" i="1" s="1"/>
  <c r="E254" i="1"/>
  <c r="E253" i="1" s="1"/>
  <c r="E289" i="1"/>
  <c r="F427" i="1"/>
  <c r="F426" i="1" s="1"/>
  <c r="G428" i="1"/>
  <c r="G360" i="1"/>
  <c r="F243" i="1"/>
  <c r="F242" i="1" s="1"/>
  <c r="G244" i="1"/>
  <c r="E23" i="1"/>
  <c r="F246" i="1"/>
  <c r="F245" i="1" s="1"/>
  <c r="G247" i="1"/>
  <c r="F286" i="1"/>
  <c r="G287" i="1"/>
  <c r="E427" i="1"/>
  <c r="E426" i="1" s="1"/>
  <c r="E580" i="1"/>
  <c r="E537" i="1" s="1"/>
  <c r="G581" i="1"/>
  <c r="F98" i="1"/>
  <c r="F91" i="1" s="1"/>
  <c r="G100" i="1"/>
  <c r="G108" i="1"/>
  <c r="G252" i="1"/>
  <c r="G260" i="1"/>
  <c r="E246" i="1"/>
  <c r="E245" i="1" s="1"/>
  <c r="E286" i="1"/>
  <c r="G434" i="1"/>
  <c r="F289" i="1"/>
  <c r="F288" i="1" s="1"/>
  <c r="G291" i="1"/>
  <c r="E311" i="1"/>
  <c r="E310" i="1" s="1"/>
  <c r="G328" i="1"/>
  <c r="G401" i="1"/>
  <c r="G411" i="1"/>
  <c r="G417" i="1"/>
  <c r="G422" i="1"/>
  <c r="G430" i="1"/>
  <c r="G542" i="1"/>
  <c r="G549" i="1"/>
  <c r="G557" i="1"/>
  <c r="G120" i="1"/>
  <c r="G102" i="1"/>
  <c r="G158" i="1"/>
  <c r="G175" i="1"/>
  <c r="G179" i="1"/>
  <c r="G376" i="1"/>
  <c r="G528" i="1"/>
  <c r="G538" i="1"/>
  <c r="G551" i="1"/>
  <c r="G559" i="1"/>
  <c r="G571" i="1"/>
  <c r="G547" i="1"/>
  <c r="E153" i="1"/>
  <c r="E152" i="1" s="1"/>
  <c r="G374" i="1"/>
  <c r="G389" i="1"/>
  <c r="G300" i="1"/>
  <c r="G110" i="1"/>
  <c r="G523" i="1"/>
  <c r="G156" i="1"/>
  <c r="G177" i="1"/>
  <c r="G183" i="1"/>
  <c r="G314" i="1"/>
  <c r="G380" i="1"/>
  <c r="G385" i="1"/>
  <c r="G391" i="1"/>
  <c r="F400" i="1"/>
  <c r="G400" i="1" s="1"/>
  <c r="G409" i="1"/>
  <c r="G413" i="1"/>
  <c r="G432" i="1"/>
  <c r="E62" i="1"/>
  <c r="F153" i="1"/>
  <c r="F152" i="1" s="1"/>
  <c r="G154" i="1"/>
  <c r="E278" i="1"/>
  <c r="F311" i="1"/>
  <c r="G312" i="1"/>
  <c r="E351" i="1"/>
  <c r="E451" i="1"/>
  <c r="E472" i="1"/>
  <c r="F118" i="1"/>
  <c r="G119" i="1"/>
  <c r="F185" i="1"/>
  <c r="G186" i="1"/>
  <c r="E182" i="1"/>
  <c r="F198" i="1"/>
  <c r="G199" i="1"/>
  <c r="F256" i="1"/>
  <c r="G257" i="1"/>
  <c r="F266" i="1"/>
  <c r="G268" i="1"/>
  <c r="F292" i="1"/>
  <c r="F303" i="1"/>
  <c r="G304" i="1"/>
  <c r="E337" i="1"/>
  <c r="E419" i="1"/>
  <c r="E435" i="1"/>
  <c r="F438" i="1"/>
  <c r="G443" i="1"/>
  <c r="F447" i="1"/>
  <c r="G448" i="1"/>
  <c r="F456" i="1"/>
  <c r="F461" i="1"/>
  <c r="G462" i="1"/>
  <c r="F481" i="1"/>
  <c r="G482" i="1"/>
  <c r="F487" i="1"/>
  <c r="G488" i="1"/>
  <c r="F496" i="1"/>
  <c r="G497" i="1"/>
  <c r="F516" i="1"/>
  <c r="G517" i="1"/>
  <c r="E527" i="1"/>
  <c r="E118" i="1"/>
  <c r="G14" i="1"/>
  <c r="G19" i="1"/>
  <c r="G30" i="1"/>
  <c r="G53" i="1"/>
  <c r="G65" i="1"/>
  <c r="G72" i="1"/>
  <c r="G79" i="1"/>
  <c r="G85" i="1"/>
  <c r="G92" i="1"/>
  <c r="G96" i="1"/>
  <c r="G128" i="1"/>
  <c r="G132" i="1"/>
  <c r="G140" i="1"/>
  <c r="G146" i="1"/>
  <c r="G203" i="1"/>
  <c r="G210" i="1"/>
  <c r="G218" i="1"/>
  <c r="G228" i="1"/>
  <c r="G234" i="1"/>
  <c r="G276" i="1"/>
  <c r="G298" i="1"/>
  <c r="F317" i="1"/>
  <c r="G341" i="1"/>
  <c r="G347" i="1"/>
  <c r="G353" i="1"/>
  <c r="G364" i="1"/>
  <c r="G475" i="1"/>
  <c r="G502" i="1"/>
  <c r="G511" i="1"/>
  <c r="G521" i="1"/>
  <c r="G584" i="1"/>
  <c r="G588" i="1"/>
  <c r="G592" i="1"/>
  <c r="G40" i="1"/>
  <c r="G75" i="1"/>
  <c r="G106" i="1"/>
  <c r="E250" i="1"/>
  <c r="E271" i="1"/>
  <c r="F337" i="1"/>
  <c r="G338" i="1"/>
  <c r="F370" i="1"/>
  <c r="G370" i="1" s="1"/>
  <c r="G371" i="1"/>
  <c r="F419" i="1"/>
  <c r="G420" i="1"/>
  <c r="F435" i="1"/>
  <c r="G436" i="1"/>
  <c r="E478" i="1"/>
  <c r="E256" i="1"/>
  <c r="E303" i="1"/>
  <c r="E340" i="1"/>
  <c r="F382" i="1"/>
  <c r="G383" i="1"/>
  <c r="F397" i="1"/>
  <c r="G398" i="1"/>
  <c r="E447" i="1"/>
  <c r="E461" i="1"/>
  <c r="E481" i="1"/>
  <c r="E487" i="1"/>
  <c r="E496" i="1"/>
  <c r="E516" i="1"/>
  <c r="F531" i="1"/>
  <c r="G534" i="1"/>
  <c r="E185" i="1"/>
  <c r="H19" i="1"/>
  <c r="E293" i="1"/>
  <c r="E457" i="1"/>
  <c r="G457" i="1" s="1"/>
  <c r="F527" i="1"/>
  <c r="E16" i="1"/>
  <c r="E194" i="1"/>
  <c r="G194" i="1" s="1"/>
  <c r="E261" i="1"/>
  <c r="G325" i="1"/>
  <c r="G334" i="1"/>
  <c r="E13" i="1"/>
  <c r="F171" i="1"/>
  <c r="F170" i="1" s="1"/>
  <c r="G172" i="1"/>
  <c r="F190" i="1"/>
  <c r="G191" i="1"/>
  <c r="E198" i="1"/>
  <c r="E264" i="1"/>
  <c r="F16" i="1"/>
  <c r="G17" i="1"/>
  <c r="F62" i="1"/>
  <c r="G63" i="1"/>
  <c r="F123" i="1"/>
  <c r="G123" i="1" s="1"/>
  <c r="G124" i="1"/>
  <c r="E171" i="1"/>
  <c r="E170" i="1" s="1"/>
  <c r="E190" i="1"/>
  <c r="F250" i="1"/>
  <c r="G251" i="1"/>
  <c r="F261" i="1"/>
  <c r="G262" i="1"/>
  <c r="F271" i="1"/>
  <c r="G272" i="1"/>
  <c r="F278" i="1"/>
  <c r="G279" i="1"/>
  <c r="F351" i="1"/>
  <c r="G352" i="1"/>
  <c r="E382" i="1"/>
  <c r="E397" i="1"/>
  <c r="E429" i="1"/>
  <c r="F451" i="1"/>
  <c r="G452" i="1"/>
  <c r="F472" i="1"/>
  <c r="G473" i="1"/>
  <c r="F478" i="1"/>
  <c r="G479" i="1"/>
  <c r="E531" i="1"/>
  <c r="F182" i="1"/>
  <c r="F13" i="1"/>
  <c r="G23" i="1"/>
  <c r="G51" i="1"/>
  <c r="G70" i="1"/>
  <c r="G77" i="1"/>
  <c r="G83" i="1"/>
  <c r="G94" i="1"/>
  <c r="G130" i="1"/>
  <c r="G134" i="1"/>
  <c r="G144" i="1"/>
  <c r="G148" i="1"/>
  <c r="G195" i="1"/>
  <c r="F202" i="1"/>
  <c r="G202" i="1" s="1"/>
  <c r="G208" i="1"/>
  <c r="G216" i="1"/>
  <c r="G225" i="1"/>
  <c r="G230" i="1"/>
  <c r="G259" i="1"/>
  <c r="G294" i="1"/>
  <c r="G307" i="1"/>
  <c r="F340" i="1"/>
  <c r="G345" i="1"/>
  <c r="G359" i="1"/>
  <c r="G367" i="1"/>
  <c r="E438" i="1"/>
  <c r="G445" i="1"/>
  <c r="G458" i="1"/>
  <c r="G483" i="1"/>
  <c r="G489" i="1"/>
  <c r="G500" i="1"/>
  <c r="G506" i="1"/>
  <c r="G514" i="1"/>
  <c r="G582" i="1"/>
  <c r="G586" i="1"/>
  <c r="G590" i="1"/>
  <c r="G34" i="1"/>
  <c r="G58" i="1"/>
  <c r="G114" i="1"/>
  <c r="G116" i="1"/>
  <c r="F429" i="1"/>
  <c r="E317" i="1"/>
  <c r="E297" i="1"/>
  <c r="F264" i="1"/>
  <c r="F297" i="1"/>
  <c r="F207" i="1"/>
  <c r="F404" i="1"/>
  <c r="E143" i="1"/>
  <c r="E207" i="1"/>
  <c r="E404" i="1"/>
  <c r="F505" i="1"/>
  <c r="F520" i="1"/>
  <c r="E358" i="1"/>
  <c r="E22" i="1"/>
  <c r="E505" i="1"/>
  <c r="E520" i="1"/>
  <c r="E266" i="1"/>
  <c r="F215" i="1"/>
  <c r="E215" i="1"/>
  <c r="F143" i="1"/>
  <c r="F33" i="1"/>
  <c r="F22" i="1"/>
  <c r="F82" i="1"/>
  <c r="F127" i="1"/>
  <c r="E127" i="1"/>
  <c r="F69" i="1"/>
  <c r="E69" i="1"/>
  <c r="E33" i="1"/>
  <c r="E25" i="43"/>
  <c r="D25" i="43"/>
  <c r="C25" i="43"/>
  <c r="B23" i="43"/>
  <c r="C12" i="40"/>
  <c r="F191" i="38"/>
  <c r="F190" i="38"/>
  <c r="F188" i="38"/>
  <c r="E187" i="38"/>
  <c r="D187" i="38"/>
  <c r="C187" i="38"/>
  <c r="F186" i="38"/>
  <c r="E185" i="38"/>
  <c r="D185" i="38"/>
  <c r="C185" i="38"/>
  <c r="E183" i="38"/>
  <c r="D183" i="38"/>
  <c r="C183" i="38"/>
  <c r="F182" i="38"/>
  <c r="F181" i="38"/>
  <c r="F180" i="38"/>
  <c r="F179" i="38"/>
  <c r="F178" i="38"/>
  <c r="F177" i="38"/>
  <c r="F176" i="38"/>
  <c r="F175" i="38"/>
  <c r="E173" i="38"/>
  <c r="D173" i="38"/>
  <c r="D169" i="38" s="1"/>
  <c r="C173" i="38"/>
  <c r="F172" i="38"/>
  <c r="F171" i="38"/>
  <c r="F170" i="38"/>
  <c r="C169" i="38"/>
  <c r="F168" i="38"/>
  <c r="E166" i="38"/>
  <c r="D166" i="38"/>
  <c r="C166" i="38"/>
  <c r="F165" i="38"/>
  <c r="F164" i="38"/>
  <c r="F163" i="38"/>
  <c r="F162" i="38"/>
  <c r="E160" i="38"/>
  <c r="D160" i="38"/>
  <c r="C160" i="38"/>
  <c r="F159" i="38"/>
  <c r="F158" i="38"/>
  <c r="F157" i="38"/>
  <c r="F156" i="38"/>
  <c r="F155" i="38"/>
  <c r="F154" i="38"/>
  <c r="F153" i="38"/>
  <c r="F152" i="38"/>
  <c r="F151" i="38"/>
  <c r="F150" i="38"/>
  <c r="F149" i="38"/>
  <c r="F148" i="38"/>
  <c r="E146" i="38"/>
  <c r="D146" i="38"/>
  <c r="C146" i="38"/>
  <c r="C145" i="38"/>
  <c r="F144" i="38"/>
  <c r="F143" i="38"/>
  <c r="F142" i="38"/>
  <c r="F141" i="38"/>
  <c r="F140" i="38"/>
  <c r="F139" i="38"/>
  <c r="F138" i="38"/>
  <c r="F137" i="38"/>
  <c r="F136" i="38"/>
  <c r="F135" i="38"/>
  <c r="F134" i="38"/>
  <c r="E132" i="38"/>
  <c r="F132" i="38" s="1"/>
  <c r="D132" i="38"/>
  <c r="C132" i="38"/>
  <c r="F131" i="38"/>
  <c r="E129" i="38"/>
  <c r="D129" i="38"/>
  <c r="C129" i="38"/>
  <c r="C128" i="38" s="1"/>
  <c r="E128" i="38"/>
  <c r="D128" i="38"/>
  <c r="F127" i="38"/>
  <c r="F126" i="38"/>
  <c r="E125" i="38"/>
  <c r="F125" i="38" s="1"/>
  <c r="D125" i="38"/>
  <c r="C125" i="38"/>
  <c r="D124" i="38"/>
  <c r="C124" i="38"/>
  <c r="F123" i="38"/>
  <c r="E121" i="38"/>
  <c r="D121" i="38"/>
  <c r="D120" i="38" s="1"/>
  <c r="C121" i="38"/>
  <c r="C120" i="38"/>
  <c r="F119" i="38"/>
  <c r="E118" i="38"/>
  <c r="D118" i="38"/>
  <c r="C118" i="38"/>
  <c r="F117" i="38"/>
  <c r="E116" i="38"/>
  <c r="D116" i="38"/>
  <c r="C116" i="38"/>
  <c r="F115" i="38"/>
  <c r="F114" i="38"/>
  <c r="E113" i="38"/>
  <c r="E112" i="38" s="1"/>
  <c r="F112" i="38" s="1"/>
  <c r="D113" i="38"/>
  <c r="C113" i="38"/>
  <c r="D112" i="38"/>
  <c r="C112" i="38"/>
  <c r="F110" i="38"/>
  <c r="F109" i="38"/>
  <c r="E107" i="38"/>
  <c r="D107" i="38"/>
  <c r="D103" i="38" s="1"/>
  <c r="C107" i="38"/>
  <c r="F106" i="38"/>
  <c r="F105" i="38"/>
  <c r="F104" i="38"/>
  <c r="C103" i="38"/>
  <c r="F100" i="38"/>
  <c r="E99" i="38"/>
  <c r="F99" i="38" s="1"/>
  <c r="D99" i="38"/>
  <c r="C99" i="38"/>
  <c r="E97" i="38"/>
  <c r="D97" i="38"/>
  <c r="C97" i="38"/>
  <c r="E95" i="38"/>
  <c r="D95" i="38"/>
  <c r="C95" i="38"/>
  <c r="F94" i="38"/>
  <c r="F93" i="38"/>
  <c r="F92" i="38"/>
  <c r="F91" i="38"/>
  <c r="F90" i="38"/>
  <c r="F89" i="38"/>
  <c r="F88" i="38"/>
  <c r="F87" i="38"/>
  <c r="F86" i="38"/>
  <c r="F85" i="38"/>
  <c r="F84" i="38"/>
  <c r="F83" i="38"/>
  <c r="F82" i="38"/>
  <c r="F81" i="38"/>
  <c r="F80" i="38"/>
  <c r="F79" i="38"/>
  <c r="F78" i="38"/>
  <c r="F77" i="38"/>
  <c r="E76" i="38"/>
  <c r="D76" i="38"/>
  <c r="C76" i="38"/>
  <c r="F75" i="38"/>
  <c r="F74" i="38"/>
  <c r="E73" i="38"/>
  <c r="F73" i="38" s="1"/>
  <c r="D73" i="38"/>
  <c r="C73" i="38"/>
  <c r="F72" i="38"/>
  <c r="F71" i="38"/>
  <c r="E70" i="38"/>
  <c r="E69" i="38" s="1"/>
  <c r="D70" i="38"/>
  <c r="D69" i="38" s="1"/>
  <c r="C70" i="38"/>
  <c r="F68" i="38"/>
  <c r="F67" i="38"/>
  <c r="E66" i="38"/>
  <c r="F66" i="38" s="1"/>
  <c r="D66" i="38"/>
  <c r="C66" i="38"/>
  <c r="F65" i="38"/>
  <c r="E64" i="38"/>
  <c r="E63" i="38" s="1"/>
  <c r="F63" i="38" s="1"/>
  <c r="D64" i="38"/>
  <c r="D63" i="38" s="1"/>
  <c r="C64" i="38"/>
  <c r="F60" i="38"/>
  <c r="F59" i="38"/>
  <c r="E58" i="38"/>
  <c r="F58" i="38" s="1"/>
  <c r="F57" i="38" s="1"/>
  <c r="D58" i="38"/>
  <c r="C58" i="38"/>
  <c r="C57" i="38" s="1"/>
  <c r="E57" i="38"/>
  <c r="D57" i="38"/>
  <c r="F56" i="38"/>
  <c r="E55" i="38"/>
  <c r="D55" i="38"/>
  <c r="C55" i="38"/>
  <c r="F54" i="38"/>
  <c r="F53" i="38"/>
  <c r="F52" i="38"/>
  <c r="F51" i="38"/>
  <c r="E50" i="38"/>
  <c r="E49" i="38" s="1"/>
  <c r="D50" i="38"/>
  <c r="D49" i="38" s="1"/>
  <c r="C50" i="38"/>
  <c r="C49" i="38"/>
  <c r="F47" i="38"/>
  <c r="E46" i="38"/>
  <c r="D46" i="38"/>
  <c r="C46" i="38"/>
  <c r="F45" i="38"/>
  <c r="E44" i="38"/>
  <c r="D44" i="38"/>
  <c r="C44" i="38"/>
  <c r="F42" i="38"/>
  <c r="F41" i="38"/>
  <c r="E40" i="38"/>
  <c r="F40" i="38" s="1"/>
  <c r="D40" i="38"/>
  <c r="D37" i="38" s="1"/>
  <c r="C40" i="38"/>
  <c r="C37" i="38" s="1"/>
  <c r="F39" i="38"/>
  <c r="E38" i="38"/>
  <c r="D38" i="38"/>
  <c r="C38" i="38"/>
  <c r="F36" i="38"/>
  <c r="F35" i="38" s="1"/>
  <c r="E35" i="38"/>
  <c r="D35" i="38"/>
  <c r="C35" i="38"/>
  <c r="F34" i="38"/>
  <c r="E33" i="38"/>
  <c r="D33" i="38"/>
  <c r="C33" i="38"/>
  <c r="F32" i="38"/>
  <c r="E31" i="38"/>
  <c r="F31" i="38" s="1"/>
  <c r="D31" i="38"/>
  <c r="C31" i="38"/>
  <c r="F30" i="38"/>
  <c r="F29" i="38"/>
  <c r="E28" i="38"/>
  <c r="F28" i="38" s="1"/>
  <c r="D28" i="38"/>
  <c r="C28" i="38"/>
  <c r="D27" i="38"/>
  <c r="F26" i="38"/>
  <c r="F25" i="38"/>
  <c r="F24" i="38"/>
  <c r="F23" i="38"/>
  <c r="E22" i="38"/>
  <c r="F22" i="38" s="1"/>
  <c r="F21" i="38" s="1"/>
  <c r="D22" i="38"/>
  <c r="D21" i="38" s="1"/>
  <c r="C22" i="38"/>
  <c r="C21" i="38" s="1"/>
  <c r="F19" i="38"/>
  <c r="F18" i="38"/>
  <c r="F17" i="38"/>
  <c r="F16" i="38"/>
  <c r="F15" i="38"/>
  <c r="E14" i="38"/>
  <c r="E13" i="38" s="1"/>
  <c r="D14" i="38"/>
  <c r="D13" i="38" s="1"/>
  <c r="C14" i="38"/>
  <c r="C13" i="38" s="1"/>
  <c r="F49" i="38" l="1"/>
  <c r="F33" i="38"/>
  <c r="D48" i="38"/>
  <c r="F69" i="38"/>
  <c r="F113" i="38"/>
  <c r="F121" i="38"/>
  <c r="F173" i="38"/>
  <c r="F44" i="38"/>
  <c r="D145" i="38"/>
  <c r="F160" i="38"/>
  <c r="F55" i="38"/>
  <c r="F128" i="38"/>
  <c r="F50" i="38"/>
  <c r="E124" i="38"/>
  <c r="F124" i="38" s="1"/>
  <c r="C111" i="38"/>
  <c r="C102" i="38" s="1"/>
  <c r="C101" i="38" s="1"/>
  <c r="E37" i="38"/>
  <c r="F37" i="38" s="1"/>
  <c r="F46" i="38"/>
  <c r="E120" i="38"/>
  <c r="F120" i="38" s="1"/>
  <c r="G580" i="1"/>
  <c r="C27" i="38"/>
  <c r="C43" i="38"/>
  <c r="D111" i="38"/>
  <c r="D102" i="38" s="1"/>
  <c r="D101" i="38" s="1"/>
  <c r="F129" i="38"/>
  <c r="F166" i="38"/>
  <c r="D43" i="38"/>
  <c r="C63" i="38"/>
  <c r="E27" i="38"/>
  <c r="F27" i="38" s="1"/>
  <c r="C69" i="38"/>
  <c r="F76" i="38"/>
  <c r="F107" i="38"/>
  <c r="F116" i="38"/>
  <c r="F118" i="38"/>
  <c r="F146" i="38"/>
  <c r="F185" i="38"/>
  <c r="F187" i="38"/>
  <c r="F14" i="38"/>
  <c r="D12" i="38"/>
  <c r="D11" i="38" s="1"/>
  <c r="F38" i="38"/>
  <c r="E43" i="38"/>
  <c r="E48" i="38"/>
  <c r="F48" i="38" s="1"/>
  <c r="F64" i="38"/>
  <c r="F70" i="38"/>
  <c r="E111" i="38"/>
  <c r="E145" i="38"/>
  <c r="F145" i="38" s="1"/>
  <c r="G286" i="1"/>
  <c r="F285" i="1"/>
  <c r="F284" i="1" s="1"/>
  <c r="G472" i="1"/>
  <c r="G98" i="1"/>
  <c r="E82" i="1"/>
  <c r="E81" i="1" s="1"/>
  <c r="G243" i="1"/>
  <c r="E530" i="1"/>
  <c r="G289" i="1"/>
  <c r="F358" i="1"/>
  <c r="F357" i="1" s="1"/>
  <c r="G426" i="1"/>
  <c r="E288" i="1"/>
  <c r="E285" i="1" s="1"/>
  <c r="E284" i="1" s="1"/>
  <c r="E12" i="1"/>
  <c r="F12" i="1"/>
  <c r="G254" i="1"/>
  <c r="G427" i="1"/>
  <c r="G246" i="1"/>
  <c r="F477" i="1"/>
  <c r="G190" i="1"/>
  <c r="G261" i="1"/>
  <c r="E460" i="1"/>
  <c r="G153" i="1"/>
  <c r="G278" i="1"/>
  <c r="E241" i="1"/>
  <c r="E189" i="1"/>
  <c r="G382" i="1"/>
  <c r="G435" i="1"/>
  <c r="F460" i="1"/>
  <c r="F241" i="1"/>
  <c r="F189" i="1"/>
  <c r="G264" i="1"/>
  <c r="G340" i="1"/>
  <c r="G429" i="1"/>
  <c r="G537" i="1"/>
  <c r="G253" i="1"/>
  <c r="G242" i="1"/>
  <c r="G527" i="1"/>
  <c r="G91" i="1"/>
  <c r="G531" i="1"/>
  <c r="G397" i="1"/>
  <c r="E477" i="1"/>
  <c r="G419" i="1"/>
  <c r="E32" i="1"/>
  <c r="E126" i="1"/>
  <c r="F21" i="1"/>
  <c r="G22" i="1"/>
  <c r="F142" i="1"/>
  <c r="G143" i="1"/>
  <c r="G224" i="1"/>
  <c r="E495" i="1"/>
  <c r="E357" i="1"/>
  <c r="G297" i="1"/>
  <c r="F169" i="1"/>
  <c r="G170" i="1"/>
  <c r="E265" i="1"/>
  <c r="E519" i="1"/>
  <c r="E21" i="1"/>
  <c r="E403" i="1"/>
  <c r="G182" i="1"/>
  <c r="F181" i="1"/>
  <c r="F450" i="1"/>
  <c r="G451" i="1"/>
  <c r="F350" i="1"/>
  <c r="G351" i="1"/>
  <c r="E332" i="1"/>
  <c r="E181" i="1"/>
  <c r="E450" i="1"/>
  <c r="F310" i="1"/>
  <c r="G311" i="1"/>
  <c r="E61" i="1"/>
  <c r="G152" i="1"/>
  <c r="G207" i="1"/>
  <c r="G13" i="1"/>
  <c r="G478" i="1"/>
  <c r="G250" i="1"/>
  <c r="G16" i="1"/>
  <c r="G171" i="1"/>
  <c r="G516" i="1"/>
  <c r="G487" i="1"/>
  <c r="G461" i="1"/>
  <c r="G447" i="1"/>
  <c r="G256" i="1"/>
  <c r="G118" i="1"/>
  <c r="F68" i="1"/>
  <c r="G69" i="1"/>
  <c r="F126" i="1"/>
  <c r="G127" i="1"/>
  <c r="F32" i="1"/>
  <c r="G33" i="1"/>
  <c r="F206" i="1"/>
  <c r="G215" i="1"/>
  <c r="F495" i="1"/>
  <c r="G505" i="1"/>
  <c r="F403" i="1"/>
  <c r="G404" i="1"/>
  <c r="E316" i="1"/>
  <c r="E292" i="1"/>
  <c r="G292" i="1" s="1"/>
  <c r="E302" i="1"/>
  <c r="E296" i="1" s="1"/>
  <c r="F336" i="1"/>
  <c r="G337" i="1"/>
  <c r="F316" i="1"/>
  <c r="G317" i="1"/>
  <c r="E68" i="1"/>
  <c r="E169" i="1"/>
  <c r="F519" i="1"/>
  <c r="G520" i="1"/>
  <c r="E142" i="1"/>
  <c r="F61" i="1"/>
  <c r="G62" i="1"/>
  <c r="F332" i="1"/>
  <c r="G333" i="1"/>
  <c r="E456" i="1"/>
  <c r="F302" i="1"/>
  <c r="F296" i="1" s="1"/>
  <c r="G303" i="1"/>
  <c r="F265" i="1"/>
  <c r="G266" i="1"/>
  <c r="E350" i="1"/>
  <c r="G293" i="1"/>
  <c r="E336" i="1"/>
  <c r="F530" i="1"/>
  <c r="G271" i="1"/>
  <c r="G496" i="1"/>
  <c r="G481" i="1"/>
  <c r="G438" i="1"/>
  <c r="G245" i="1"/>
  <c r="G198" i="1"/>
  <c r="G185" i="1"/>
  <c r="F81" i="1"/>
  <c r="E206" i="1"/>
  <c r="F13" i="38"/>
  <c r="D189" i="38"/>
  <c r="C14" i="39" s="1"/>
  <c r="C13" i="39" s="1"/>
  <c r="C12" i="39" s="1"/>
  <c r="C11" i="39" s="1"/>
  <c r="C48" i="38"/>
  <c r="F111" i="38"/>
  <c r="E21" i="38"/>
  <c r="E12" i="38" s="1"/>
  <c r="E103" i="38"/>
  <c r="E169" i="38"/>
  <c r="F169" i="38" s="1"/>
  <c r="F43" i="38" l="1"/>
  <c r="C12" i="38"/>
  <c r="C11" i="38" s="1"/>
  <c r="C189" i="38" s="1"/>
  <c r="G358" i="1"/>
  <c r="G530" i="1"/>
  <c r="G82" i="1"/>
  <c r="G477" i="1"/>
  <c r="G12" i="1"/>
  <c r="G285" i="1"/>
  <c r="G288" i="1"/>
  <c r="G296" i="1"/>
  <c r="E240" i="1"/>
  <c r="F11" i="1"/>
  <c r="F349" i="1"/>
  <c r="F240" i="1"/>
  <c r="G460" i="1"/>
  <c r="G189" i="1"/>
  <c r="G241" i="1"/>
  <c r="G316" i="1"/>
  <c r="G169" i="1"/>
  <c r="G265" i="1"/>
  <c r="G350" i="1"/>
  <c r="G81" i="1"/>
  <c r="G357" i="1"/>
  <c r="G142" i="1"/>
  <c r="E331" i="1"/>
  <c r="G450" i="1"/>
  <c r="F425" i="1"/>
  <c r="E309" i="1"/>
  <c r="F67" i="1"/>
  <c r="G61" i="1"/>
  <c r="G519" i="1"/>
  <c r="G403" i="1"/>
  <c r="G206" i="1"/>
  <c r="G126" i="1"/>
  <c r="E425" i="1"/>
  <c r="F309" i="1"/>
  <c r="G310" i="1"/>
  <c r="G223" i="1"/>
  <c r="G21" i="1"/>
  <c r="G332" i="1"/>
  <c r="F331" i="1"/>
  <c r="E11" i="1"/>
  <c r="E349" i="1"/>
  <c r="G456" i="1"/>
  <c r="G302" i="1"/>
  <c r="G336" i="1"/>
  <c r="G284" i="1"/>
  <c r="G495" i="1"/>
  <c r="G32" i="1"/>
  <c r="G68" i="1"/>
  <c r="G181" i="1"/>
  <c r="E67" i="1"/>
  <c r="F12" i="38"/>
  <c r="E11" i="38"/>
  <c r="G11" i="38" s="1"/>
  <c r="F103" i="38"/>
  <c r="E102" i="38"/>
  <c r="I594" i="1" l="1"/>
  <c r="G240" i="1"/>
  <c r="G11" i="1"/>
  <c r="G331" i="1"/>
  <c r="G309" i="1"/>
  <c r="G67" i="1"/>
  <c r="E424" i="1"/>
  <c r="E10" i="1" s="1"/>
  <c r="G425" i="1"/>
  <c r="F424" i="1"/>
  <c r="F10" i="1" s="1"/>
  <c r="G349" i="1"/>
  <c r="F11" i="38"/>
  <c r="F102" i="38"/>
  <c r="E101" i="38"/>
  <c r="F101" i="38" s="1"/>
  <c r="G424" i="1" l="1"/>
  <c r="F594" i="1"/>
  <c r="E12" i="44" s="1"/>
  <c r="E594" i="1"/>
  <c r="D12" i="44" s="1"/>
  <c r="D14" i="44" s="1"/>
  <c r="E189" i="38"/>
  <c r="F189" i="38" l="1"/>
  <c r="D14" i="39"/>
  <c r="G12" i="44"/>
  <c r="E14" i="44"/>
  <c r="G10" i="1"/>
  <c r="G594" i="1"/>
  <c r="E14" i="37"/>
  <c r="D52" i="37"/>
  <c r="E47" i="37"/>
  <c r="C50" i="37"/>
  <c r="D43" i="37"/>
  <c r="E39" i="37"/>
  <c r="D40" i="37"/>
  <c r="C40" i="37"/>
  <c r="E34" i="37"/>
  <c r="E33" i="37"/>
  <c r="D34" i="37"/>
  <c r="C34" i="37"/>
  <c r="D54" i="37"/>
  <c r="C54" i="37"/>
  <c r="E53" i="37"/>
  <c r="C52" i="37"/>
  <c r="E49" i="37"/>
  <c r="E46" i="37"/>
  <c r="D45" i="37"/>
  <c r="C45" i="37"/>
  <c r="E44" i="37"/>
  <c r="C43" i="37"/>
  <c r="E42" i="37"/>
  <c r="E38" i="37"/>
  <c r="E35" i="37"/>
  <c r="D32" i="37"/>
  <c r="C32" i="37"/>
  <c r="E31" i="37"/>
  <c r="E30" i="37"/>
  <c r="E29" i="37"/>
  <c r="D28" i="37"/>
  <c r="C28" i="37"/>
  <c r="E27" i="37"/>
  <c r="E26" i="37"/>
  <c r="E25" i="37"/>
  <c r="E24" i="37"/>
  <c r="D23" i="37"/>
  <c r="C23" i="37"/>
  <c r="E22" i="37"/>
  <c r="E21" i="37"/>
  <c r="E20" i="37"/>
  <c r="D19" i="37"/>
  <c r="C19" i="37"/>
  <c r="E18" i="37"/>
  <c r="D15" i="37"/>
  <c r="E15" i="37" s="1"/>
  <c r="E13" i="37"/>
  <c r="E12" i="37"/>
  <c r="E11" i="37"/>
  <c r="E10" i="37"/>
  <c r="E9" i="37"/>
  <c r="E54" i="37" l="1"/>
  <c r="E28" i="37"/>
  <c r="E45" i="37"/>
  <c r="D13" i="39"/>
  <c r="E14" i="39"/>
  <c r="E32" i="37"/>
  <c r="E52" i="37"/>
  <c r="E51" i="37"/>
  <c r="E48" i="37"/>
  <c r="D50" i="37"/>
  <c r="E50" i="37" s="1"/>
  <c r="E41" i="37"/>
  <c r="E43" i="37"/>
  <c r="E37" i="37"/>
  <c r="E40" i="37"/>
  <c r="E36" i="37"/>
  <c r="E19" i="37"/>
  <c r="E16" i="37"/>
  <c r="C17" i="37"/>
  <c r="C55" i="37" s="1"/>
  <c r="D17" i="37"/>
  <c r="D55" i="37" s="1"/>
  <c r="E23" i="37"/>
  <c r="E13" i="39" l="1"/>
  <c r="D12" i="39"/>
  <c r="E17" i="37"/>
  <c r="E55" i="37"/>
  <c r="E12" i="39" l="1"/>
  <c r="D11" i="39"/>
  <c r="E11" i="39" s="1"/>
  <c r="H325" i="23"/>
  <c r="G325" i="23"/>
  <c r="J884" i="23"/>
  <c r="I884" i="23"/>
  <c r="I880" i="23"/>
  <c r="I878" i="23"/>
  <c r="I876" i="23"/>
  <c r="J875" i="23"/>
  <c r="I875" i="23"/>
  <c r="J870" i="23"/>
  <c r="I870" i="23"/>
  <c r="I865" i="23"/>
  <c r="J861" i="23"/>
  <c r="I861" i="23"/>
  <c r="J860" i="23"/>
  <c r="I860" i="23"/>
  <c r="J851" i="23"/>
  <c r="I851" i="23"/>
  <c r="J848" i="23"/>
  <c r="I848" i="23"/>
  <c r="J847" i="23"/>
  <c r="I847" i="23"/>
  <c r="J845" i="23"/>
  <c r="I845" i="23"/>
  <c r="J844" i="23"/>
  <c r="I844" i="23"/>
  <c r="J838" i="23"/>
  <c r="I838" i="23"/>
  <c r="J830" i="23"/>
  <c r="I830" i="23"/>
  <c r="J823" i="23"/>
  <c r="I823" i="23"/>
  <c r="J822" i="23"/>
  <c r="I822" i="23"/>
  <c r="J821" i="23"/>
  <c r="I821" i="23"/>
  <c r="I819" i="23"/>
  <c r="J818" i="23"/>
  <c r="I818" i="23"/>
  <c r="I810" i="23"/>
  <c r="I808" i="23"/>
  <c r="J804" i="23"/>
  <c r="I804" i="23"/>
  <c r="J799" i="23"/>
  <c r="I799" i="23"/>
  <c r="J794" i="23"/>
  <c r="I794" i="23"/>
  <c r="J793" i="23"/>
  <c r="I793" i="23"/>
  <c r="I786" i="23"/>
  <c r="I785" i="23"/>
  <c r="I784" i="23"/>
  <c r="J780" i="23"/>
  <c r="I780" i="23"/>
  <c r="J778" i="23"/>
  <c r="I778" i="23"/>
  <c r="J777" i="23"/>
  <c r="I777" i="23"/>
  <c r="J768" i="23"/>
  <c r="I768" i="23"/>
  <c r="J767" i="23"/>
  <c r="I767" i="23"/>
  <c r="J763" i="23"/>
  <c r="I763" i="23"/>
  <c r="I755" i="23"/>
  <c r="I754" i="23"/>
  <c r="J751" i="23"/>
  <c r="I751" i="23"/>
  <c r="I743" i="23"/>
  <c r="J725" i="23"/>
  <c r="I725" i="23"/>
  <c r="J724" i="23"/>
  <c r="I724" i="23"/>
  <c r="J721" i="23"/>
  <c r="I721" i="23"/>
  <c r="J720" i="23"/>
  <c r="I720" i="23"/>
  <c r="J717" i="23"/>
  <c r="I717" i="23"/>
  <c r="J716" i="23"/>
  <c r="I716" i="23"/>
  <c r="J708" i="23"/>
  <c r="I708" i="23"/>
  <c r="J707" i="23"/>
  <c r="I707" i="23"/>
  <c r="J706" i="23"/>
  <c r="I706" i="23"/>
  <c r="J705" i="23"/>
  <c r="I705" i="23"/>
  <c r="I701" i="23"/>
  <c r="J699" i="23"/>
  <c r="I699" i="23"/>
  <c r="J692" i="23"/>
  <c r="I692" i="23"/>
  <c r="J685" i="23"/>
  <c r="I685" i="23"/>
  <c r="I684" i="23"/>
  <c r="I681" i="23"/>
  <c r="I680" i="23"/>
  <c r="J677" i="23"/>
  <c r="J673" i="23"/>
  <c r="I673" i="23"/>
  <c r="J671" i="23"/>
  <c r="I671" i="23"/>
  <c r="J669" i="23"/>
  <c r="I669" i="23"/>
  <c r="J665" i="23"/>
  <c r="I665" i="23"/>
  <c r="I657" i="23"/>
  <c r="I655" i="23"/>
  <c r="I651" i="23"/>
  <c r="I650" i="23"/>
  <c r="J647" i="23"/>
  <c r="I647" i="23"/>
  <c r="J643" i="23"/>
  <c r="I643" i="23"/>
  <c r="J641" i="23"/>
  <c r="I641" i="23"/>
  <c r="I637" i="23"/>
  <c r="J636" i="23"/>
  <c r="I636" i="23"/>
  <c r="I635" i="23"/>
  <c r="J633" i="23"/>
  <c r="I633" i="23"/>
  <c r="J631" i="23"/>
  <c r="I631" i="23"/>
  <c r="J627" i="23"/>
  <c r="I627" i="23"/>
  <c r="J625" i="23"/>
  <c r="I625" i="23"/>
  <c r="J623" i="23"/>
  <c r="I623" i="23"/>
  <c r="J622" i="23"/>
  <c r="J621" i="23"/>
  <c r="I621" i="23"/>
  <c r="J619" i="23"/>
  <c r="I619" i="23"/>
  <c r="I614" i="23"/>
  <c r="I613" i="23"/>
  <c r="J612" i="23"/>
  <c r="I612" i="23"/>
  <c r="J605" i="23"/>
  <c r="I599" i="23"/>
  <c r="I597" i="23"/>
  <c r="I590" i="23"/>
  <c r="J588" i="23"/>
  <c r="I588" i="23"/>
  <c r="J586" i="23"/>
  <c r="I586" i="23"/>
  <c r="J585" i="23"/>
  <c r="I585" i="23"/>
  <c r="J580" i="23"/>
  <c r="I580" i="23"/>
  <c r="J576" i="23"/>
  <c r="I576" i="23"/>
  <c r="I573" i="23"/>
  <c r="J571" i="23"/>
  <c r="I571" i="23"/>
  <c r="J570" i="23"/>
  <c r="I570" i="23"/>
  <c r="J567" i="23"/>
  <c r="I567" i="23"/>
  <c r="I565" i="23"/>
  <c r="J563" i="23"/>
  <c r="J562" i="23"/>
  <c r="J559" i="23"/>
  <c r="I559" i="23"/>
  <c r="I555" i="23"/>
  <c r="J551" i="23"/>
  <c r="I551" i="23"/>
  <c r="J548" i="23"/>
  <c r="I548" i="23"/>
  <c r="I546" i="23"/>
  <c r="J539" i="23"/>
  <c r="I539" i="23"/>
  <c r="J535" i="23"/>
  <c r="I535" i="23"/>
  <c r="J529" i="23"/>
  <c r="I529" i="23"/>
  <c r="I528" i="23"/>
  <c r="I526" i="23"/>
  <c r="J518" i="23"/>
  <c r="I518" i="23"/>
  <c r="J517" i="23"/>
  <c r="I517" i="23"/>
  <c r="J509" i="23"/>
  <c r="I509" i="23"/>
  <c r="J503" i="23"/>
  <c r="I503" i="23"/>
  <c r="J500" i="23"/>
  <c r="I500" i="23"/>
  <c r="I499" i="23"/>
  <c r="I498" i="23"/>
  <c r="J495" i="23"/>
  <c r="I495" i="23"/>
  <c r="I489" i="23"/>
  <c r="J488" i="23"/>
  <c r="I488" i="23"/>
  <c r="J482" i="23"/>
  <c r="I482" i="23"/>
  <c r="I474" i="23"/>
  <c r="I473" i="23"/>
  <c r="J468" i="23"/>
  <c r="I468" i="23"/>
  <c r="J467" i="23"/>
  <c r="I467" i="23"/>
  <c r="J457" i="23"/>
  <c r="I457" i="23"/>
  <c r="J452" i="23"/>
  <c r="I452" i="23"/>
  <c r="J443" i="23"/>
  <c r="I443" i="23"/>
  <c r="J435" i="23"/>
  <c r="I435" i="23"/>
  <c r="I431" i="23"/>
  <c r="I430" i="23"/>
  <c r="J428" i="23"/>
  <c r="I428" i="23"/>
  <c r="J427" i="23"/>
  <c r="I427" i="23"/>
  <c r="J423" i="23"/>
  <c r="I423" i="23"/>
  <c r="J422" i="23"/>
  <c r="I422" i="23"/>
  <c r="J421" i="23"/>
  <c r="I421" i="23"/>
  <c r="J417" i="23"/>
  <c r="I417" i="23"/>
  <c r="J413" i="23"/>
  <c r="I413" i="23"/>
  <c r="I410" i="23"/>
  <c r="I409" i="23"/>
  <c r="J406" i="23"/>
  <c r="I406" i="23"/>
  <c r="J404" i="23"/>
  <c r="I404" i="23"/>
  <c r="J402" i="23"/>
  <c r="I402" i="23"/>
  <c r="J399" i="23"/>
  <c r="I399" i="23"/>
  <c r="J397" i="23"/>
  <c r="I397" i="23"/>
  <c r="I396" i="23"/>
  <c r="J393" i="23"/>
  <c r="I393" i="23"/>
  <c r="J392" i="23"/>
  <c r="J390" i="23"/>
  <c r="I388" i="23"/>
  <c r="J387" i="23"/>
  <c r="I387" i="23"/>
  <c r="J385" i="23"/>
  <c r="I385" i="23"/>
  <c r="J384" i="23"/>
  <c r="I384" i="23"/>
  <c r="J380" i="23"/>
  <c r="I380" i="23"/>
  <c r="I379" i="23"/>
  <c r="J374" i="23"/>
  <c r="I374" i="23"/>
  <c r="J373" i="23"/>
  <c r="I373" i="23"/>
  <c r="J372" i="23"/>
  <c r="I372" i="23"/>
  <c r="I365" i="23"/>
  <c r="I364" i="23"/>
  <c r="J362" i="23"/>
  <c r="I362" i="23"/>
  <c r="J360" i="23"/>
  <c r="I360" i="23"/>
  <c r="J356" i="23"/>
  <c r="I356" i="23"/>
  <c r="J355" i="23"/>
  <c r="J354" i="23"/>
  <c r="I354" i="23"/>
  <c r="J351" i="23"/>
  <c r="I351" i="23"/>
  <c r="J349" i="23"/>
  <c r="I349" i="23"/>
  <c r="J348" i="23"/>
  <c r="I348" i="23"/>
  <c r="J345" i="23"/>
  <c r="I345" i="23"/>
  <c r="I343" i="23"/>
  <c r="I342" i="23"/>
  <c r="J341" i="23"/>
  <c r="I341" i="23"/>
  <c r="J339" i="23"/>
  <c r="I339" i="23"/>
  <c r="J335" i="23"/>
  <c r="I335" i="23"/>
  <c r="J328" i="23"/>
  <c r="I328" i="23"/>
  <c r="I326" i="23"/>
  <c r="J324" i="23"/>
  <c r="I324" i="23"/>
  <c r="I317" i="23"/>
  <c r="I316" i="23"/>
  <c r="J315" i="23"/>
  <c r="I315" i="23"/>
  <c r="J311" i="23"/>
  <c r="I311" i="23"/>
  <c r="J308" i="23"/>
  <c r="I308" i="23"/>
  <c r="J307" i="23"/>
  <c r="I307" i="23"/>
  <c r="I306" i="23"/>
  <c r="J304" i="23"/>
  <c r="I304" i="23"/>
  <c r="J298" i="23"/>
  <c r="I298" i="23"/>
  <c r="I293" i="23"/>
  <c r="I292" i="23"/>
  <c r="J286" i="23"/>
  <c r="I286" i="23"/>
  <c r="J284" i="23"/>
  <c r="I284" i="23"/>
  <c r="I281" i="23"/>
  <c r="I280" i="23"/>
  <c r="J277" i="23"/>
  <c r="J276" i="23"/>
  <c r="J273" i="23"/>
  <c r="I273" i="23"/>
  <c r="J269" i="23"/>
  <c r="I269" i="23"/>
  <c r="J268" i="23"/>
  <c r="I268" i="23"/>
  <c r="J267" i="23"/>
  <c r="I267" i="23"/>
  <c r="J263" i="23"/>
  <c r="I263" i="23"/>
  <c r="J260" i="23"/>
  <c r="I260" i="23"/>
  <c r="J258" i="23"/>
  <c r="I258" i="23"/>
  <c r="J256" i="23"/>
  <c r="I256" i="23"/>
  <c r="J255" i="23"/>
  <c r="I255" i="23"/>
  <c r="I254" i="23"/>
  <c r="J251" i="23"/>
  <c r="I251" i="23"/>
  <c r="J246" i="23"/>
  <c r="I246" i="23"/>
  <c r="J244" i="23"/>
  <c r="I244" i="23"/>
  <c r="J225" i="23"/>
  <c r="J221" i="23"/>
  <c r="I221" i="23"/>
  <c r="J216" i="23"/>
  <c r="I216" i="23"/>
  <c r="J214" i="23"/>
  <c r="I214" i="23"/>
  <c r="J212" i="23"/>
  <c r="I212" i="23"/>
  <c r="J210" i="23"/>
  <c r="I210" i="23"/>
  <c r="J207" i="23"/>
  <c r="I207" i="23"/>
  <c r="I199" i="23"/>
  <c r="J192" i="23"/>
  <c r="J191" i="23"/>
  <c r="I191" i="23"/>
  <c r="J189" i="23"/>
  <c r="I189" i="23"/>
  <c r="J188" i="23"/>
  <c r="I186" i="23"/>
  <c r="I185" i="23"/>
  <c r="J180" i="23"/>
  <c r="I180" i="23"/>
  <c r="J178" i="23"/>
  <c r="I178" i="23"/>
  <c r="J171" i="23"/>
  <c r="I171" i="23"/>
  <c r="I168" i="23"/>
  <c r="I167" i="23"/>
  <c r="J165" i="23"/>
  <c r="I165" i="23"/>
  <c r="I164" i="23"/>
  <c r="I162" i="23"/>
  <c r="J156" i="23"/>
  <c r="I156" i="23"/>
  <c r="J155" i="23"/>
  <c r="I155" i="23"/>
  <c r="I153" i="23"/>
  <c r="I151" i="23"/>
  <c r="J150" i="23"/>
  <c r="I150" i="23"/>
  <c r="J143" i="23"/>
  <c r="I143" i="23"/>
  <c r="J142" i="23"/>
  <c r="I142" i="23"/>
  <c r="I134" i="23"/>
  <c r="I133" i="23"/>
  <c r="J131" i="23"/>
  <c r="I131" i="23"/>
  <c r="J127" i="23"/>
  <c r="I127" i="23"/>
  <c r="J125" i="23"/>
  <c r="I125" i="23"/>
  <c r="J124" i="23"/>
  <c r="I124" i="23"/>
  <c r="J122" i="23"/>
  <c r="I122" i="23"/>
  <c r="J121" i="23"/>
  <c r="I121" i="23"/>
  <c r="J120" i="23"/>
  <c r="I120" i="23"/>
  <c r="J116" i="23"/>
  <c r="I116" i="23"/>
  <c r="J115" i="23"/>
  <c r="I115" i="23"/>
  <c r="I114" i="23"/>
  <c r="J110" i="23"/>
  <c r="I110" i="23"/>
  <c r="J109" i="23"/>
  <c r="I109" i="23"/>
  <c r="J105" i="23"/>
  <c r="I105" i="23"/>
  <c r="J103" i="23"/>
  <c r="I103" i="23"/>
  <c r="I99" i="23"/>
  <c r="J98" i="23"/>
  <c r="I98" i="23"/>
  <c r="J94" i="23"/>
  <c r="I94" i="23"/>
  <c r="J92" i="23"/>
  <c r="I92" i="23"/>
  <c r="J89" i="23"/>
  <c r="I89" i="23"/>
  <c r="J82" i="23"/>
  <c r="I82" i="23"/>
  <c r="J77" i="23"/>
  <c r="I77" i="23"/>
  <c r="I70" i="23"/>
  <c r="I68" i="23"/>
  <c r="J66" i="23"/>
  <c r="I66" i="23"/>
  <c r="J65" i="23"/>
  <c r="I65" i="23"/>
  <c r="J63" i="23"/>
  <c r="I63" i="23"/>
  <c r="J59" i="23"/>
  <c r="I59" i="23"/>
  <c r="J58" i="23"/>
  <c r="I58" i="23"/>
  <c r="J54" i="23"/>
  <c r="I54" i="23"/>
  <c r="J53" i="23"/>
  <c r="I53" i="23"/>
  <c r="J51" i="23"/>
  <c r="I51" i="23"/>
  <c r="J49" i="23"/>
  <c r="I49" i="23"/>
  <c r="J48" i="23"/>
  <c r="I48" i="23"/>
  <c r="J46" i="23"/>
  <c r="I46" i="23"/>
  <c r="I44" i="23"/>
  <c r="I43" i="23"/>
  <c r="J41" i="23"/>
  <c r="J40" i="23"/>
  <c r="J38" i="23"/>
  <c r="I38" i="23"/>
  <c r="J37" i="23"/>
  <c r="I37" i="23"/>
  <c r="I33" i="23"/>
  <c r="I32" i="23"/>
  <c r="J31" i="23"/>
  <c r="I31" i="23"/>
  <c r="J30" i="23"/>
  <c r="I30" i="23"/>
  <c r="I23" i="23"/>
  <c r="I21" i="23"/>
  <c r="CQ865" i="23" l="1"/>
  <c r="CQ864" i="23" s="1"/>
  <c r="H864" i="23"/>
  <c r="G864" i="23"/>
  <c r="J820" i="23"/>
  <c r="H809" i="23"/>
  <c r="G809" i="23"/>
  <c r="CQ808" i="23"/>
  <c r="CQ807" i="23" s="1"/>
  <c r="H807" i="23"/>
  <c r="G807" i="23"/>
  <c r="H783" i="23"/>
  <c r="G783" i="23"/>
  <c r="H753" i="23"/>
  <c r="G753" i="23"/>
  <c r="F753" i="23"/>
  <c r="G412" i="23"/>
  <c r="H392" i="23"/>
  <c r="I392" i="23" s="1"/>
  <c r="H355" i="23"/>
  <c r="I355" i="23" s="1"/>
  <c r="H700" i="23"/>
  <c r="G700" i="23"/>
  <c r="I864" i="23" l="1"/>
  <c r="I700" i="23"/>
  <c r="G752" i="23"/>
  <c r="I783" i="23"/>
  <c r="I820" i="23"/>
  <c r="G863" i="23"/>
  <c r="H752" i="23"/>
  <c r="I753" i="23"/>
  <c r="H806" i="23"/>
  <c r="I807" i="23"/>
  <c r="I809" i="23"/>
  <c r="H863" i="23"/>
  <c r="F752" i="23"/>
  <c r="G806" i="23"/>
  <c r="I752" i="23" l="1"/>
  <c r="I863" i="23"/>
  <c r="H805" i="23"/>
  <c r="I806" i="23"/>
  <c r="G862" i="23"/>
  <c r="H862" i="23"/>
  <c r="G805" i="23"/>
  <c r="I862" i="23" l="1"/>
  <c r="I805" i="23"/>
  <c r="H683" i="23"/>
  <c r="G683" i="23"/>
  <c r="H656" i="23"/>
  <c r="G656" i="23"/>
  <c r="CQ655" i="23"/>
  <c r="CQ654" i="23" s="1"/>
  <c r="H654" i="23"/>
  <c r="G654" i="23"/>
  <c r="H649" i="23"/>
  <c r="G649" i="23"/>
  <c r="F649" i="23"/>
  <c r="F648" i="23" s="1"/>
  <c r="I654" i="23" l="1"/>
  <c r="H682" i="23"/>
  <c r="I683" i="23"/>
  <c r="G682" i="23"/>
  <c r="J682" i="23" s="1"/>
  <c r="J683" i="23"/>
  <c r="I656" i="23"/>
  <c r="H648" i="23"/>
  <c r="I649" i="23"/>
  <c r="G648" i="23"/>
  <c r="H653" i="23"/>
  <c r="G653" i="23"/>
  <c r="I648" i="23" l="1"/>
  <c r="H652" i="23"/>
  <c r="I653" i="23"/>
  <c r="I682" i="23"/>
  <c r="G652" i="23"/>
  <c r="H634" i="23"/>
  <c r="G634" i="23"/>
  <c r="H622" i="23"/>
  <c r="I622" i="23" s="1"/>
  <c r="H611" i="23"/>
  <c r="G611" i="23"/>
  <c r="I611" i="23" l="1"/>
  <c r="I634" i="23"/>
  <c r="I652" i="23"/>
  <c r="H564" i="23"/>
  <c r="G564" i="23"/>
  <c r="I564" i="23" l="1"/>
  <c r="H572" i="23"/>
  <c r="G572" i="23"/>
  <c r="H554" i="23"/>
  <c r="G554" i="23"/>
  <c r="H497" i="23"/>
  <c r="G497" i="23"/>
  <c r="H487" i="23"/>
  <c r="G487" i="23"/>
  <c r="F473" i="23"/>
  <c r="H472" i="23"/>
  <c r="G472" i="23"/>
  <c r="F469" i="23"/>
  <c r="I487" i="23" l="1"/>
  <c r="I554" i="23"/>
  <c r="F472" i="23"/>
  <c r="F471" i="23" s="1"/>
  <c r="G471" i="23"/>
  <c r="I497" i="23"/>
  <c r="I572" i="23"/>
  <c r="H471" i="23"/>
  <c r="I472" i="23"/>
  <c r="G429" i="23"/>
  <c r="H429" i="23"/>
  <c r="H408" i="23"/>
  <c r="G408" i="23"/>
  <c r="H395" i="23"/>
  <c r="G395" i="23"/>
  <c r="H398" i="23"/>
  <c r="H381" i="23"/>
  <c r="G381" i="23"/>
  <c r="H386" i="23"/>
  <c r="G386" i="23"/>
  <c r="H363" i="23"/>
  <c r="G363" i="23"/>
  <c r="H340" i="23"/>
  <c r="G340" i="23"/>
  <c r="J340" i="23" s="1"/>
  <c r="H291" i="23"/>
  <c r="G291" i="23"/>
  <c r="H279" i="23"/>
  <c r="G279" i="23"/>
  <c r="G278" i="23" s="1"/>
  <c r="H184" i="23"/>
  <c r="G184" i="23"/>
  <c r="H166" i="23"/>
  <c r="G166" i="23"/>
  <c r="H149" i="23"/>
  <c r="G149" i="23"/>
  <c r="H132" i="23"/>
  <c r="G132" i="23"/>
  <c r="H97" i="23"/>
  <c r="G97" i="23"/>
  <c r="H69" i="23"/>
  <c r="H67" i="23"/>
  <c r="G67" i="23"/>
  <c r="G69" i="23"/>
  <c r="H42" i="23"/>
  <c r="G42" i="23"/>
  <c r="I42" i="23" l="1"/>
  <c r="I132" i="23"/>
  <c r="I166" i="23"/>
  <c r="I340" i="23"/>
  <c r="I386" i="23"/>
  <c r="I67" i="23"/>
  <c r="H394" i="23"/>
  <c r="I395" i="23"/>
  <c r="H278" i="23"/>
  <c r="I278" i="23" s="1"/>
  <c r="I279" i="23"/>
  <c r="G394" i="23"/>
  <c r="J394" i="23" s="1"/>
  <c r="J395" i="23"/>
  <c r="H407" i="23"/>
  <c r="I408" i="23"/>
  <c r="G470" i="23"/>
  <c r="H378" i="23"/>
  <c r="I381" i="23"/>
  <c r="G407" i="23"/>
  <c r="H470" i="23"/>
  <c r="I471" i="23"/>
  <c r="I69" i="23"/>
  <c r="I429" i="23"/>
  <c r="I97" i="23"/>
  <c r="I149" i="23"/>
  <c r="I184" i="23"/>
  <c r="I291" i="23"/>
  <c r="I363" i="23"/>
  <c r="G378" i="23"/>
  <c r="H29" i="23"/>
  <c r="G29" i="23"/>
  <c r="H20" i="23"/>
  <c r="G20" i="23"/>
  <c r="H22" i="23"/>
  <c r="G22" i="23"/>
  <c r="I378" i="23" l="1"/>
  <c r="I407" i="23"/>
  <c r="I470" i="23"/>
  <c r="H469" i="23"/>
  <c r="G469" i="23"/>
  <c r="H19" i="23"/>
  <c r="I20" i="23"/>
  <c r="I394" i="23"/>
  <c r="I22" i="23"/>
  <c r="I29" i="23"/>
  <c r="G19" i="23"/>
  <c r="G18" i="23" s="1"/>
  <c r="H883" i="23"/>
  <c r="G883" i="23"/>
  <c r="H882" i="23"/>
  <c r="G882" i="23"/>
  <c r="G881" i="23" s="1"/>
  <c r="H879" i="23"/>
  <c r="G879" i="23"/>
  <c r="H877" i="23"/>
  <c r="G877" i="23"/>
  <c r="H874" i="23"/>
  <c r="G874" i="23"/>
  <c r="H869" i="23"/>
  <c r="G869" i="23"/>
  <c r="G868" i="23" s="1"/>
  <c r="H859" i="23"/>
  <c r="G859" i="23"/>
  <c r="H850" i="23"/>
  <c r="G850" i="23"/>
  <c r="G849" i="23" s="1"/>
  <c r="H846" i="23"/>
  <c r="G846" i="23"/>
  <c r="G843" i="23" s="1"/>
  <c r="H837" i="23"/>
  <c r="G837" i="23"/>
  <c r="G836" i="23" s="1"/>
  <c r="H829" i="23"/>
  <c r="G829" i="23"/>
  <c r="H817" i="23"/>
  <c r="G817" i="23"/>
  <c r="H803" i="23"/>
  <c r="G803" i="23"/>
  <c r="G802" i="23" s="1"/>
  <c r="H801" i="23"/>
  <c r="G801" i="23"/>
  <c r="G800" i="23" s="1"/>
  <c r="H798" i="23"/>
  <c r="G798" i="23"/>
  <c r="H792" i="23"/>
  <c r="G792" i="23"/>
  <c r="G791" i="23" s="1"/>
  <c r="H782" i="23"/>
  <c r="H781" i="23" s="1"/>
  <c r="G782" i="23"/>
  <c r="G781" i="23" s="1"/>
  <c r="H779" i="23"/>
  <c r="G779" i="23"/>
  <c r="H776" i="23"/>
  <c r="G776" i="23"/>
  <c r="H771" i="23"/>
  <c r="G771" i="23"/>
  <c r="H766" i="23"/>
  <c r="G766" i="23"/>
  <c r="G765" i="23" s="1"/>
  <c r="G764" i="23" s="1"/>
  <c r="H762" i="23"/>
  <c r="G762" i="23"/>
  <c r="G761" i="23" s="1"/>
  <c r="H750" i="23"/>
  <c r="G750" i="23"/>
  <c r="G749" i="23" s="1"/>
  <c r="G748" i="23" s="1"/>
  <c r="H744" i="23"/>
  <c r="G744" i="23"/>
  <c r="H740" i="23"/>
  <c r="H739" i="23" s="1"/>
  <c r="G740" i="23"/>
  <c r="G739" i="23" s="1"/>
  <c r="H733" i="23"/>
  <c r="H732" i="23" s="1"/>
  <c r="G733" i="23"/>
  <c r="G732" i="23" s="1"/>
  <c r="H723" i="23"/>
  <c r="G723" i="23"/>
  <c r="H719" i="23"/>
  <c r="H718" i="23" s="1"/>
  <c r="G719" i="23"/>
  <c r="H715" i="23"/>
  <c r="H714" i="23" s="1"/>
  <c r="G715" i="23"/>
  <c r="H704" i="23"/>
  <c r="H703" i="23" s="1"/>
  <c r="H702" i="23" s="1"/>
  <c r="G704" i="23"/>
  <c r="G703" i="23" s="1"/>
  <c r="H698" i="23"/>
  <c r="H697" i="23" s="1"/>
  <c r="G698" i="23"/>
  <c r="G697" i="23" s="1"/>
  <c r="H691" i="23"/>
  <c r="H690" i="23" s="1"/>
  <c r="H689" i="23" s="1"/>
  <c r="G691" i="23"/>
  <c r="G690" i="23" s="1"/>
  <c r="H679" i="23"/>
  <c r="G679" i="23"/>
  <c r="H672" i="23"/>
  <c r="G672" i="23"/>
  <c r="H670" i="23"/>
  <c r="G670" i="23"/>
  <c r="H668" i="23"/>
  <c r="G668" i="23"/>
  <c r="H664" i="23"/>
  <c r="H663" i="23" s="1"/>
  <c r="H662" i="23" s="1"/>
  <c r="G664" i="23"/>
  <c r="G663" i="23" s="1"/>
  <c r="H646" i="23"/>
  <c r="H645" i="23" s="1"/>
  <c r="G646" i="23"/>
  <c r="H642" i="23"/>
  <c r="G642" i="23"/>
  <c r="H640" i="23"/>
  <c r="G640" i="23"/>
  <c r="H632" i="23"/>
  <c r="G632" i="23"/>
  <c r="H630" i="23"/>
  <c r="G630" i="23"/>
  <c r="H626" i="23"/>
  <c r="G626" i="23"/>
  <c r="H624" i="23"/>
  <c r="G624" i="23"/>
  <c r="H620" i="23"/>
  <c r="G620" i="23"/>
  <c r="H618" i="23"/>
  <c r="G618" i="23"/>
  <c r="H610" i="23"/>
  <c r="G610" i="23"/>
  <c r="H598" i="23"/>
  <c r="G598" i="23"/>
  <c r="H596" i="23"/>
  <c r="G596" i="23"/>
  <c r="H589" i="23"/>
  <c r="G589" i="23"/>
  <c r="H587" i="23"/>
  <c r="G587" i="23"/>
  <c r="H584" i="23"/>
  <c r="H583" i="23" s="1"/>
  <c r="G584" i="23"/>
  <c r="G583" i="23" s="1"/>
  <c r="H579" i="23"/>
  <c r="H578" i="23" s="1"/>
  <c r="H577" i="23" s="1"/>
  <c r="G579" i="23"/>
  <c r="G578" i="23" s="1"/>
  <c r="H575" i="23"/>
  <c r="H574" i="23" s="1"/>
  <c r="G575" i="23"/>
  <c r="H569" i="23"/>
  <c r="H568" i="23" s="1"/>
  <c r="G569" i="23"/>
  <c r="H566" i="23"/>
  <c r="G566" i="23"/>
  <c r="H561" i="23"/>
  <c r="H560" i="23" s="1"/>
  <c r="G561" i="23"/>
  <c r="G560" i="23" s="1"/>
  <c r="H558" i="23"/>
  <c r="G558" i="23"/>
  <c r="G557" i="23"/>
  <c r="H556" i="23"/>
  <c r="H552" i="23"/>
  <c r="H550" i="23" s="1"/>
  <c r="G552" i="23"/>
  <c r="G550" i="23" s="1"/>
  <c r="H547" i="23"/>
  <c r="G547" i="23"/>
  <c r="H545" i="23"/>
  <c r="G545" i="23"/>
  <c r="H538" i="23"/>
  <c r="H537" i="23" s="1"/>
  <c r="G538" i="23"/>
  <c r="H534" i="23"/>
  <c r="H533" i="23" s="1"/>
  <c r="H532" i="23" s="1"/>
  <c r="G534" i="23"/>
  <c r="G533" i="23" s="1"/>
  <c r="G531" i="23"/>
  <c r="H530" i="23"/>
  <c r="H527" i="23"/>
  <c r="G527" i="23"/>
  <c r="H525" i="23"/>
  <c r="G525" i="23"/>
  <c r="H516" i="23"/>
  <c r="H515" i="23" s="1"/>
  <c r="H514" i="23" s="1"/>
  <c r="G516" i="23"/>
  <c r="G515" i="23" s="1"/>
  <c r="H508" i="23"/>
  <c r="H507" i="23" s="1"/>
  <c r="H506" i="23" s="1"/>
  <c r="G508" i="23"/>
  <c r="G507" i="23" s="1"/>
  <c r="H502" i="23"/>
  <c r="H501" i="23" s="1"/>
  <c r="G502" i="23"/>
  <c r="H496" i="23"/>
  <c r="G496" i="23"/>
  <c r="H494" i="23"/>
  <c r="G494" i="23"/>
  <c r="H486" i="23"/>
  <c r="G486" i="23"/>
  <c r="H481" i="23"/>
  <c r="H480" i="23" s="1"/>
  <c r="H479" i="23" s="1"/>
  <c r="G481" i="23"/>
  <c r="G480" i="23" s="1"/>
  <c r="H466" i="23"/>
  <c r="G466" i="23"/>
  <c r="H456" i="23"/>
  <c r="G456" i="23"/>
  <c r="G455" i="23" s="1"/>
  <c r="H453" i="23"/>
  <c r="G453" i="23"/>
  <c r="H442" i="23"/>
  <c r="G442" i="23"/>
  <c r="H434" i="23"/>
  <c r="G434" i="23"/>
  <c r="G433" i="23" s="1"/>
  <c r="H426" i="23"/>
  <c r="G426" i="23"/>
  <c r="H420" i="23"/>
  <c r="G420" i="23"/>
  <c r="H419" i="23"/>
  <c r="G419" i="23"/>
  <c r="G418" i="23" s="1"/>
  <c r="H416" i="23"/>
  <c r="G416" i="23"/>
  <c r="G415" i="23" s="1"/>
  <c r="H412" i="23"/>
  <c r="G411" i="23"/>
  <c r="H405" i="23"/>
  <c r="G405" i="23"/>
  <c r="H403" i="23"/>
  <c r="G403" i="23"/>
  <c r="H401" i="23"/>
  <c r="G401" i="23"/>
  <c r="G398" i="23"/>
  <c r="H383" i="23"/>
  <c r="G383" i="23"/>
  <c r="H377" i="23"/>
  <c r="G377" i="23"/>
  <c r="H371" i="23"/>
  <c r="G371" i="23"/>
  <c r="H370" i="23"/>
  <c r="G370" i="23"/>
  <c r="H361" i="23"/>
  <c r="G361" i="23"/>
  <c r="H359" i="23"/>
  <c r="G359" i="23"/>
  <c r="H353" i="23"/>
  <c r="G353" i="23"/>
  <c r="H350" i="23"/>
  <c r="G350" i="23"/>
  <c r="H347" i="23"/>
  <c r="G347" i="23"/>
  <c r="H344" i="23"/>
  <c r="G344" i="23"/>
  <c r="H338" i="23"/>
  <c r="G338" i="23"/>
  <c r="H334" i="23"/>
  <c r="H333" i="23" s="1"/>
  <c r="G334" i="23"/>
  <c r="G333" i="23" s="1"/>
  <c r="H327" i="23"/>
  <c r="G327" i="23"/>
  <c r="H323" i="23"/>
  <c r="G323" i="23"/>
  <c r="H314" i="23"/>
  <c r="G314" i="23"/>
  <c r="H310" i="23"/>
  <c r="G310" i="23"/>
  <c r="H305" i="23"/>
  <c r="G305" i="23"/>
  <c r="H303" i="23"/>
  <c r="G303" i="23"/>
  <c r="H300" i="23"/>
  <c r="G300" i="23"/>
  <c r="H297" i="23"/>
  <c r="G297" i="23"/>
  <c r="H290" i="23"/>
  <c r="G290" i="23"/>
  <c r="G289" i="23" s="1"/>
  <c r="H285" i="23"/>
  <c r="G285" i="23"/>
  <c r="H283" i="23"/>
  <c r="G283" i="23"/>
  <c r="H272" i="23"/>
  <c r="G272" i="23"/>
  <c r="H266" i="23"/>
  <c r="G266" i="23"/>
  <c r="H262" i="23"/>
  <c r="H261" i="23" s="1"/>
  <c r="G262" i="23"/>
  <c r="H259" i="23"/>
  <c r="G259" i="23"/>
  <c r="H257" i="23"/>
  <c r="G257" i="23"/>
  <c r="H253" i="23"/>
  <c r="G253" i="23"/>
  <c r="H250" i="23"/>
  <c r="G250" i="23"/>
  <c r="H247" i="23"/>
  <c r="G247" i="23"/>
  <c r="H245" i="23"/>
  <c r="G245" i="23"/>
  <c r="H243" i="23"/>
  <c r="G243" i="23"/>
  <c r="H241" i="23"/>
  <c r="H240" i="23" s="1"/>
  <c r="G241" i="23"/>
  <c r="G234" i="23"/>
  <c r="H233" i="23"/>
  <c r="H220" i="23"/>
  <c r="G220" i="23"/>
  <c r="G219" i="23" s="1"/>
  <c r="H215" i="23"/>
  <c r="G215" i="23"/>
  <c r="H213" i="23"/>
  <c r="G213" i="23"/>
  <c r="H211" i="23"/>
  <c r="G211" i="23"/>
  <c r="H209" i="23"/>
  <c r="G209" i="23"/>
  <c r="H206" i="23"/>
  <c r="G206" i="23"/>
  <c r="H198" i="23"/>
  <c r="G198" i="23"/>
  <c r="H190" i="23"/>
  <c r="G190" i="23"/>
  <c r="H187" i="23"/>
  <c r="G187" i="23"/>
  <c r="H179" i="23"/>
  <c r="G179" i="23"/>
  <c r="H177" i="23"/>
  <c r="G177" i="23"/>
  <c r="H163" i="23"/>
  <c r="G163" i="23"/>
  <c r="H161" i="23"/>
  <c r="G161" i="23"/>
  <c r="H154" i="23"/>
  <c r="G154" i="23"/>
  <c r="H152" i="23"/>
  <c r="G152" i="23"/>
  <c r="H141" i="23"/>
  <c r="G141" i="23"/>
  <c r="H130" i="23"/>
  <c r="G130" i="23"/>
  <c r="G129" i="23"/>
  <c r="H128" i="23"/>
  <c r="H126" i="23"/>
  <c r="G126" i="23"/>
  <c r="H123" i="23"/>
  <c r="G123" i="23"/>
  <c r="H119" i="23"/>
  <c r="G119" i="23"/>
  <c r="H113" i="23"/>
  <c r="G113" i="23"/>
  <c r="H108" i="23"/>
  <c r="G108" i="23"/>
  <c r="H104" i="23"/>
  <c r="G104" i="23"/>
  <c r="H102" i="23"/>
  <c r="G102" i="23"/>
  <c r="H96" i="23"/>
  <c r="G96" i="23"/>
  <c r="H93" i="23"/>
  <c r="G93" i="23"/>
  <c r="H91" i="23"/>
  <c r="G91" i="23"/>
  <c r="H88" i="23"/>
  <c r="G88" i="23"/>
  <c r="G87" i="23" s="1"/>
  <c r="H81" i="23"/>
  <c r="G81" i="23"/>
  <c r="G80" i="23" s="1"/>
  <c r="G79" i="23" s="1"/>
  <c r="H76" i="23"/>
  <c r="H75" i="23" s="1"/>
  <c r="G76" i="23"/>
  <c r="G75" i="23" s="1"/>
  <c r="H64" i="23"/>
  <c r="G64" i="23"/>
  <c r="H62" i="23"/>
  <c r="G62" i="23"/>
  <c r="H57" i="23"/>
  <c r="G57" i="23"/>
  <c r="G56" i="23" s="1"/>
  <c r="G55" i="23" s="1"/>
  <c r="H50" i="23"/>
  <c r="G50" i="23"/>
  <c r="H47" i="23"/>
  <c r="G47" i="23"/>
  <c r="H45" i="23"/>
  <c r="G45" i="23"/>
  <c r="H36" i="23"/>
  <c r="G36" i="23"/>
  <c r="H28" i="23"/>
  <c r="G28" i="23"/>
  <c r="H17" i="23"/>
  <c r="G17" i="23"/>
  <c r="G16" i="23" s="1"/>
  <c r="H696" i="23" l="1"/>
  <c r="I338" i="23"/>
  <c r="I766" i="23"/>
  <c r="I782" i="23"/>
  <c r="I792" i="23"/>
  <c r="I801" i="23"/>
  <c r="I837" i="23"/>
  <c r="I850" i="23"/>
  <c r="I877" i="23"/>
  <c r="I882" i="23"/>
  <c r="H451" i="23"/>
  <c r="H450" i="23"/>
  <c r="H449" i="23" s="1"/>
  <c r="G450" i="23"/>
  <c r="G449" i="23" s="1"/>
  <c r="G451" i="23"/>
  <c r="I108" i="23"/>
  <c r="I126" i="23"/>
  <c r="H208" i="23"/>
  <c r="G90" i="23"/>
  <c r="I285" i="23"/>
  <c r="I303" i="23"/>
  <c r="I323" i="23"/>
  <c r="G549" i="23"/>
  <c r="I91" i="23"/>
  <c r="I104" i="23"/>
  <c r="I123" i="23"/>
  <c r="I141" i="23"/>
  <c r="I154" i="23"/>
  <c r="I163" i="23"/>
  <c r="I193" i="23"/>
  <c r="I327" i="23"/>
  <c r="H549" i="23"/>
  <c r="H544" i="23" s="1"/>
  <c r="I93" i="23"/>
  <c r="I57" i="23"/>
  <c r="I64" i="23"/>
  <c r="I81" i="23"/>
  <c r="I733" i="23"/>
  <c r="H765" i="23"/>
  <c r="I765" i="23" s="1"/>
  <c r="I779" i="23"/>
  <c r="I798" i="23"/>
  <c r="I803" i="23"/>
  <c r="I846" i="23"/>
  <c r="I874" i="23"/>
  <c r="I879" i="23"/>
  <c r="I883" i="23"/>
  <c r="I361" i="23"/>
  <c r="H667" i="23"/>
  <c r="H666" i="23" s="1"/>
  <c r="I88" i="23"/>
  <c r="H242" i="23"/>
  <c r="I469" i="23"/>
  <c r="G797" i="23"/>
  <c r="G796" i="23" s="1"/>
  <c r="I290" i="23"/>
  <c r="H289" i="23"/>
  <c r="H56" i="23"/>
  <c r="H55" i="23" s="1"/>
  <c r="H140" i="23"/>
  <c r="H139" i="23" s="1"/>
  <c r="I161" i="23"/>
  <c r="I169" i="23"/>
  <c r="I190" i="23"/>
  <c r="I305" i="23"/>
  <c r="I325" i="23"/>
  <c r="I334" i="23"/>
  <c r="I344" i="23"/>
  <c r="I350" i="23"/>
  <c r="I389" i="23"/>
  <c r="H617" i="23"/>
  <c r="H616" i="23" s="1"/>
  <c r="H639" i="23"/>
  <c r="H638" i="23" s="1"/>
  <c r="H675" i="23"/>
  <c r="H674" i="23" s="1"/>
  <c r="I740" i="23"/>
  <c r="I130" i="23"/>
  <c r="I220" i="23"/>
  <c r="I259" i="23"/>
  <c r="I434" i="23"/>
  <c r="I456" i="23"/>
  <c r="H219" i="23"/>
  <c r="H218" i="23" s="1"/>
  <c r="I223" i="23"/>
  <c r="I257" i="23"/>
  <c r="H433" i="23"/>
  <c r="H432" i="23" s="1"/>
  <c r="H455" i="23"/>
  <c r="I455" i="23" s="1"/>
  <c r="H791" i="23"/>
  <c r="I791" i="23" s="1"/>
  <c r="H800" i="23"/>
  <c r="I800" i="23" s="1"/>
  <c r="H802" i="23"/>
  <c r="I802" i="23" s="1"/>
  <c r="H836" i="23"/>
  <c r="H835" i="23" s="1"/>
  <c r="H843" i="23"/>
  <c r="I843" i="23" s="1"/>
  <c r="H849" i="23"/>
  <c r="I849" i="23" s="1"/>
  <c r="H881" i="23"/>
  <c r="I881" i="23" s="1"/>
  <c r="H148" i="23"/>
  <c r="I152" i="23"/>
  <c r="G639" i="23"/>
  <c r="G731" i="23"/>
  <c r="G747" i="23"/>
  <c r="I776" i="23"/>
  <c r="H774" i="23"/>
  <c r="G27" i="23"/>
  <c r="G74" i="23"/>
  <c r="I466" i="23"/>
  <c r="H465" i="23"/>
  <c r="G501" i="23"/>
  <c r="I501" i="23" s="1"/>
  <c r="H505" i="23"/>
  <c r="G537" i="23"/>
  <c r="I537" i="23" s="1"/>
  <c r="G574" i="23"/>
  <c r="I574" i="23" s="1"/>
  <c r="H600" i="23"/>
  <c r="G617" i="23"/>
  <c r="G629" i="23"/>
  <c r="G662" i="23"/>
  <c r="I662" i="23" s="1"/>
  <c r="G714" i="23"/>
  <c r="I714" i="23" s="1"/>
  <c r="I732" i="23"/>
  <c r="H731" i="23"/>
  <c r="G867" i="23"/>
  <c r="G15" i="23"/>
  <c r="I250" i="23"/>
  <c r="H249" i="23"/>
  <c r="G271" i="23"/>
  <c r="G514" i="23"/>
  <c r="I514" i="23" s="1"/>
  <c r="H536" i="23"/>
  <c r="G689" i="23"/>
  <c r="I689" i="23" s="1"/>
  <c r="H18" i="23"/>
  <c r="I18" i="23" s="1"/>
  <c r="I19" i="23"/>
  <c r="G205" i="23"/>
  <c r="I442" i="23"/>
  <c r="H441" i="23"/>
  <c r="G369" i="23"/>
  <c r="G532" i="23"/>
  <c r="I532" i="23" s="1"/>
  <c r="H644" i="23"/>
  <c r="G675" i="23"/>
  <c r="H742" i="23"/>
  <c r="I744" i="23"/>
  <c r="I750" i="23"/>
  <c r="H749" i="23"/>
  <c r="H816" i="23"/>
  <c r="I817" i="23"/>
  <c r="I829" i="23"/>
  <c r="H828" i="23"/>
  <c r="I739" i="23"/>
  <c r="H61" i="23"/>
  <c r="I62" i="23"/>
  <c r="H183" i="23"/>
  <c r="H182" i="23" s="1"/>
  <c r="I187" i="23"/>
  <c r="G233" i="23"/>
  <c r="I233" i="23" s="1"/>
  <c r="I234" i="23"/>
  <c r="G261" i="23"/>
  <c r="I261" i="23" s="1"/>
  <c r="G667" i="23"/>
  <c r="I723" i="23"/>
  <c r="H722" i="23"/>
  <c r="H713" i="23" s="1"/>
  <c r="G78" i="23"/>
  <c r="H95" i="23"/>
  <c r="I96" i="23"/>
  <c r="H118" i="23"/>
  <c r="I119" i="23"/>
  <c r="I283" i="23"/>
  <c r="H282" i="23"/>
  <c r="H299" i="23"/>
  <c r="H296" i="23" s="1"/>
  <c r="H358" i="23"/>
  <c r="I359" i="23"/>
  <c r="G208" i="23"/>
  <c r="G240" i="23"/>
  <c r="I240" i="23" s="1"/>
  <c r="H425" i="23"/>
  <c r="I426" i="23"/>
  <c r="G506" i="23"/>
  <c r="I506" i="23" s="1"/>
  <c r="H101" i="23"/>
  <c r="I102" i="23"/>
  <c r="H112" i="23"/>
  <c r="I113" i="23"/>
  <c r="G128" i="23"/>
  <c r="I128" i="23" s="1"/>
  <c r="I129" i="23"/>
  <c r="G242" i="23"/>
  <c r="I297" i="23"/>
  <c r="I310" i="23"/>
  <c r="H309" i="23"/>
  <c r="H332" i="23"/>
  <c r="I333" i="23"/>
  <c r="H346" i="23"/>
  <c r="H337" i="23" s="1"/>
  <c r="I347" i="23"/>
  <c r="H352" i="23"/>
  <c r="I353" i="23"/>
  <c r="I383" i="23"/>
  <c r="H382" i="23"/>
  <c r="H376" i="23" s="1"/>
  <c r="G400" i="23"/>
  <c r="I453" i="23"/>
  <c r="G479" i="23"/>
  <c r="I479" i="23" s="1"/>
  <c r="G485" i="23"/>
  <c r="G484" i="23" s="1"/>
  <c r="H513" i="23"/>
  <c r="G568" i="23"/>
  <c r="I568" i="23" s="1"/>
  <c r="G577" i="23"/>
  <c r="G582" i="23"/>
  <c r="G595" i="23"/>
  <c r="G645" i="23"/>
  <c r="H688" i="23"/>
  <c r="G702" i="23"/>
  <c r="I702" i="23" s="1"/>
  <c r="G718" i="23"/>
  <c r="I718" i="23" s="1"/>
  <c r="I762" i="23"/>
  <c r="H761" i="23"/>
  <c r="I761" i="23" s="1"/>
  <c r="I771" i="23"/>
  <c r="H770" i="23"/>
  <c r="H80" i="23"/>
  <c r="H87" i="23"/>
  <c r="H90" i="23"/>
  <c r="H107" i="23"/>
  <c r="G176" i="23"/>
  <c r="H74" i="23"/>
  <c r="I75" i="23"/>
  <c r="G86" i="23"/>
  <c r="G101" i="23"/>
  <c r="G183" i="23"/>
  <c r="H197" i="23"/>
  <c r="I198" i="23"/>
  <c r="G222" i="23"/>
  <c r="H232" i="23"/>
  <c r="G249" i="23"/>
  <c r="H265" i="23"/>
  <c r="I266" i="23"/>
  <c r="G282" i="23"/>
  <c r="G322" i="23"/>
  <c r="G332" i="23"/>
  <c r="G346" i="23"/>
  <c r="G352" i="23"/>
  <c r="G358" i="23"/>
  <c r="G382" i="23"/>
  <c r="G376" i="23" s="1"/>
  <c r="I398" i="23"/>
  <c r="H411" i="23"/>
  <c r="I411" i="23" s="1"/>
  <c r="I412" i="23"/>
  <c r="G425" i="23"/>
  <c r="I545" i="23"/>
  <c r="H609" i="23"/>
  <c r="I610" i="23"/>
  <c r="G722" i="23"/>
  <c r="G742" i="23"/>
  <c r="G816" i="23"/>
  <c r="G873" i="23"/>
  <c r="I17" i="23"/>
  <c r="I36" i="23"/>
  <c r="I47" i="23"/>
  <c r="I177" i="23"/>
  <c r="I211" i="23"/>
  <c r="I215" i="23"/>
  <c r="I245" i="23"/>
  <c r="I371" i="23"/>
  <c r="I403" i="23"/>
  <c r="I416" i="23"/>
  <c r="I419" i="23"/>
  <c r="I481" i="23"/>
  <c r="I494" i="23"/>
  <c r="I508" i="23"/>
  <c r="I516" i="23"/>
  <c r="I527" i="23"/>
  <c r="I534" i="23"/>
  <c r="I552" i="23"/>
  <c r="I558" i="23"/>
  <c r="I561" i="23"/>
  <c r="I579" i="23"/>
  <c r="I584" i="23"/>
  <c r="I589" i="23"/>
  <c r="I598" i="23"/>
  <c r="I620" i="23"/>
  <c r="I626" i="23"/>
  <c r="I632" i="23"/>
  <c r="I642" i="23"/>
  <c r="I664" i="23"/>
  <c r="I670" i="23"/>
  <c r="I679" i="23"/>
  <c r="I691" i="23"/>
  <c r="I704" i="23"/>
  <c r="I859" i="23"/>
  <c r="I869" i="23"/>
  <c r="H252" i="23"/>
  <c r="I253" i="23"/>
  <c r="G265" i="23"/>
  <c r="H313" i="23"/>
  <c r="I314" i="23"/>
  <c r="G609" i="23"/>
  <c r="G858" i="23"/>
  <c r="H27" i="23"/>
  <c r="I28" i="23"/>
  <c r="G61" i="23"/>
  <c r="G95" i="23"/>
  <c r="G112" i="23"/>
  <c r="G148" i="23"/>
  <c r="G160" i="23"/>
  <c r="H205" i="23"/>
  <c r="I206" i="23"/>
  <c r="G252" i="23"/>
  <c r="H271" i="23"/>
  <c r="I272" i="23"/>
  <c r="G313" i="23"/>
  <c r="H369" i="23"/>
  <c r="I370" i="23"/>
  <c r="I377" i="23"/>
  <c r="H400" i="23"/>
  <c r="I401" i="23"/>
  <c r="H485" i="23"/>
  <c r="I486" i="23"/>
  <c r="G530" i="23"/>
  <c r="G524" i="23" s="1"/>
  <c r="I531" i="23"/>
  <c r="G556" i="23"/>
  <c r="I557" i="23"/>
  <c r="H629" i="23"/>
  <c r="I630" i="23"/>
  <c r="I698" i="23"/>
  <c r="H16" i="23"/>
  <c r="I45" i="23"/>
  <c r="I50" i="23"/>
  <c r="I76" i="23"/>
  <c r="G107" i="23"/>
  <c r="G140" i="23"/>
  <c r="H176" i="23"/>
  <c r="I179" i="23"/>
  <c r="G197" i="23"/>
  <c r="I209" i="23"/>
  <c r="I213" i="23"/>
  <c r="G218" i="23"/>
  <c r="H239" i="23"/>
  <c r="I241" i="23"/>
  <c r="I243" i="23"/>
  <c r="I262" i="23"/>
  <c r="G299" i="23"/>
  <c r="G309" i="23"/>
  <c r="I405" i="23"/>
  <c r="H415" i="23"/>
  <c r="I415" i="23" s="1"/>
  <c r="H418" i="23"/>
  <c r="I418" i="23" s="1"/>
  <c r="I420" i="23"/>
  <c r="G432" i="23"/>
  <c r="G441" i="23"/>
  <c r="G454" i="23"/>
  <c r="G465" i="23"/>
  <c r="H478" i="23"/>
  <c r="I480" i="23"/>
  <c r="I496" i="23"/>
  <c r="I502" i="23"/>
  <c r="I507" i="23"/>
  <c r="I515" i="23"/>
  <c r="I525" i="23"/>
  <c r="I533" i="23"/>
  <c r="I538" i="23"/>
  <c r="I547" i="23"/>
  <c r="I550" i="23"/>
  <c r="I560" i="23"/>
  <c r="I566" i="23"/>
  <c r="I569" i="23"/>
  <c r="I575" i="23"/>
  <c r="I578" i="23"/>
  <c r="I583" i="23"/>
  <c r="I587" i="23"/>
  <c r="I596" i="23"/>
  <c r="I618" i="23"/>
  <c r="I624" i="23"/>
  <c r="I640" i="23"/>
  <c r="I646" i="23"/>
  <c r="I663" i="23"/>
  <c r="I668" i="23"/>
  <c r="I672" i="23"/>
  <c r="I676" i="23"/>
  <c r="I690" i="23"/>
  <c r="I703" i="23"/>
  <c r="I715" i="23"/>
  <c r="I719" i="23"/>
  <c r="G770" i="23"/>
  <c r="G774" i="23"/>
  <c r="G790" i="23"/>
  <c r="G828" i="23"/>
  <c r="G835" i="23"/>
  <c r="G842" i="23"/>
  <c r="H858" i="23"/>
  <c r="H868" i="23"/>
  <c r="G493" i="23"/>
  <c r="H524" i="23"/>
  <c r="H553" i="23"/>
  <c r="H493" i="23"/>
  <c r="H582" i="23"/>
  <c r="H595" i="23"/>
  <c r="H302" i="23"/>
  <c r="G302" i="23"/>
  <c r="H322" i="23"/>
  <c r="H160" i="23"/>
  <c r="H35" i="23"/>
  <c r="G35" i="23"/>
  <c r="F552" i="23"/>
  <c r="J552" i="23" s="1"/>
  <c r="D90" i="1"/>
  <c r="H90" i="1" s="1"/>
  <c r="I55" i="23" l="1"/>
  <c r="I242" i="23"/>
  <c r="I369" i="23"/>
  <c r="H222" i="23"/>
  <c r="I222" i="23" s="1"/>
  <c r="H790" i="23"/>
  <c r="H789" i="23" s="1"/>
  <c r="I549" i="23"/>
  <c r="H336" i="23"/>
  <c r="H331" i="23" s="1"/>
  <c r="G544" i="23"/>
  <c r="I544" i="23" s="1"/>
  <c r="I667" i="23"/>
  <c r="I208" i="23"/>
  <c r="G492" i="23"/>
  <c r="G696" i="23"/>
  <c r="I485" i="23"/>
  <c r="H484" i="23"/>
  <c r="H483" i="23" s="1"/>
  <c r="H842" i="23"/>
  <c r="H841" i="23" s="1"/>
  <c r="I219" i="23"/>
  <c r="H764" i="23"/>
  <c r="I764" i="23" s="1"/>
  <c r="H661" i="23"/>
  <c r="H660" i="23" s="1"/>
  <c r="H543" i="23"/>
  <c r="I400" i="23"/>
  <c r="I639" i="23"/>
  <c r="I90" i="23"/>
  <c r="H873" i="23"/>
  <c r="H872" i="23" s="1"/>
  <c r="H871" i="23" s="1"/>
  <c r="H375" i="23"/>
  <c r="H368" i="23" s="1"/>
  <c r="G713" i="23"/>
  <c r="G712" i="23" s="1"/>
  <c r="I836" i="23"/>
  <c r="I433" i="23"/>
  <c r="I56" i="23"/>
  <c r="H454" i="23"/>
  <c r="I454" i="23" s="1"/>
  <c r="H797" i="23"/>
  <c r="I617" i="23"/>
  <c r="I27" i="23"/>
  <c r="I309" i="23"/>
  <c r="I95" i="23"/>
  <c r="H34" i="23"/>
  <c r="I35" i="23"/>
  <c r="G483" i="23"/>
  <c r="H523" i="23"/>
  <c r="I524" i="23"/>
  <c r="G827" i="23"/>
  <c r="H86" i="23"/>
  <c r="I87" i="23"/>
  <c r="H100" i="23"/>
  <c r="I101" i="23"/>
  <c r="G204" i="23"/>
  <c r="G14" i="23"/>
  <c r="G34" i="23"/>
  <c r="G523" i="23"/>
  <c r="H712" i="23"/>
  <c r="G834" i="23"/>
  <c r="H477" i="23"/>
  <c r="G440" i="23"/>
  <c r="I697" i="23"/>
  <c r="H270" i="23"/>
  <c r="I271" i="23"/>
  <c r="H204" i="23"/>
  <c r="I205" i="23"/>
  <c r="G147" i="23"/>
  <c r="G608" i="23"/>
  <c r="G264" i="23"/>
  <c r="I790" i="23"/>
  <c r="H687" i="23"/>
  <c r="G644" i="23"/>
  <c r="I644" i="23" s="1"/>
  <c r="H512" i="23"/>
  <c r="G478" i="23"/>
  <c r="I828" i="23"/>
  <c r="H827" i="23"/>
  <c r="G17" i="43" s="1"/>
  <c r="I749" i="23"/>
  <c r="H748" i="23"/>
  <c r="G674" i="23"/>
  <c r="I674" i="23" s="1"/>
  <c r="G600" i="23"/>
  <c r="I600" i="23" s="1"/>
  <c r="H217" i="23"/>
  <c r="I218" i="23"/>
  <c r="I731" i="23"/>
  <c r="H730" i="23"/>
  <c r="G616" i="23"/>
  <c r="I616" i="23" s="1"/>
  <c r="H504" i="23"/>
  <c r="I465" i="23"/>
  <c r="H463" i="23"/>
  <c r="H464" i="23"/>
  <c r="G73" i="23"/>
  <c r="G730" i="23"/>
  <c r="G270" i="23"/>
  <c r="I346" i="23"/>
  <c r="I282" i="23"/>
  <c r="I722" i="23"/>
  <c r="I183" i="23"/>
  <c r="I432" i="23"/>
  <c r="I249" i="23"/>
  <c r="G795" i="23"/>
  <c r="G872" i="23"/>
  <c r="G182" i="23"/>
  <c r="I182" i="23" s="1"/>
  <c r="I858" i="23"/>
  <c r="H857" i="23"/>
  <c r="G789" i="23"/>
  <c r="G769" i="23"/>
  <c r="G217" i="23"/>
  <c r="G139" i="23"/>
  <c r="H15" i="23"/>
  <c r="I16" i="23"/>
  <c r="G815" i="23"/>
  <c r="G741" i="23"/>
  <c r="H608" i="23"/>
  <c r="I609" i="23"/>
  <c r="G321" i="23"/>
  <c r="G320" i="23" s="1"/>
  <c r="G319" i="23" s="1"/>
  <c r="H264" i="23"/>
  <c r="I265" i="23"/>
  <c r="H231" i="23"/>
  <c r="H196" i="23"/>
  <c r="I197" i="23"/>
  <c r="G100" i="23"/>
  <c r="H73" i="23"/>
  <c r="I74" i="23"/>
  <c r="I107" i="23"/>
  <c r="H106" i="23"/>
  <c r="G13" i="43" s="1"/>
  <c r="G581" i="23"/>
  <c r="I450" i="23"/>
  <c r="H295" i="23"/>
  <c r="H111" i="23"/>
  <c r="I112" i="23"/>
  <c r="I358" i="23"/>
  <c r="H357" i="23"/>
  <c r="H117" i="23"/>
  <c r="H815" i="23"/>
  <c r="I816" i="23"/>
  <c r="H741" i="23"/>
  <c r="I742" i="23"/>
  <c r="H138" i="23"/>
  <c r="G628" i="23"/>
  <c r="G746" i="23"/>
  <c r="I289" i="23"/>
  <c r="G337" i="23"/>
  <c r="I337" i="23" s="1"/>
  <c r="I382" i="23"/>
  <c r="I645" i="23"/>
  <c r="I601" i="23"/>
  <c r="H181" i="23"/>
  <c r="H492" i="23"/>
  <c r="G14" i="43" s="1"/>
  <c r="I493" i="23"/>
  <c r="G463" i="23"/>
  <c r="G464" i="23"/>
  <c r="I176" i="23"/>
  <c r="H175" i="23"/>
  <c r="G424" i="23"/>
  <c r="G357" i="23"/>
  <c r="G594" i="23"/>
  <c r="I425" i="23"/>
  <c r="H424" i="23"/>
  <c r="H147" i="23"/>
  <c r="I148" i="23"/>
  <c r="H159" i="23"/>
  <c r="I160" i="23"/>
  <c r="G301" i="23"/>
  <c r="H321" i="23"/>
  <c r="H320" i="23" s="1"/>
  <c r="H319" i="23" s="1"/>
  <c r="I322" i="23"/>
  <c r="G375" i="23"/>
  <c r="H301" i="23"/>
  <c r="I302" i="23"/>
  <c r="H594" i="23"/>
  <c r="I595" i="23"/>
  <c r="H581" i="23"/>
  <c r="I582" i="23"/>
  <c r="I868" i="23"/>
  <c r="H867" i="23"/>
  <c r="G841" i="23"/>
  <c r="G773" i="23"/>
  <c r="G772" i="23" s="1"/>
  <c r="G196" i="23"/>
  <c r="G106" i="23"/>
  <c r="H628" i="23"/>
  <c r="I629" i="23"/>
  <c r="G312" i="23"/>
  <c r="G159" i="23"/>
  <c r="G111" i="23"/>
  <c r="G60" i="23"/>
  <c r="G857" i="23"/>
  <c r="H312" i="23"/>
  <c r="I313" i="23"/>
  <c r="G175" i="23"/>
  <c r="H79" i="23"/>
  <c r="I80" i="23"/>
  <c r="I770" i="23"/>
  <c r="H769" i="23"/>
  <c r="G505" i="23"/>
  <c r="I505" i="23" s="1"/>
  <c r="G239" i="23"/>
  <c r="I239" i="23" s="1"/>
  <c r="G666" i="23"/>
  <c r="I666" i="23" s="1"/>
  <c r="G232" i="23"/>
  <c r="I61" i="23"/>
  <c r="H60" i="23"/>
  <c r="I835" i="23"/>
  <c r="H834" i="23"/>
  <c r="I781" i="23"/>
  <c r="I441" i="23"/>
  <c r="H440" i="23"/>
  <c r="G688" i="23"/>
  <c r="G513" i="23"/>
  <c r="I513" i="23" s="1"/>
  <c r="G866" i="23"/>
  <c r="G536" i="23"/>
  <c r="I536" i="23" s="1"/>
  <c r="I774" i="23"/>
  <c r="H773" i="23"/>
  <c r="H772" i="23" s="1"/>
  <c r="G638" i="23"/>
  <c r="I638" i="23" s="1"/>
  <c r="G118" i="23"/>
  <c r="G553" i="23"/>
  <c r="G296" i="23"/>
  <c r="I376" i="23"/>
  <c r="I252" i="23"/>
  <c r="I451" i="23"/>
  <c r="I352" i="23"/>
  <c r="I332" i="23"/>
  <c r="I577" i="23"/>
  <c r="I140" i="23"/>
  <c r="I556" i="23"/>
  <c r="I530" i="23"/>
  <c r="I675" i="23"/>
  <c r="F343" i="23"/>
  <c r="J343" i="23" s="1"/>
  <c r="D408" i="1"/>
  <c r="H408" i="1" s="1"/>
  <c r="F23" i="43" l="1"/>
  <c r="G23" i="43"/>
  <c r="F17" i="43"/>
  <c r="H17" i="43" s="1"/>
  <c r="F15" i="43"/>
  <c r="F13" i="43"/>
  <c r="G15" i="43"/>
  <c r="G491" i="23"/>
  <c r="G490" i="23" s="1"/>
  <c r="F14" i="43"/>
  <c r="H14" i="43" s="1"/>
  <c r="G543" i="23"/>
  <c r="I543" i="23" s="1"/>
  <c r="I375" i="23"/>
  <c r="I842" i="23"/>
  <c r="I713" i="23"/>
  <c r="I484" i="23"/>
  <c r="I873" i="23"/>
  <c r="I872" i="23"/>
  <c r="I60" i="23"/>
  <c r="I797" i="23"/>
  <c r="H796" i="23"/>
  <c r="I175" i="23"/>
  <c r="I464" i="23"/>
  <c r="I553" i="23"/>
  <c r="I111" i="23"/>
  <c r="I196" i="23"/>
  <c r="I440" i="23"/>
  <c r="H439" i="23"/>
  <c r="G20" i="43" s="1"/>
  <c r="I769" i="23"/>
  <c r="I741" i="23"/>
  <c r="H738" i="23"/>
  <c r="H448" i="23"/>
  <c r="I449" i="23"/>
  <c r="I608" i="23"/>
  <c r="G138" i="23"/>
  <c r="I138" i="23" s="1"/>
  <c r="I841" i="23"/>
  <c r="H840" i="23"/>
  <c r="G477" i="23"/>
  <c r="H203" i="23"/>
  <c r="I204" i="23"/>
  <c r="H476" i="23"/>
  <c r="H711" i="23"/>
  <c r="I712" i="23"/>
  <c r="G448" i="23"/>
  <c r="G13" i="23"/>
  <c r="I86" i="23"/>
  <c r="H85" i="23"/>
  <c r="G711" i="23"/>
  <c r="G117" i="23"/>
  <c r="I117" i="23" s="1"/>
  <c r="H78" i="23"/>
  <c r="I78" i="23" s="1"/>
  <c r="I79" i="23"/>
  <c r="G158" i="23"/>
  <c r="I628" i="23"/>
  <c r="H615" i="23"/>
  <c r="I301" i="23"/>
  <c r="H330" i="23"/>
  <c r="H158" i="23"/>
  <c r="I159" i="23"/>
  <c r="G414" i="23"/>
  <c r="G462" i="23"/>
  <c r="G695" i="23"/>
  <c r="H855" i="23"/>
  <c r="I857" i="23"/>
  <c r="H856" i="23"/>
  <c r="G181" i="23"/>
  <c r="I181" i="23" s="1"/>
  <c r="G72" i="23"/>
  <c r="I730" i="23"/>
  <c r="H729" i="23"/>
  <c r="H747" i="23"/>
  <c r="I748" i="23"/>
  <c r="I827" i="23"/>
  <c r="H826" i="23"/>
  <c r="I789" i="23"/>
  <c r="I696" i="23"/>
  <c r="H695" i="23"/>
  <c r="G826" i="23"/>
  <c r="I312" i="23"/>
  <c r="I581" i="23"/>
  <c r="I118" i="23"/>
  <c r="I478" i="23"/>
  <c r="I834" i="23"/>
  <c r="H833" i="23"/>
  <c r="G760" i="23"/>
  <c r="H72" i="23"/>
  <c r="I73" i="23"/>
  <c r="G814" i="23"/>
  <c r="G295" i="23"/>
  <c r="I295" i="23" s="1"/>
  <c r="I773" i="23"/>
  <c r="G687" i="23"/>
  <c r="I687" i="23" s="1"/>
  <c r="G661" i="23"/>
  <c r="G504" i="23"/>
  <c r="G840" i="23"/>
  <c r="I424" i="23"/>
  <c r="H414" i="23"/>
  <c r="H491" i="23"/>
  <c r="I492" i="23"/>
  <c r="G336" i="23"/>
  <c r="H137" i="23"/>
  <c r="H814" i="23"/>
  <c r="I815" i="23"/>
  <c r="H294" i="23"/>
  <c r="H288" i="23" s="1"/>
  <c r="H230" i="23"/>
  <c r="G738" i="23"/>
  <c r="H14" i="23"/>
  <c r="I15" i="23"/>
  <c r="H659" i="23"/>
  <c r="G871" i="23"/>
  <c r="I871" i="23" s="1"/>
  <c r="G729" i="23"/>
  <c r="G146" i="23"/>
  <c r="G522" i="23"/>
  <c r="G26" i="23"/>
  <c r="G203" i="23"/>
  <c r="I523" i="23"/>
  <c r="H522" i="23"/>
  <c r="H26" i="23"/>
  <c r="I34" i="23"/>
  <c r="H542" i="23"/>
  <c r="G85" i="23"/>
  <c r="I217" i="23"/>
  <c r="I688" i="23"/>
  <c r="I270" i="23"/>
  <c r="I100" i="23"/>
  <c r="G512" i="23"/>
  <c r="I512" i="23" s="1"/>
  <c r="I867" i="23"/>
  <c r="H866" i="23"/>
  <c r="I866" i="23" s="1"/>
  <c r="H174" i="23"/>
  <c r="I264" i="23"/>
  <c r="H238" i="23"/>
  <c r="G231" i="23"/>
  <c r="I231" i="23" s="1"/>
  <c r="G238" i="23"/>
  <c r="G856" i="23"/>
  <c r="G855" i="23"/>
  <c r="H593" i="23"/>
  <c r="I594" i="23"/>
  <c r="G368" i="23"/>
  <c r="I321" i="23"/>
  <c r="H146" i="23"/>
  <c r="I147" i="23"/>
  <c r="G593" i="23"/>
  <c r="G745" i="23"/>
  <c r="G788" i="23"/>
  <c r="I463" i="23"/>
  <c r="H462" i="23"/>
  <c r="G615" i="23"/>
  <c r="H511" i="23"/>
  <c r="H686" i="23"/>
  <c r="G439" i="23"/>
  <c r="G833" i="23"/>
  <c r="I483" i="23"/>
  <c r="I139" i="23"/>
  <c r="I357" i="23"/>
  <c r="I296" i="23"/>
  <c r="I106" i="23"/>
  <c r="I232" i="23"/>
  <c r="H15" i="43" l="1"/>
  <c r="G542" i="23"/>
  <c r="I542" i="23" s="1"/>
  <c r="F11" i="43"/>
  <c r="G174" i="23"/>
  <c r="I174" i="23" s="1"/>
  <c r="H795" i="23"/>
  <c r="I796" i="23"/>
  <c r="I414" i="23"/>
  <c r="G759" i="23"/>
  <c r="H287" i="23"/>
  <c r="H592" i="23"/>
  <c r="I593" i="23"/>
  <c r="G592" i="23"/>
  <c r="G367" i="23"/>
  <c r="G237" i="23"/>
  <c r="I238" i="23"/>
  <c r="H237" i="23"/>
  <c r="G21" i="43" s="1"/>
  <c r="H521" i="23"/>
  <c r="I522" i="23"/>
  <c r="G839" i="23"/>
  <c r="G660" i="23"/>
  <c r="I661" i="23"/>
  <c r="I833" i="23"/>
  <c r="H832" i="23"/>
  <c r="H694" i="23"/>
  <c r="I695" i="23"/>
  <c r="I826" i="23"/>
  <c r="H825" i="23"/>
  <c r="I729" i="23"/>
  <c r="H728" i="23"/>
  <c r="I855" i="23"/>
  <c r="H854" i="23"/>
  <c r="H157" i="23"/>
  <c r="I158" i="23"/>
  <c r="G710" i="23"/>
  <c r="G12" i="23"/>
  <c r="H710" i="23"/>
  <c r="I711" i="23"/>
  <c r="I203" i="23"/>
  <c r="H202" i="23"/>
  <c r="G832" i="23"/>
  <c r="G607" i="23"/>
  <c r="G787" i="23"/>
  <c r="G854" i="23"/>
  <c r="G230" i="23"/>
  <c r="H173" i="23"/>
  <c r="G84" i="23"/>
  <c r="G83" i="23" s="1"/>
  <c r="H25" i="23"/>
  <c r="I26" i="23"/>
  <c r="G202" i="23"/>
  <c r="G521" i="23"/>
  <c r="H658" i="23"/>
  <c r="H228" i="23"/>
  <c r="H229" i="23"/>
  <c r="H813" i="23"/>
  <c r="I814" i="23"/>
  <c r="G331" i="23"/>
  <c r="F20" i="43" s="1"/>
  <c r="H20" i="43" s="1"/>
  <c r="I336" i="23"/>
  <c r="G294" i="23"/>
  <c r="I294" i="23" s="1"/>
  <c r="G813" i="23"/>
  <c r="I747" i="23"/>
  <c r="H746" i="23"/>
  <c r="G71" i="23"/>
  <c r="G461" i="23"/>
  <c r="I840" i="23"/>
  <c r="H839" i="23"/>
  <c r="H737" i="23"/>
  <c r="I738" i="23"/>
  <c r="I439" i="23"/>
  <c r="H438" i="23"/>
  <c r="H367" i="23"/>
  <c r="I772" i="23"/>
  <c r="I368" i="23"/>
  <c r="I615" i="23"/>
  <c r="H607" i="23"/>
  <c r="I320" i="23"/>
  <c r="G511" i="23"/>
  <c r="I511" i="23" s="1"/>
  <c r="G728" i="23"/>
  <c r="G737" i="23"/>
  <c r="G686" i="23"/>
  <c r="I686" i="23" s="1"/>
  <c r="G825" i="23"/>
  <c r="H329" i="23"/>
  <c r="G157" i="23"/>
  <c r="G447" i="23"/>
  <c r="G476" i="23"/>
  <c r="I476" i="23" s="1"/>
  <c r="G137" i="23"/>
  <c r="H447" i="23"/>
  <c r="G12" i="43" s="1"/>
  <c r="I448" i="23"/>
  <c r="I856" i="23"/>
  <c r="H145" i="23"/>
  <c r="I146" i="23"/>
  <c r="G438" i="23"/>
  <c r="I462" i="23"/>
  <c r="H461" i="23"/>
  <c r="H541" i="23"/>
  <c r="G25" i="23"/>
  <c r="G145" i="23"/>
  <c r="H13" i="23"/>
  <c r="G11" i="43" s="1"/>
  <c r="I14" i="23"/>
  <c r="H136" i="23"/>
  <c r="H490" i="23"/>
  <c r="I490" i="23" s="1"/>
  <c r="I491" i="23"/>
  <c r="H71" i="23"/>
  <c r="I72" i="23"/>
  <c r="G694" i="23"/>
  <c r="I85" i="23"/>
  <c r="H84" i="23"/>
  <c r="I504" i="23"/>
  <c r="I477" i="23"/>
  <c r="H760" i="23"/>
  <c r="F17" i="23"/>
  <c r="J17" i="23" s="1"/>
  <c r="D24" i="1"/>
  <c r="H24" i="1" s="1"/>
  <c r="H11" i="43" l="1"/>
  <c r="I230" i="23"/>
  <c r="F21" i="43"/>
  <c r="G541" i="23"/>
  <c r="G540" i="23" s="1"/>
  <c r="F12" i="43"/>
  <c r="H12" i="43" s="1"/>
  <c r="G173" i="23"/>
  <c r="I173" i="23" s="1"/>
  <c r="I71" i="23"/>
  <c r="I795" i="23"/>
  <c r="H788" i="23"/>
  <c r="G24" i="23"/>
  <c r="H446" i="23"/>
  <c r="I447" i="23"/>
  <c r="G446" i="23"/>
  <c r="I319" i="23"/>
  <c r="H736" i="23"/>
  <c r="I737" i="23"/>
  <c r="H24" i="23"/>
  <c r="I25" i="23"/>
  <c r="H759" i="23"/>
  <c r="I760" i="23"/>
  <c r="H83" i="23"/>
  <c r="I83" i="23" s="1"/>
  <c r="I84" i="23"/>
  <c r="I461" i="23"/>
  <c r="H460" i="23"/>
  <c r="G727" i="23"/>
  <c r="H366" i="23"/>
  <c r="I367" i="23"/>
  <c r="G460" i="23"/>
  <c r="H745" i="23"/>
  <c r="I745" i="23" s="1"/>
  <c r="I746" i="23"/>
  <c r="G236" i="23"/>
  <c r="G693" i="23"/>
  <c r="H135" i="23"/>
  <c r="H540" i="23"/>
  <c r="I145" i="23"/>
  <c r="G136" i="23"/>
  <c r="G736" i="23"/>
  <c r="F16" i="43" s="1"/>
  <c r="G812" i="23"/>
  <c r="G201" i="23"/>
  <c r="G228" i="23"/>
  <c r="I228" i="23" s="1"/>
  <c r="G229" i="23"/>
  <c r="G831" i="23"/>
  <c r="I854" i="23"/>
  <c r="H853" i="23"/>
  <c r="I825" i="23"/>
  <c r="H824" i="23"/>
  <c r="I832" i="23"/>
  <c r="H831" i="23"/>
  <c r="G659" i="23"/>
  <c r="I660" i="23"/>
  <c r="G366" i="23"/>
  <c r="H591" i="23"/>
  <c r="I592" i="23"/>
  <c r="G758" i="23"/>
  <c r="G437" i="23"/>
  <c r="G824" i="23"/>
  <c r="H606" i="23"/>
  <c r="I607" i="23"/>
  <c r="I438" i="23"/>
  <c r="H437" i="23"/>
  <c r="H812" i="23"/>
  <c r="I813" i="23"/>
  <c r="G606" i="23"/>
  <c r="G11" i="23"/>
  <c r="H693" i="23"/>
  <c r="I694" i="23"/>
  <c r="H236" i="23"/>
  <c r="I237" i="23"/>
  <c r="I229" i="23"/>
  <c r="I137" i="23"/>
  <c r="H475" i="23"/>
  <c r="I839" i="23"/>
  <c r="G853" i="23"/>
  <c r="I157" i="23"/>
  <c r="H12" i="23"/>
  <c r="I13" i="23"/>
  <c r="G475" i="23"/>
  <c r="G288" i="23"/>
  <c r="G520" i="23"/>
  <c r="H172" i="23"/>
  <c r="H201" i="23"/>
  <c r="I202" i="23"/>
  <c r="I728" i="23"/>
  <c r="H727" i="23"/>
  <c r="H520" i="23"/>
  <c r="I521" i="23"/>
  <c r="G591" i="23"/>
  <c r="G330" i="23"/>
  <c r="I331" i="23"/>
  <c r="I710" i="23"/>
  <c r="G16" i="43" l="1"/>
  <c r="F25" i="43"/>
  <c r="I541" i="23"/>
  <c r="G172" i="23"/>
  <c r="G144" i="23" s="1"/>
  <c r="I24" i="23"/>
  <c r="H787" i="23"/>
  <c r="I787" i="23" s="1"/>
  <c r="I788" i="23"/>
  <c r="I591" i="23"/>
  <c r="I831" i="23"/>
  <c r="I366" i="23"/>
  <c r="I606" i="23"/>
  <c r="I540" i="23"/>
  <c r="I824" i="23"/>
  <c r="H235" i="23"/>
  <c r="I236" i="23"/>
  <c r="G10" i="23"/>
  <c r="H852" i="23"/>
  <c r="I853" i="23"/>
  <c r="G735" i="23"/>
  <c r="H11" i="23"/>
  <c r="I12" i="23"/>
  <c r="I727" i="23"/>
  <c r="G287" i="23"/>
  <c r="I288" i="23"/>
  <c r="G757" i="23"/>
  <c r="G811" i="23"/>
  <c r="G135" i="23"/>
  <c r="G235" i="23"/>
  <c r="H758" i="23"/>
  <c r="I759" i="23"/>
  <c r="H735" i="23"/>
  <c r="I736" i="23"/>
  <c r="G445" i="23"/>
  <c r="G329" i="23"/>
  <c r="I330" i="23"/>
  <c r="I520" i="23"/>
  <c r="H519" i="23"/>
  <c r="I201" i="23"/>
  <c r="G519" i="23"/>
  <c r="G852" i="23"/>
  <c r="I437" i="23"/>
  <c r="H436" i="23"/>
  <c r="G459" i="23"/>
  <c r="I460" i="23"/>
  <c r="H459" i="23"/>
  <c r="I693" i="23"/>
  <c r="I475" i="23"/>
  <c r="H811" i="23"/>
  <c r="I812" i="23"/>
  <c r="H445" i="23"/>
  <c r="I446" i="23"/>
  <c r="G436" i="23"/>
  <c r="G658" i="23"/>
  <c r="I659" i="23"/>
  <c r="H144" i="23"/>
  <c r="I136" i="23"/>
  <c r="H318" i="23"/>
  <c r="G25" i="43" l="1"/>
  <c r="H25" i="43" s="1"/>
  <c r="H16" i="43"/>
  <c r="I172" i="23"/>
  <c r="I811" i="23"/>
  <c r="G200" i="23"/>
  <c r="I235" i="23"/>
  <c r="H200" i="23"/>
  <c r="I658" i="23"/>
  <c r="I459" i="23"/>
  <c r="H458" i="23"/>
  <c r="G458" i="23"/>
  <c r="H757" i="23"/>
  <c r="I758" i="23"/>
  <c r="G756" i="23"/>
  <c r="I287" i="23"/>
  <c r="I11" i="23"/>
  <c r="H10" i="23"/>
  <c r="H444" i="23"/>
  <c r="I445" i="23"/>
  <c r="G510" i="23"/>
  <c r="H510" i="23"/>
  <c r="I519" i="23"/>
  <c r="G318" i="23"/>
  <c r="I318" i="23" s="1"/>
  <c r="I329" i="23"/>
  <c r="H734" i="23"/>
  <c r="I735" i="23"/>
  <c r="I144" i="23"/>
  <c r="I852" i="23"/>
  <c r="I135" i="23"/>
  <c r="I436" i="23"/>
  <c r="G734" i="23"/>
  <c r="G444" i="23"/>
  <c r="D129" i="1"/>
  <c r="H129" i="1" s="1"/>
  <c r="F538" i="23"/>
  <c r="D180" i="1"/>
  <c r="H180" i="1" s="1"/>
  <c r="F597" i="23"/>
  <c r="J597" i="23" s="1"/>
  <c r="F546" i="23"/>
  <c r="J546" i="23" s="1"/>
  <c r="D84" i="1"/>
  <c r="H84" i="1" s="1"/>
  <c r="F526" i="23"/>
  <c r="J526" i="23" s="1"/>
  <c r="D71" i="1"/>
  <c r="F557" i="23"/>
  <c r="J557" i="23" s="1"/>
  <c r="F590" i="23"/>
  <c r="D178" i="1"/>
  <c r="D177" i="1" l="1"/>
  <c r="H177" i="1" s="1"/>
  <c r="H178" i="1"/>
  <c r="H71" i="1"/>
  <c r="I200" i="23"/>
  <c r="I458" i="23"/>
  <c r="F589" i="23"/>
  <c r="J589" i="23" s="1"/>
  <c r="J590" i="23"/>
  <c r="F537" i="23"/>
  <c r="J538" i="23"/>
  <c r="I734" i="23"/>
  <c r="H726" i="23"/>
  <c r="I510" i="23"/>
  <c r="I444" i="23"/>
  <c r="I757" i="23"/>
  <c r="H756" i="23"/>
  <c r="I756" i="23" s="1"/>
  <c r="G726" i="23"/>
  <c r="I10" i="23"/>
  <c r="H9" i="23"/>
  <c r="G9" i="23"/>
  <c r="F167" i="23"/>
  <c r="J167" i="23" s="1"/>
  <c r="D512" i="1"/>
  <c r="H512" i="1" s="1"/>
  <c r="F153" i="23"/>
  <c r="J153" i="23" s="1"/>
  <c r="F199" i="23"/>
  <c r="J199" i="23" s="1"/>
  <c r="D518" i="1"/>
  <c r="H518" i="1" s="1"/>
  <c r="G709" i="23" l="1"/>
  <c r="G885" i="23" s="1"/>
  <c r="C18" i="39" s="1"/>
  <c r="C17" i="39" s="1"/>
  <c r="C16" i="39" s="1"/>
  <c r="C15" i="39" s="1"/>
  <c r="C19" i="39" s="1"/>
  <c r="C10" i="39" s="1"/>
  <c r="C9" i="39" s="1"/>
  <c r="F536" i="23"/>
  <c r="J536" i="23" s="1"/>
  <c r="J537" i="23"/>
  <c r="I9" i="23"/>
  <c r="I726" i="23"/>
  <c r="H709" i="23"/>
  <c r="I709" i="23" l="1"/>
  <c r="H885" i="23"/>
  <c r="F241" i="23"/>
  <c r="J241" i="23" s="1"/>
  <c r="D428" i="1"/>
  <c r="H428" i="1" s="1"/>
  <c r="I885" i="23" l="1"/>
  <c r="D18" i="39"/>
  <c r="D17" i="39" l="1"/>
  <c r="E18" i="39"/>
  <c r="D16" i="39" l="1"/>
  <c r="E17" i="39"/>
  <c r="D15" i="39" l="1"/>
  <c r="E16" i="39"/>
  <c r="E15" i="39" l="1"/>
  <c r="D19" i="39"/>
  <c r="D10" i="39" s="1"/>
  <c r="F247" i="23"/>
  <c r="D9" i="39" l="1"/>
  <c r="E9" i="39" s="1"/>
  <c r="E10" i="39"/>
  <c r="F779" i="23"/>
  <c r="J779" i="23" s="1"/>
  <c r="D276" i="1"/>
  <c r="H276" i="1" s="1"/>
  <c r="F801" i="23" l="1"/>
  <c r="J801" i="23" s="1"/>
  <c r="D260" i="1"/>
  <c r="H260" i="1" s="1"/>
  <c r="F234" i="23"/>
  <c r="J234" i="23" s="1"/>
  <c r="F434" i="23" l="1"/>
  <c r="D592" i="1"/>
  <c r="H592" i="1" s="1"/>
  <c r="F433" i="23" l="1"/>
  <c r="J434" i="23"/>
  <c r="D307" i="1"/>
  <c r="H307" i="1" s="1"/>
  <c r="F432" i="23" l="1"/>
  <c r="J432" i="23" s="1"/>
  <c r="J433" i="23"/>
  <c r="D312" i="1" l="1"/>
  <c r="H312" i="1" s="1"/>
  <c r="F126" i="23"/>
  <c r="J126" i="23" s="1"/>
  <c r="D434" i="1"/>
  <c r="H434" i="1" s="1"/>
  <c r="F123" i="23" l="1"/>
  <c r="J123" i="23" s="1"/>
  <c r="D79" i="1" l="1"/>
  <c r="H79" i="1" s="1"/>
  <c r="F531" i="23"/>
  <c r="J531" i="23" s="1"/>
  <c r="D78" i="1"/>
  <c r="F561" i="23"/>
  <c r="J561" i="23" s="1"/>
  <c r="D99" i="1"/>
  <c r="H99" i="1" s="1"/>
  <c r="F604" i="23"/>
  <c r="H78" i="1" l="1"/>
  <c r="F601" i="23"/>
  <c r="J604" i="23"/>
  <c r="D179" i="1"/>
  <c r="H179" i="1" s="1"/>
  <c r="F600" i="23" l="1"/>
  <c r="J600" i="23" s="1"/>
  <c r="J601" i="23"/>
  <c r="F771" i="23" l="1"/>
  <c r="J771" i="23" s="1"/>
  <c r="D252" i="1"/>
  <c r="H252" i="1" s="1"/>
  <c r="F766" i="23"/>
  <c r="J766" i="23" s="1"/>
  <c r="D247" i="1"/>
  <c r="H247" i="1" s="1"/>
  <c r="D244" i="1"/>
  <c r="H244" i="1" s="1"/>
  <c r="D541" i="1" l="1"/>
  <c r="F317" i="23"/>
  <c r="J317" i="23" s="1"/>
  <c r="H541" i="1" l="1"/>
  <c r="F361" i="23"/>
  <c r="J361" i="23" s="1"/>
  <c r="D590" i="1"/>
  <c r="H590" i="1" s="1"/>
  <c r="F300" i="23" l="1"/>
  <c r="D422" i="1" l="1"/>
  <c r="H422" i="1" s="1"/>
  <c r="F405" i="23"/>
  <c r="J405" i="23" s="1"/>
  <c r="D391" i="1"/>
  <c r="H391" i="1" s="1"/>
  <c r="F398" i="23"/>
  <c r="J398" i="23" s="1"/>
  <c r="D380" i="1"/>
  <c r="H380" i="1" s="1"/>
  <c r="F262" i="23"/>
  <c r="J262" i="23" s="1"/>
  <c r="F338" i="23" l="1"/>
  <c r="J338" i="23" s="1"/>
  <c r="F129" i="23" l="1"/>
  <c r="J129" i="23" s="1"/>
  <c r="D581" i="1" l="1"/>
  <c r="H581" i="1" s="1"/>
  <c r="D374" i="1" l="1"/>
  <c r="H374" i="1" s="1"/>
  <c r="F81" i="23" l="1"/>
  <c r="F80" i="23" l="1"/>
  <c r="J81" i="23"/>
  <c r="F359" i="23"/>
  <c r="J359" i="23" s="1"/>
  <c r="D588" i="1"/>
  <c r="H588" i="1" s="1"/>
  <c r="F79" i="23" l="1"/>
  <c r="J80" i="23"/>
  <c r="F358" i="23"/>
  <c r="D432" i="1"/>
  <c r="H432" i="1" s="1"/>
  <c r="F245" i="23"/>
  <c r="J245" i="23" s="1"/>
  <c r="F357" i="23" l="1"/>
  <c r="J357" i="23" s="1"/>
  <c r="J358" i="23"/>
  <c r="F78" i="23"/>
  <c r="J78" i="23" s="1"/>
  <c r="J79" i="23"/>
  <c r="F381" i="23" l="1"/>
  <c r="J381" i="23" s="1"/>
  <c r="D363" i="1"/>
  <c r="H363" i="1" s="1"/>
  <c r="F250" i="23" l="1"/>
  <c r="D436" i="1"/>
  <c r="D435" i="1" l="1"/>
  <c r="H435" i="1" s="1"/>
  <c r="H436" i="1"/>
  <c r="F249" i="23"/>
  <c r="J249" i="23" s="1"/>
  <c r="J250" i="23"/>
  <c r="F378" i="23"/>
  <c r="J378" i="23" s="1"/>
  <c r="D360" i="1"/>
  <c r="H360" i="1" s="1"/>
  <c r="F243" i="23" l="1"/>
  <c r="D430" i="1"/>
  <c r="F883" i="23"/>
  <c r="J883" i="23" s="1"/>
  <c r="D557" i="1"/>
  <c r="H557" i="1" s="1"/>
  <c r="F819" i="23"/>
  <c r="F681" i="23"/>
  <c r="J681" i="23" s="1"/>
  <c r="F680" i="23"/>
  <c r="J680" i="23" s="1"/>
  <c r="D164" i="1"/>
  <c r="H164" i="1" s="1"/>
  <c r="D163" i="1"/>
  <c r="F453" i="23"/>
  <c r="D122" i="1"/>
  <c r="H122" i="1" s="1"/>
  <c r="F456" i="23"/>
  <c r="D584" i="1"/>
  <c r="H584" i="1" s="1"/>
  <c r="F64" i="23"/>
  <c r="J64" i="23" s="1"/>
  <c r="D564" i="1"/>
  <c r="H564" i="1" l="1"/>
  <c r="H163" i="1"/>
  <c r="D429" i="1"/>
  <c r="H429" i="1" s="1"/>
  <c r="H430" i="1"/>
  <c r="D120" i="1"/>
  <c r="D119" i="1"/>
  <c r="J453" i="23"/>
  <c r="F450" i="23"/>
  <c r="F449" i="23" s="1"/>
  <c r="F451" i="23"/>
  <c r="F455" i="23"/>
  <c r="J456" i="23"/>
  <c r="F817" i="23"/>
  <c r="J817" i="23" s="1"/>
  <c r="J819" i="23"/>
  <c r="F242" i="23"/>
  <c r="J242" i="23" s="1"/>
  <c r="J243" i="23"/>
  <c r="F679" i="23"/>
  <c r="J679" i="23" s="1"/>
  <c r="D162" i="1"/>
  <c r="H162" i="1" s="1"/>
  <c r="H120" i="1" l="1"/>
  <c r="D118" i="1"/>
  <c r="H118" i="1" s="1"/>
  <c r="H119" i="1"/>
  <c r="F816" i="23"/>
  <c r="J816" i="23" s="1"/>
  <c r="F454" i="23"/>
  <c r="J454" i="23" s="1"/>
  <c r="J455" i="23"/>
  <c r="D563" i="1"/>
  <c r="H563" i="1" s="1"/>
  <c r="F587" i="23"/>
  <c r="J587" i="23" s="1"/>
  <c r="D175" i="1"/>
  <c r="H175" i="1" s="1"/>
  <c r="F815" i="23" l="1"/>
  <c r="F814" i="23" s="1"/>
  <c r="J815" i="23" l="1"/>
  <c r="F813" i="23"/>
  <c r="J814" i="23"/>
  <c r="F812" i="23" l="1"/>
  <c r="J813" i="23"/>
  <c r="F811" i="23" l="1"/>
  <c r="J811" i="23" s="1"/>
  <c r="J812" i="23"/>
  <c r="F377" i="23" l="1"/>
  <c r="J377" i="23" s="1"/>
  <c r="F350" i="23"/>
  <c r="J350" i="23" s="1"/>
  <c r="F882" i="23"/>
  <c r="J882" i="23" s="1"/>
  <c r="H72" i="1" l="1"/>
  <c r="D359" i="1"/>
  <c r="H359" i="1" s="1"/>
  <c r="D300" i="1" l="1"/>
  <c r="D417" i="1" l="1"/>
  <c r="H417" i="1" s="1"/>
  <c r="F275" i="23" l="1"/>
  <c r="D465" i="1"/>
  <c r="D464" i="1" l="1"/>
  <c r="H464" i="1" s="1"/>
  <c r="H465" i="1"/>
  <c r="F274" i="23"/>
  <c r="J274" i="23" s="1"/>
  <c r="J275" i="23"/>
  <c r="D586" i="1" l="1"/>
  <c r="H586" i="1" s="1"/>
  <c r="D582" i="1"/>
  <c r="H582" i="1" s="1"/>
  <c r="D580" i="1"/>
  <c r="H580" i="1" s="1"/>
  <c r="D575" i="1"/>
  <c r="H575" i="1" s="1"/>
  <c r="D571" i="1"/>
  <c r="H571" i="1" s="1"/>
  <c r="D569" i="1"/>
  <c r="H569" i="1" s="1"/>
  <c r="D559" i="1"/>
  <c r="H559" i="1" s="1"/>
  <c r="D551" i="1"/>
  <c r="H551" i="1" s="1"/>
  <c r="D549" i="1"/>
  <c r="D547" i="1"/>
  <c r="D544" i="1"/>
  <c r="D540" i="1"/>
  <c r="D534" i="1"/>
  <c r="D528" i="1"/>
  <c r="D524" i="1"/>
  <c r="D521" i="1"/>
  <c r="H521" i="1" s="1"/>
  <c r="D517" i="1"/>
  <c r="D514" i="1"/>
  <c r="H514" i="1" s="1"/>
  <c r="D511" i="1"/>
  <c r="H511" i="1" s="1"/>
  <c r="D509" i="1"/>
  <c r="D507" i="1"/>
  <c r="D502" i="1"/>
  <c r="H502" i="1" s="1"/>
  <c r="D500" i="1"/>
  <c r="H500" i="1" s="1"/>
  <c r="D497" i="1"/>
  <c r="H497" i="1" s="1"/>
  <c r="D489" i="1"/>
  <c r="H489" i="1" s="1"/>
  <c r="D488" i="1"/>
  <c r="D483" i="1"/>
  <c r="H483" i="1" s="1"/>
  <c r="D482" i="1"/>
  <c r="D479" i="1"/>
  <c r="D475" i="1"/>
  <c r="H475" i="1" s="1"/>
  <c r="D473" i="1"/>
  <c r="H473" i="1" s="1"/>
  <c r="D462" i="1"/>
  <c r="D458" i="1"/>
  <c r="D452" i="1"/>
  <c r="D448" i="1"/>
  <c r="D443" i="1"/>
  <c r="H443" i="1" s="1"/>
  <c r="D440" i="1"/>
  <c r="H440" i="1" s="1"/>
  <c r="D439" i="1"/>
  <c r="H439" i="1" s="1"/>
  <c r="D427" i="1"/>
  <c r="D420" i="1"/>
  <c r="D414" i="1"/>
  <c r="D411" i="1"/>
  <c r="H411" i="1" s="1"/>
  <c r="D401" i="1"/>
  <c r="D398" i="1"/>
  <c r="D389" i="1"/>
  <c r="H389" i="1" s="1"/>
  <c r="D385" i="1"/>
  <c r="H385" i="1" s="1"/>
  <c r="D383" i="1"/>
  <c r="H383" i="1" s="1"/>
  <c r="D371" i="1"/>
  <c r="D353" i="1"/>
  <c r="H353" i="1" s="1"/>
  <c r="D352" i="1"/>
  <c r="D347" i="1"/>
  <c r="H347" i="1" s="1"/>
  <c r="D345" i="1"/>
  <c r="H345" i="1" s="1"/>
  <c r="D341" i="1"/>
  <c r="H341" i="1" s="1"/>
  <c r="D338" i="1"/>
  <c r="D334" i="1"/>
  <c r="D328" i="1"/>
  <c r="H328" i="1" s="1"/>
  <c r="D325" i="1"/>
  <c r="H325" i="1" s="1"/>
  <c r="D318" i="1"/>
  <c r="H318" i="1" s="1"/>
  <c r="D314" i="1"/>
  <c r="D304" i="1"/>
  <c r="D298" i="1"/>
  <c r="D294" i="1"/>
  <c r="D291" i="1"/>
  <c r="D287" i="1"/>
  <c r="D280" i="1"/>
  <c r="D273" i="1"/>
  <c r="D268" i="1"/>
  <c r="H268" i="1" s="1"/>
  <c r="D262" i="1"/>
  <c r="D259" i="1"/>
  <c r="H259" i="1" s="1"/>
  <c r="D257" i="1"/>
  <c r="H257" i="1" s="1"/>
  <c r="D255" i="1"/>
  <c r="D251" i="1"/>
  <c r="D246" i="1"/>
  <c r="D243" i="1"/>
  <c r="D237" i="1"/>
  <c r="D234" i="1"/>
  <c r="H234" i="1" s="1"/>
  <c r="D231" i="1"/>
  <c r="D228" i="1"/>
  <c r="H228" i="1" s="1"/>
  <c r="D226" i="1"/>
  <c r="D218" i="1"/>
  <c r="H218" i="1" s="1"/>
  <c r="D216" i="1"/>
  <c r="H216" i="1" s="1"/>
  <c r="D211" i="1"/>
  <c r="D208" i="1"/>
  <c r="H208" i="1" s="1"/>
  <c r="D203" i="1"/>
  <c r="D199" i="1"/>
  <c r="D195" i="1"/>
  <c r="D191" i="1"/>
  <c r="D183" i="1"/>
  <c r="D172" i="1"/>
  <c r="D159" i="1"/>
  <c r="D156" i="1"/>
  <c r="H156" i="1" s="1"/>
  <c r="D154" i="1"/>
  <c r="H154" i="1" s="1"/>
  <c r="D148" i="1"/>
  <c r="H148" i="1" s="1"/>
  <c r="D147" i="1"/>
  <c r="D144" i="1"/>
  <c r="H144" i="1" s="1"/>
  <c r="D140" i="1"/>
  <c r="H140" i="1" s="1"/>
  <c r="D134" i="1"/>
  <c r="H134" i="1" s="1"/>
  <c r="D132" i="1"/>
  <c r="H132" i="1" s="1"/>
  <c r="D131" i="1"/>
  <c r="D128" i="1"/>
  <c r="H128" i="1" s="1"/>
  <c r="D124" i="1"/>
  <c r="D110" i="1"/>
  <c r="H110" i="1" s="1"/>
  <c r="D108" i="1"/>
  <c r="H108" i="1" s="1"/>
  <c r="D104" i="1"/>
  <c r="H104" i="1" s="1"/>
  <c r="D102" i="1"/>
  <c r="H102" i="1" s="1"/>
  <c r="D100" i="1"/>
  <c r="H100" i="1" s="1"/>
  <c r="D98" i="1"/>
  <c r="H98" i="1" s="1"/>
  <c r="D96" i="1"/>
  <c r="H96" i="1" s="1"/>
  <c r="D94" i="1"/>
  <c r="H94" i="1" s="1"/>
  <c r="D92" i="1"/>
  <c r="H92" i="1" s="1"/>
  <c r="D88" i="1"/>
  <c r="D87" i="1"/>
  <c r="H87" i="1" s="1"/>
  <c r="D85" i="1"/>
  <c r="H85" i="1" s="1"/>
  <c r="D83" i="1"/>
  <c r="H83" i="1" s="1"/>
  <c r="D77" i="1"/>
  <c r="H77" i="1" s="1"/>
  <c r="D70" i="1"/>
  <c r="H70" i="1" s="1"/>
  <c r="D65" i="1"/>
  <c r="H65" i="1" s="1"/>
  <c r="D63" i="1"/>
  <c r="H63" i="1" s="1"/>
  <c r="D53" i="1"/>
  <c r="H53" i="1" s="1"/>
  <c r="D51" i="1"/>
  <c r="H51" i="1" s="1"/>
  <c r="D30" i="1"/>
  <c r="H30" i="1" s="1"/>
  <c r="D25" i="1"/>
  <c r="H25" i="1" s="1"/>
  <c r="D23" i="1"/>
  <c r="H23" i="1" s="1"/>
  <c r="D17" i="1"/>
  <c r="H17" i="1" s="1"/>
  <c r="D14" i="1"/>
  <c r="F881" i="23"/>
  <c r="J881" i="23" s="1"/>
  <c r="F879" i="23"/>
  <c r="F877" i="23"/>
  <c r="F876" i="23"/>
  <c r="F869" i="23"/>
  <c r="F850" i="23"/>
  <c r="F846" i="23"/>
  <c r="F837" i="23"/>
  <c r="F829" i="23"/>
  <c r="F803" i="23"/>
  <c r="F800" i="23"/>
  <c r="J800" i="23" s="1"/>
  <c r="F798" i="23"/>
  <c r="J798" i="23" s="1"/>
  <c r="F783" i="23"/>
  <c r="F776" i="23"/>
  <c r="F770" i="23"/>
  <c r="F765" i="23"/>
  <c r="F750" i="23"/>
  <c r="F744" i="23"/>
  <c r="F740" i="23"/>
  <c r="F733" i="23"/>
  <c r="F723" i="23"/>
  <c r="F719" i="23"/>
  <c r="F715" i="23"/>
  <c r="F704" i="23"/>
  <c r="F698" i="23"/>
  <c r="F697" i="23" s="1"/>
  <c r="F691" i="23"/>
  <c r="F676" i="23"/>
  <c r="J676" i="23" s="1"/>
  <c r="F672" i="23"/>
  <c r="J672" i="23" s="1"/>
  <c r="F670" i="23"/>
  <c r="J670" i="23" s="1"/>
  <c r="F668" i="23"/>
  <c r="J668" i="23" s="1"/>
  <c r="F664" i="23"/>
  <c r="F646" i="23"/>
  <c r="F642" i="23"/>
  <c r="J642" i="23" s="1"/>
  <c r="F640" i="23"/>
  <c r="J640" i="23" s="1"/>
  <c r="F634" i="23"/>
  <c r="J634" i="23" s="1"/>
  <c r="F632" i="23"/>
  <c r="J632" i="23" s="1"/>
  <c r="F630" i="23"/>
  <c r="J630" i="23" s="1"/>
  <c r="F626" i="23"/>
  <c r="J626" i="23" s="1"/>
  <c r="F624" i="23"/>
  <c r="J624" i="23" s="1"/>
  <c r="F620" i="23"/>
  <c r="J620" i="23" s="1"/>
  <c r="F618" i="23"/>
  <c r="J618" i="23" s="1"/>
  <c r="F613" i="23"/>
  <c r="F599" i="23"/>
  <c r="F596" i="23"/>
  <c r="J596" i="23" s="1"/>
  <c r="F584" i="23"/>
  <c r="F579" i="23"/>
  <c r="F575" i="23"/>
  <c r="F569" i="23"/>
  <c r="F566" i="23"/>
  <c r="J566" i="23" s="1"/>
  <c r="F560" i="23"/>
  <c r="J560" i="23" s="1"/>
  <c r="F558" i="23"/>
  <c r="J558" i="23" s="1"/>
  <c r="F556" i="23"/>
  <c r="J556" i="23" s="1"/>
  <c r="F550" i="23"/>
  <c r="J550" i="23" s="1"/>
  <c r="F549" i="23"/>
  <c r="J549" i="23" s="1"/>
  <c r="F547" i="23"/>
  <c r="J547" i="23" s="1"/>
  <c r="F545" i="23"/>
  <c r="J545" i="23" s="1"/>
  <c r="F534" i="23"/>
  <c r="F530" i="23"/>
  <c r="J530" i="23" s="1"/>
  <c r="F527" i="23"/>
  <c r="J527" i="23" s="1"/>
  <c r="F525" i="23"/>
  <c r="J525" i="23" s="1"/>
  <c r="F516" i="23"/>
  <c r="F508" i="23"/>
  <c r="F502" i="23"/>
  <c r="F497" i="23"/>
  <c r="F494" i="23"/>
  <c r="J494" i="23" s="1"/>
  <c r="F487" i="23"/>
  <c r="F481" i="23"/>
  <c r="F466" i="23"/>
  <c r="J451" i="23"/>
  <c r="F442" i="23"/>
  <c r="F426" i="23"/>
  <c r="J426" i="23" s="1"/>
  <c r="F425" i="23"/>
  <c r="F420" i="23"/>
  <c r="J420" i="23" s="1"/>
  <c r="F419" i="23"/>
  <c r="F416" i="23"/>
  <c r="F412" i="23"/>
  <c r="F401" i="23"/>
  <c r="J401" i="23" s="1"/>
  <c r="F383" i="23"/>
  <c r="F371" i="23"/>
  <c r="J371" i="23" s="1"/>
  <c r="F370" i="23"/>
  <c r="F353" i="23"/>
  <c r="F347" i="23"/>
  <c r="F334" i="23"/>
  <c r="F327" i="23"/>
  <c r="J327" i="23" s="1"/>
  <c r="F326" i="23"/>
  <c r="F325" i="23" s="1"/>
  <c r="F323" i="23"/>
  <c r="J323" i="23" s="1"/>
  <c r="F316" i="23"/>
  <c r="F310" i="23"/>
  <c r="F306" i="23"/>
  <c r="F303" i="23"/>
  <c r="J303" i="23" s="1"/>
  <c r="F299" i="23"/>
  <c r="F297" i="23"/>
  <c r="J297" i="23" s="1"/>
  <c r="F292" i="23"/>
  <c r="F285" i="23"/>
  <c r="J285" i="23" s="1"/>
  <c r="F283" i="23"/>
  <c r="J283" i="23" s="1"/>
  <c r="F272" i="23"/>
  <c r="F266" i="23"/>
  <c r="F261" i="23"/>
  <c r="J261" i="23" s="1"/>
  <c r="F257" i="23"/>
  <c r="J257" i="23" s="1"/>
  <c r="F254" i="23"/>
  <c r="J254" i="23" s="1"/>
  <c r="F253" i="23"/>
  <c r="J253" i="23" s="1"/>
  <c r="F240" i="23"/>
  <c r="F233" i="23"/>
  <c r="F224" i="23"/>
  <c r="F220" i="23"/>
  <c r="F215" i="23"/>
  <c r="J215" i="23" s="1"/>
  <c r="F213" i="23"/>
  <c r="J213" i="23" s="1"/>
  <c r="F211" i="23"/>
  <c r="J211" i="23" s="1"/>
  <c r="F209" i="23"/>
  <c r="J209" i="23" s="1"/>
  <c r="F206" i="23"/>
  <c r="F198" i="23"/>
  <c r="F193" i="23"/>
  <c r="J193" i="23" s="1"/>
  <c r="F190" i="23"/>
  <c r="J190" i="23" s="1"/>
  <c r="F187" i="23"/>
  <c r="J187" i="23" s="1"/>
  <c r="F183" i="23"/>
  <c r="J183" i="23" s="1"/>
  <c r="F179" i="23"/>
  <c r="J179" i="23" s="1"/>
  <c r="F177" i="23"/>
  <c r="J177" i="23" s="1"/>
  <c r="F169" i="23"/>
  <c r="J169" i="23" s="1"/>
  <c r="F166" i="23"/>
  <c r="J166" i="23" s="1"/>
  <c r="F164" i="23"/>
  <c r="F162" i="23"/>
  <c r="F154" i="23"/>
  <c r="J154" i="23" s="1"/>
  <c r="F152" i="23"/>
  <c r="J152" i="23" s="1"/>
  <c r="F149" i="23"/>
  <c r="J149" i="23" s="1"/>
  <c r="F141" i="23"/>
  <c r="F130" i="23"/>
  <c r="J130" i="23" s="1"/>
  <c r="F128" i="23"/>
  <c r="J128" i="23" s="1"/>
  <c r="F119" i="23"/>
  <c r="J119" i="23" s="1"/>
  <c r="F114" i="23"/>
  <c r="F108" i="23"/>
  <c r="F104" i="23"/>
  <c r="J104" i="23" s="1"/>
  <c r="F102" i="23"/>
  <c r="J102" i="23" s="1"/>
  <c r="F97" i="23"/>
  <c r="F93" i="23"/>
  <c r="J93" i="23" s="1"/>
  <c r="F91" i="23"/>
  <c r="J91" i="23" s="1"/>
  <c r="F88" i="23"/>
  <c r="F76" i="23"/>
  <c r="F62" i="23"/>
  <c r="J62" i="23" s="1"/>
  <c r="F57" i="23"/>
  <c r="F50" i="23"/>
  <c r="J50" i="23" s="1"/>
  <c r="F47" i="23"/>
  <c r="J47" i="23" s="1"/>
  <c r="F45" i="23"/>
  <c r="J45" i="23" s="1"/>
  <c r="F39" i="23"/>
  <c r="J39" i="23" s="1"/>
  <c r="F36" i="23"/>
  <c r="J36" i="23" s="1"/>
  <c r="F16" i="23"/>
  <c r="H334" i="1" l="1"/>
  <c r="D333" i="1"/>
  <c r="D230" i="1"/>
  <c r="H230" i="1" s="1"/>
  <c r="H231" i="1"/>
  <c r="D254" i="1"/>
  <c r="H254" i="1" s="1"/>
  <c r="H255" i="1"/>
  <c r="D289" i="1"/>
  <c r="H289" i="1" s="1"/>
  <c r="H291" i="1"/>
  <c r="D508" i="1"/>
  <c r="H508" i="1" s="1"/>
  <c r="H509" i="1"/>
  <c r="D146" i="1"/>
  <c r="H146" i="1" s="1"/>
  <c r="H147" i="1"/>
  <c r="D286" i="1"/>
  <c r="H286" i="1" s="1"/>
  <c r="H287" i="1"/>
  <c r="D506" i="1"/>
  <c r="H506" i="1" s="1"/>
  <c r="H507" i="1"/>
  <c r="H88" i="1"/>
  <c r="D130" i="1"/>
  <c r="H130" i="1" s="1"/>
  <c r="H131" i="1"/>
  <c r="D225" i="1"/>
  <c r="H226" i="1"/>
  <c r="D542" i="1"/>
  <c r="H542" i="1" s="1"/>
  <c r="H544" i="1"/>
  <c r="D538" i="1"/>
  <c r="H538" i="1" s="1"/>
  <c r="H540" i="1"/>
  <c r="D123" i="1"/>
  <c r="H123" i="1" s="1"/>
  <c r="H124" i="1"/>
  <c r="D198" i="1"/>
  <c r="H198" i="1" s="1"/>
  <c r="H199" i="1"/>
  <c r="D370" i="1"/>
  <c r="H370" i="1" s="1"/>
  <c r="H371" i="1"/>
  <c r="D481" i="1"/>
  <c r="H481" i="1" s="1"/>
  <c r="H482" i="1"/>
  <c r="D158" i="1"/>
  <c r="H158" i="1" s="1"/>
  <c r="H159" i="1"/>
  <c r="D194" i="1"/>
  <c r="H194" i="1" s="1"/>
  <c r="H195" i="1"/>
  <c r="D457" i="1"/>
  <c r="H458" i="1"/>
  <c r="D478" i="1"/>
  <c r="H478" i="1" s="1"/>
  <c r="H479" i="1"/>
  <c r="D516" i="1"/>
  <c r="H516" i="1" s="1"/>
  <c r="H517" i="1"/>
  <c r="D527" i="1"/>
  <c r="H527" i="1" s="1"/>
  <c r="H528" i="1"/>
  <c r="D190" i="1"/>
  <c r="H190" i="1" s="1"/>
  <c r="H191" i="1"/>
  <c r="D245" i="1"/>
  <c r="H245" i="1" s="1"/>
  <c r="H246" i="1"/>
  <c r="D279" i="1"/>
  <c r="H280" i="1"/>
  <c r="D297" i="1"/>
  <c r="H297" i="1" s="1"/>
  <c r="H298" i="1"/>
  <c r="D337" i="1"/>
  <c r="H337" i="1" s="1"/>
  <c r="H338" i="1"/>
  <c r="D351" i="1"/>
  <c r="H352" i="1"/>
  <c r="D451" i="1"/>
  <c r="H452" i="1"/>
  <c r="D487" i="1"/>
  <c r="H487" i="1" s="1"/>
  <c r="H488" i="1"/>
  <c r="D523" i="1"/>
  <c r="H523" i="1" s="1"/>
  <c r="H524" i="1"/>
  <c r="D13" i="1"/>
  <c r="H13" i="1" s="1"/>
  <c r="H14" i="1"/>
  <c r="D171" i="1"/>
  <c r="H172" i="1"/>
  <c r="D311" i="1"/>
  <c r="H314" i="1"/>
  <c r="D397" i="1"/>
  <c r="H397" i="1" s="1"/>
  <c r="H398" i="1"/>
  <c r="D419" i="1"/>
  <c r="H419" i="1" s="1"/>
  <c r="H420" i="1"/>
  <c r="D461" i="1"/>
  <c r="H461" i="1" s="1"/>
  <c r="H462" i="1"/>
  <c r="D531" i="1"/>
  <c r="H531" i="1" s="1"/>
  <c r="H534" i="1"/>
  <c r="D210" i="1"/>
  <c r="H210" i="1" s="1"/>
  <c r="H211" i="1"/>
  <c r="D236" i="1"/>
  <c r="H236" i="1" s="1"/>
  <c r="H237" i="1"/>
  <c r="D250" i="1"/>
  <c r="H250" i="1" s="1"/>
  <c r="H251" i="1"/>
  <c r="D261" i="1"/>
  <c r="H261" i="1" s="1"/>
  <c r="H262" i="1"/>
  <c r="D303" i="1"/>
  <c r="H304" i="1"/>
  <c r="D413" i="1"/>
  <c r="H413" i="1" s="1"/>
  <c r="H414" i="1"/>
  <c r="D182" i="1"/>
  <c r="H183" i="1"/>
  <c r="D202" i="1"/>
  <c r="H202" i="1" s="1"/>
  <c r="H203" i="1"/>
  <c r="D242" i="1"/>
  <c r="H242" i="1" s="1"/>
  <c r="H243" i="1"/>
  <c r="D272" i="1"/>
  <c r="D264" i="1" s="1"/>
  <c r="H264" i="1" s="1"/>
  <c r="H273" i="1"/>
  <c r="D293" i="1"/>
  <c r="H294" i="1"/>
  <c r="D400" i="1"/>
  <c r="H400" i="1" s="1"/>
  <c r="H401" i="1"/>
  <c r="D426" i="1"/>
  <c r="H426" i="1" s="1"/>
  <c r="H427" i="1"/>
  <c r="D447" i="1"/>
  <c r="H447" i="1" s="1"/>
  <c r="H448" i="1"/>
  <c r="F205" i="23"/>
  <c r="J205" i="23" s="1"/>
  <c r="J206" i="23"/>
  <c r="F56" i="23"/>
  <c r="J57" i="23"/>
  <c r="F87" i="23"/>
  <c r="J87" i="23" s="1"/>
  <c r="J88" i="23"/>
  <c r="F163" i="23"/>
  <c r="J163" i="23" s="1"/>
  <c r="J164" i="23"/>
  <c r="F223" i="23"/>
  <c r="J224" i="23"/>
  <c r="F271" i="23"/>
  <c r="J271" i="23" s="1"/>
  <c r="J272" i="23"/>
  <c r="F309" i="23"/>
  <c r="J309" i="23" s="1"/>
  <c r="J310" i="23"/>
  <c r="F346" i="23"/>
  <c r="J346" i="23" s="1"/>
  <c r="J347" i="23"/>
  <c r="F382" i="23"/>
  <c r="J382" i="23" s="1"/>
  <c r="J383" i="23"/>
  <c r="F418" i="23"/>
  <c r="J418" i="23" s="1"/>
  <c r="J419" i="23"/>
  <c r="F441" i="23"/>
  <c r="J442" i="23"/>
  <c r="F480" i="23"/>
  <c r="J481" i="23"/>
  <c r="F496" i="23"/>
  <c r="J496" i="23" s="1"/>
  <c r="J497" i="23"/>
  <c r="F568" i="23"/>
  <c r="J568" i="23" s="1"/>
  <c r="J569" i="23"/>
  <c r="F645" i="23"/>
  <c r="J646" i="23"/>
  <c r="F703" i="23"/>
  <c r="J704" i="23"/>
  <c r="F722" i="23"/>
  <c r="J722" i="23" s="1"/>
  <c r="J723" i="23"/>
  <c r="F749" i="23"/>
  <c r="J750" i="23"/>
  <c r="F782" i="23"/>
  <c r="J783" i="23"/>
  <c r="F802" i="23"/>
  <c r="J802" i="23" s="1"/>
  <c r="J803" i="23"/>
  <c r="F849" i="23"/>
  <c r="J849" i="23" s="1"/>
  <c r="J850" i="23"/>
  <c r="F107" i="23"/>
  <c r="J108" i="23"/>
  <c r="F15" i="23"/>
  <c r="J16" i="23"/>
  <c r="F75" i="23"/>
  <c r="J76" i="23"/>
  <c r="F96" i="23"/>
  <c r="J97" i="23"/>
  <c r="F113" i="23"/>
  <c r="J114" i="23"/>
  <c r="F140" i="23"/>
  <c r="J141" i="23"/>
  <c r="F161" i="23"/>
  <c r="J161" i="23" s="1"/>
  <c r="J162" i="23"/>
  <c r="F219" i="23"/>
  <c r="J220" i="23"/>
  <c r="F265" i="23"/>
  <c r="J266" i="23"/>
  <c r="F291" i="23"/>
  <c r="J292" i="23"/>
  <c r="F305" i="23"/>
  <c r="J305" i="23" s="1"/>
  <c r="J306" i="23"/>
  <c r="J325" i="23"/>
  <c r="J326" i="23"/>
  <c r="F333" i="23"/>
  <c r="J334" i="23"/>
  <c r="F415" i="23"/>
  <c r="J415" i="23" s="1"/>
  <c r="J416" i="23"/>
  <c r="F465" i="23"/>
  <c r="F464" i="23" s="1"/>
  <c r="J464" i="23" s="1"/>
  <c r="J466" i="23"/>
  <c r="F515" i="23"/>
  <c r="J516" i="23"/>
  <c r="F533" i="23"/>
  <c r="J534" i="23"/>
  <c r="F583" i="23"/>
  <c r="J584" i="23"/>
  <c r="J697" i="23"/>
  <c r="J698" i="23"/>
  <c r="F718" i="23"/>
  <c r="J718" i="23" s="1"/>
  <c r="J719" i="23"/>
  <c r="F742" i="23"/>
  <c r="J744" i="23"/>
  <c r="F774" i="23"/>
  <c r="J776" i="23"/>
  <c r="F843" i="23"/>
  <c r="J843" i="23" s="1"/>
  <c r="J846" i="23"/>
  <c r="F239" i="23"/>
  <c r="J239" i="23" s="1"/>
  <c r="J240" i="23"/>
  <c r="F369" i="23"/>
  <c r="J369" i="23" s="1"/>
  <c r="J370" i="23"/>
  <c r="F411" i="23"/>
  <c r="J411" i="23" s="1"/>
  <c r="J412" i="23"/>
  <c r="F424" i="23"/>
  <c r="J424" i="23" s="1"/>
  <c r="J425" i="23"/>
  <c r="F486" i="23"/>
  <c r="J487" i="23"/>
  <c r="F507" i="23"/>
  <c r="J508" i="23"/>
  <c r="F578" i="23"/>
  <c r="J579" i="23"/>
  <c r="F611" i="23"/>
  <c r="J613" i="23"/>
  <c r="F690" i="23"/>
  <c r="J691" i="23"/>
  <c r="F714" i="23"/>
  <c r="J714" i="23" s="1"/>
  <c r="J715" i="23"/>
  <c r="F739" i="23"/>
  <c r="J739" i="23" s="1"/>
  <c r="J740" i="23"/>
  <c r="F769" i="23"/>
  <c r="J769" i="23" s="1"/>
  <c r="J770" i="23"/>
  <c r="F836" i="23"/>
  <c r="J837" i="23"/>
  <c r="F874" i="23"/>
  <c r="J874" i="23" s="1"/>
  <c r="J876" i="23"/>
  <c r="F197" i="23"/>
  <c r="J198" i="23"/>
  <c r="F232" i="23"/>
  <c r="J233" i="23"/>
  <c r="F314" i="23"/>
  <c r="J316" i="23"/>
  <c r="F352" i="23"/>
  <c r="J352" i="23" s="1"/>
  <c r="J353" i="23"/>
  <c r="J450" i="23"/>
  <c r="F501" i="23"/>
  <c r="J501" i="23" s="1"/>
  <c r="J502" i="23"/>
  <c r="F574" i="23"/>
  <c r="J574" i="23" s="1"/>
  <c r="J575" i="23"/>
  <c r="F598" i="23"/>
  <c r="J598" i="23" s="1"/>
  <c r="J599" i="23"/>
  <c r="F663" i="23"/>
  <c r="J664" i="23"/>
  <c r="F732" i="23"/>
  <c r="J733" i="23"/>
  <c r="F764" i="23"/>
  <c r="J764" i="23" s="1"/>
  <c r="J765" i="23"/>
  <c r="F828" i="23"/>
  <c r="J829" i="23"/>
  <c r="F868" i="23"/>
  <c r="J869" i="23"/>
  <c r="F118" i="23"/>
  <c r="D382" i="1"/>
  <c r="H382" i="1" s="1"/>
  <c r="D266" i="1"/>
  <c r="F675" i="23"/>
  <c r="D22" i="1"/>
  <c r="F61" i="23"/>
  <c r="D69" i="1"/>
  <c r="F90" i="23"/>
  <c r="F101" i="23"/>
  <c r="F176" i="23"/>
  <c r="F29" i="23"/>
  <c r="F296" i="23"/>
  <c r="F524" i="23"/>
  <c r="F544" i="23"/>
  <c r="J544" i="23" s="1"/>
  <c r="F629" i="23"/>
  <c r="F639" i="23"/>
  <c r="D16" i="1"/>
  <c r="D82" i="1"/>
  <c r="H82" i="1" s="1"/>
  <c r="D153" i="1"/>
  <c r="D472" i="1"/>
  <c r="F35" i="23"/>
  <c r="F282" i="23"/>
  <c r="F208" i="23"/>
  <c r="F148" i="23"/>
  <c r="D215" i="1"/>
  <c r="H215" i="1" s="1"/>
  <c r="F667" i="23"/>
  <c r="F797" i="23"/>
  <c r="D91" i="1"/>
  <c r="H91" i="1" s="1"/>
  <c r="D317" i="1"/>
  <c r="F182" i="23"/>
  <c r="F617" i="23"/>
  <c r="D62" i="1"/>
  <c r="D33" i="1"/>
  <c r="D256" i="1"/>
  <c r="H256" i="1" s="1"/>
  <c r="D340" i="1"/>
  <c r="D496" i="1"/>
  <c r="H496" i="1" s="1"/>
  <c r="D127" i="1" l="1"/>
  <c r="H127" i="1" s="1"/>
  <c r="H225" i="1"/>
  <c r="D224" i="1"/>
  <c r="D143" i="1"/>
  <c r="H143" i="1" s="1"/>
  <c r="D505" i="1"/>
  <c r="H505" i="1" s="1"/>
  <c r="D537" i="1"/>
  <c r="H537" i="1" s="1"/>
  <c r="D288" i="1"/>
  <c r="H288" i="1" s="1"/>
  <c r="D253" i="1"/>
  <c r="H253" i="1" s="1"/>
  <c r="D520" i="1"/>
  <c r="D519" i="1" s="1"/>
  <c r="H519" i="1" s="1"/>
  <c r="D477" i="1"/>
  <c r="H477" i="1" s="1"/>
  <c r="D189" i="1"/>
  <c r="H189" i="1" s="1"/>
  <c r="D292" i="1"/>
  <c r="H292" i="1" s="1"/>
  <c r="H293" i="1"/>
  <c r="D181" i="1"/>
  <c r="H181" i="1" s="1"/>
  <c r="H182" i="1"/>
  <c r="D302" i="1"/>
  <c r="H302" i="1" s="1"/>
  <c r="H303" i="1"/>
  <c r="D350" i="1"/>
  <c r="H350" i="1" s="1"/>
  <c r="H351" i="1"/>
  <c r="D316" i="1"/>
  <c r="H317" i="1"/>
  <c r="D21" i="1"/>
  <c r="H21" i="1" s="1"/>
  <c r="H22" i="1"/>
  <c r="D336" i="1"/>
  <c r="H336" i="1" s="1"/>
  <c r="H340" i="1"/>
  <c r="D332" i="1"/>
  <c r="H332" i="1" s="1"/>
  <c r="H333" i="1"/>
  <c r="D12" i="1"/>
  <c r="H12" i="1" s="1"/>
  <c r="H16" i="1"/>
  <c r="D271" i="1"/>
  <c r="H271" i="1" s="1"/>
  <c r="H272" i="1"/>
  <c r="D310" i="1"/>
  <c r="H310" i="1" s="1"/>
  <c r="H311" i="1"/>
  <c r="D170" i="1"/>
  <c r="H171" i="1"/>
  <c r="D450" i="1"/>
  <c r="H450" i="1" s="1"/>
  <c r="H451" i="1"/>
  <c r="D278" i="1"/>
  <c r="H278" i="1" s="1"/>
  <c r="H279" i="1"/>
  <c r="D456" i="1"/>
  <c r="H456" i="1" s="1"/>
  <c r="H457" i="1"/>
  <c r="D207" i="1"/>
  <c r="H207" i="1" s="1"/>
  <c r="D61" i="1"/>
  <c r="H61" i="1" s="1"/>
  <c r="H62" i="1"/>
  <c r="D152" i="1"/>
  <c r="H152" i="1" s="1"/>
  <c r="H153" i="1"/>
  <c r="D32" i="1"/>
  <c r="H32" i="1" s="1"/>
  <c r="H33" i="1"/>
  <c r="D460" i="1"/>
  <c r="H460" i="1" s="1"/>
  <c r="H472" i="1"/>
  <c r="D68" i="1"/>
  <c r="H68" i="1" s="1"/>
  <c r="H69" i="1"/>
  <c r="D265" i="1"/>
  <c r="H265" i="1" s="1"/>
  <c r="H266" i="1"/>
  <c r="F493" i="23"/>
  <c r="J493" i="23" s="1"/>
  <c r="J782" i="23"/>
  <c r="F781" i="23"/>
  <c r="J781" i="23" s="1"/>
  <c r="F595" i="23"/>
  <c r="F594" i="23" s="1"/>
  <c r="F713" i="23"/>
  <c r="F712" i="23" s="1"/>
  <c r="F873" i="23"/>
  <c r="F872" i="23" s="1"/>
  <c r="F414" i="23"/>
  <c r="J414" i="23" s="1"/>
  <c r="F842" i="23"/>
  <c r="J842" i="23" s="1"/>
  <c r="F322" i="23"/>
  <c r="F321" i="23" s="1"/>
  <c r="F320" i="23" s="1"/>
  <c r="F319" i="23" s="1"/>
  <c r="F160" i="23"/>
  <c r="F159" i="23" s="1"/>
  <c r="F553" i="23"/>
  <c r="J553" i="23" s="1"/>
  <c r="F181" i="23"/>
  <c r="J181" i="23" s="1"/>
  <c r="J182" i="23"/>
  <c r="F616" i="23"/>
  <c r="J616" i="23" s="1"/>
  <c r="J617" i="23"/>
  <c r="F270" i="23"/>
  <c r="J270" i="23" s="1"/>
  <c r="J282" i="23"/>
  <c r="F523" i="23"/>
  <c r="J523" i="23" s="1"/>
  <c r="J524" i="23"/>
  <c r="F60" i="23"/>
  <c r="J60" i="23" s="1"/>
  <c r="J61" i="23"/>
  <c r="F117" i="23"/>
  <c r="J117" i="23" s="1"/>
  <c r="J118" i="23"/>
  <c r="F666" i="23"/>
  <c r="J666" i="23" s="1"/>
  <c r="J667" i="23"/>
  <c r="F204" i="23"/>
  <c r="J208" i="23"/>
  <c r="F28" i="23"/>
  <c r="J29" i="23"/>
  <c r="F100" i="23"/>
  <c r="J100" i="23" s="1"/>
  <c r="J101" i="23"/>
  <c r="F674" i="23"/>
  <c r="J674" i="23" s="1"/>
  <c r="J675" i="23"/>
  <c r="F867" i="23"/>
  <c r="J868" i="23"/>
  <c r="F731" i="23"/>
  <c r="J732" i="23"/>
  <c r="F448" i="23"/>
  <c r="J449" i="23"/>
  <c r="F231" i="23"/>
  <c r="J232" i="23"/>
  <c r="F610" i="23"/>
  <c r="J611" i="23"/>
  <c r="F506" i="23"/>
  <c r="J507" i="23"/>
  <c r="F773" i="23"/>
  <c r="F772" i="23" s="1"/>
  <c r="J774" i="23"/>
  <c r="F582" i="23"/>
  <c r="J583" i="23"/>
  <c r="F514" i="23"/>
  <c r="J515" i="23"/>
  <c r="F290" i="23"/>
  <c r="F289" i="23" s="1"/>
  <c r="J291" i="23"/>
  <c r="F218" i="23"/>
  <c r="J219" i="23"/>
  <c r="F139" i="23"/>
  <c r="J140" i="23"/>
  <c r="F95" i="23"/>
  <c r="J95" i="23" s="1"/>
  <c r="J96" i="23"/>
  <c r="F14" i="23"/>
  <c r="J15" i="23"/>
  <c r="F644" i="23"/>
  <c r="J644" i="23" s="1"/>
  <c r="J645" i="23"/>
  <c r="F440" i="23"/>
  <c r="J441" i="23"/>
  <c r="F222" i="23"/>
  <c r="J222" i="23" s="1"/>
  <c r="J223" i="23"/>
  <c r="F302" i="23"/>
  <c r="F796" i="23"/>
  <c r="J797" i="23"/>
  <c r="F147" i="23"/>
  <c r="J148" i="23"/>
  <c r="F34" i="23"/>
  <c r="J34" i="23" s="1"/>
  <c r="J35" i="23"/>
  <c r="F628" i="23"/>
  <c r="J628" i="23" s="1"/>
  <c r="J629" i="23"/>
  <c r="F295" i="23"/>
  <c r="J296" i="23"/>
  <c r="F175" i="23"/>
  <c r="J175" i="23" s="1"/>
  <c r="J176" i="23"/>
  <c r="F638" i="23"/>
  <c r="J638" i="23" s="1"/>
  <c r="J639" i="23"/>
  <c r="F827" i="23"/>
  <c r="J828" i="23"/>
  <c r="F662" i="23"/>
  <c r="J662" i="23" s="1"/>
  <c r="J663" i="23"/>
  <c r="F313" i="23"/>
  <c r="J314" i="23"/>
  <c r="F196" i="23"/>
  <c r="J196" i="23" s="1"/>
  <c r="J197" i="23"/>
  <c r="F835" i="23"/>
  <c r="J836" i="23"/>
  <c r="F689" i="23"/>
  <c r="J690" i="23"/>
  <c r="F577" i="23"/>
  <c r="J577" i="23" s="1"/>
  <c r="J578" i="23"/>
  <c r="F485" i="23"/>
  <c r="J486" i="23"/>
  <c r="F741" i="23"/>
  <c r="J742" i="23"/>
  <c r="F532" i="23"/>
  <c r="J532" i="23" s="1"/>
  <c r="J533" i="23"/>
  <c r="F463" i="23"/>
  <c r="J465" i="23"/>
  <c r="F332" i="23"/>
  <c r="J332" i="23" s="1"/>
  <c r="J333" i="23"/>
  <c r="F264" i="23"/>
  <c r="J264" i="23" s="1"/>
  <c r="J265" i="23"/>
  <c r="F112" i="23"/>
  <c r="J113" i="23"/>
  <c r="F74" i="23"/>
  <c r="J75" i="23"/>
  <c r="F106" i="23"/>
  <c r="J106" i="23" s="1"/>
  <c r="J107" i="23"/>
  <c r="F748" i="23"/>
  <c r="J749" i="23"/>
  <c r="F702" i="23"/>
  <c r="F696" i="23" s="1"/>
  <c r="J703" i="23"/>
  <c r="F479" i="23"/>
  <c r="J480" i="23"/>
  <c r="F55" i="23"/>
  <c r="J55" i="23" s="1"/>
  <c r="J56" i="23"/>
  <c r="F86" i="23"/>
  <c r="J86" i="23" s="1"/>
  <c r="J90" i="23"/>
  <c r="D81" i="1"/>
  <c r="D126" i="1" l="1"/>
  <c r="H126" i="1" s="1"/>
  <c r="D495" i="1"/>
  <c r="H495" i="1" s="1"/>
  <c r="H224" i="1"/>
  <c r="D223" i="1"/>
  <c r="H223" i="1" s="1"/>
  <c r="D142" i="1"/>
  <c r="H142" i="1" s="1"/>
  <c r="D530" i="1"/>
  <c r="H530" i="1" s="1"/>
  <c r="D285" i="1"/>
  <c r="H520" i="1"/>
  <c r="D11" i="1"/>
  <c r="D206" i="1"/>
  <c r="H206" i="1" s="1"/>
  <c r="D309" i="1"/>
  <c r="H309" i="1" s="1"/>
  <c r="H316" i="1"/>
  <c r="D241" i="1"/>
  <c r="D331" i="1"/>
  <c r="H331" i="1" s="1"/>
  <c r="H170" i="1"/>
  <c r="D169" i="1"/>
  <c r="H169" i="1" s="1"/>
  <c r="H81" i="1"/>
  <c r="D296" i="1"/>
  <c r="H296" i="1" s="1"/>
  <c r="J595" i="23"/>
  <c r="F492" i="23"/>
  <c r="J492" i="23" s="1"/>
  <c r="F841" i="23"/>
  <c r="F840" i="23" s="1"/>
  <c r="J160" i="23"/>
  <c r="J485" i="23"/>
  <c r="F484" i="23"/>
  <c r="J873" i="23"/>
  <c r="J594" i="23"/>
  <c r="F593" i="23"/>
  <c r="J593" i="23" s="1"/>
  <c r="J322" i="23"/>
  <c r="J713" i="23"/>
  <c r="F174" i="23"/>
  <c r="J174" i="23" s="1"/>
  <c r="F543" i="23"/>
  <c r="J543" i="23" s="1"/>
  <c r="F834" i="23"/>
  <c r="J835" i="23"/>
  <c r="F826" i="23"/>
  <c r="J827" i="23"/>
  <c r="F871" i="23"/>
  <c r="J871" i="23" s="1"/>
  <c r="J872" i="23"/>
  <c r="F795" i="23"/>
  <c r="J795" i="23" s="1"/>
  <c r="J796" i="23"/>
  <c r="F217" i="23"/>
  <c r="J217" i="23" s="1"/>
  <c r="J218" i="23"/>
  <c r="F513" i="23"/>
  <c r="J514" i="23"/>
  <c r="J772" i="23"/>
  <c r="J773" i="23"/>
  <c r="F609" i="23"/>
  <c r="J610" i="23"/>
  <c r="F730" i="23"/>
  <c r="J731" i="23"/>
  <c r="F27" i="23"/>
  <c r="J28" i="23"/>
  <c r="F478" i="23"/>
  <c r="J479" i="23"/>
  <c r="F747" i="23"/>
  <c r="J748" i="23"/>
  <c r="F73" i="23"/>
  <c r="J74" i="23"/>
  <c r="F462" i="23"/>
  <c r="J463" i="23"/>
  <c r="J741" i="23"/>
  <c r="F738" i="23"/>
  <c r="F688" i="23"/>
  <c r="J689" i="23"/>
  <c r="J321" i="23"/>
  <c r="F146" i="23"/>
  <c r="J147" i="23"/>
  <c r="F711" i="23"/>
  <c r="J712" i="23"/>
  <c r="F439" i="23"/>
  <c r="J440" i="23"/>
  <c r="F13" i="23"/>
  <c r="J14" i="23"/>
  <c r="F138" i="23"/>
  <c r="J139" i="23"/>
  <c r="J290" i="23"/>
  <c r="J582" i="23"/>
  <c r="F581" i="23"/>
  <c r="J581" i="23" s="1"/>
  <c r="F505" i="23"/>
  <c r="J506" i="23"/>
  <c r="F230" i="23"/>
  <c r="J231" i="23"/>
  <c r="F447" i="23"/>
  <c r="J448" i="23"/>
  <c r="F866" i="23"/>
  <c r="J866" i="23" s="1"/>
  <c r="J867" i="23"/>
  <c r="F203" i="23"/>
  <c r="J204" i="23"/>
  <c r="F85" i="23"/>
  <c r="F522" i="23"/>
  <c r="J702" i="23"/>
  <c r="F111" i="23"/>
  <c r="J111" i="23" s="1"/>
  <c r="J112" i="23"/>
  <c r="F312" i="23"/>
  <c r="J312" i="23" s="1"/>
  <c r="J313" i="23"/>
  <c r="F158" i="23"/>
  <c r="J159" i="23"/>
  <c r="F294" i="23"/>
  <c r="J294" i="23" s="1"/>
  <c r="J295" i="23"/>
  <c r="F301" i="23"/>
  <c r="J301" i="23" s="1"/>
  <c r="J302" i="23"/>
  <c r="F661" i="23"/>
  <c r="F615" i="23"/>
  <c r="H11" i="1" l="1"/>
  <c r="F491" i="23"/>
  <c r="J491" i="23" s="1"/>
  <c r="H285" i="1"/>
  <c r="D284" i="1"/>
  <c r="H284" i="1" s="1"/>
  <c r="H241" i="1"/>
  <c r="D67" i="1"/>
  <c r="H67" i="1" s="1"/>
  <c r="J841" i="23"/>
  <c r="F592" i="23"/>
  <c r="F591" i="23" s="1"/>
  <c r="J591" i="23" s="1"/>
  <c r="F173" i="23"/>
  <c r="J173" i="23" s="1"/>
  <c r="F542" i="23"/>
  <c r="F541" i="23" s="1"/>
  <c r="F202" i="23"/>
  <c r="J203" i="23"/>
  <c r="F446" i="23"/>
  <c r="J447" i="23"/>
  <c r="F504" i="23"/>
  <c r="J504" i="23" s="1"/>
  <c r="J505" i="23"/>
  <c r="F12" i="23"/>
  <c r="J13" i="23"/>
  <c r="F710" i="23"/>
  <c r="J710" i="23" s="1"/>
  <c r="J711" i="23"/>
  <c r="F477" i="23"/>
  <c r="J478" i="23"/>
  <c r="F825" i="23"/>
  <c r="J826" i="23"/>
  <c r="F660" i="23"/>
  <c r="J661" i="23"/>
  <c r="J289" i="23"/>
  <c r="F288" i="23"/>
  <c r="F737" i="23"/>
  <c r="J738" i="23"/>
  <c r="J615" i="23"/>
  <c r="F695" i="23"/>
  <c r="J696" i="23"/>
  <c r="F483" i="23"/>
  <c r="J483" i="23" s="1"/>
  <c r="J484" i="23"/>
  <c r="J230" i="23"/>
  <c r="F228" i="23"/>
  <c r="J228" i="23" s="1"/>
  <c r="F229" i="23"/>
  <c r="J229" i="23" s="1"/>
  <c r="F137" i="23"/>
  <c r="J138" i="23"/>
  <c r="F438" i="23"/>
  <c r="J439" i="23"/>
  <c r="F145" i="23"/>
  <c r="J145" i="23" s="1"/>
  <c r="J146" i="23"/>
  <c r="F687" i="23"/>
  <c r="J688" i="23"/>
  <c r="F461" i="23"/>
  <c r="J462" i="23"/>
  <c r="F746" i="23"/>
  <c r="J747" i="23"/>
  <c r="J27" i="23"/>
  <c r="F26" i="23"/>
  <c r="F608" i="23"/>
  <c r="J608" i="23" s="1"/>
  <c r="J609" i="23"/>
  <c r="F512" i="23"/>
  <c r="J513" i="23"/>
  <c r="F839" i="23"/>
  <c r="J839" i="23" s="1"/>
  <c r="J840" i="23"/>
  <c r="F833" i="23"/>
  <c r="J834" i="23"/>
  <c r="F157" i="23"/>
  <c r="J157" i="23" s="1"/>
  <c r="J158" i="23"/>
  <c r="F84" i="23"/>
  <c r="J85" i="23"/>
  <c r="J319" i="23"/>
  <c r="J320" i="23"/>
  <c r="F72" i="23"/>
  <c r="J73" i="23"/>
  <c r="F729" i="23"/>
  <c r="J730" i="23"/>
  <c r="F521" i="23"/>
  <c r="J522" i="23"/>
  <c r="F490" i="23" l="1"/>
  <c r="J490" i="23" s="1"/>
  <c r="D240" i="1"/>
  <c r="J592" i="23"/>
  <c r="J542" i="23"/>
  <c r="F172" i="23"/>
  <c r="J172" i="23" s="1"/>
  <c r="F686" i="23"/>
  <c r="J686" i="23" s="1"/>
  <c r="J687" i="23"/>
  <c r="F287" i="23"/>
  <c r="J287" i="23" s="1"/>
  <c r="J288" i="23"/>
  <c r="F694" i="23"/>
  <c r="J695" i="23"/>
  <c r="F476" i="23"/>
  <c r="J477" i="23"/>
  <c r="F445" i="23"/>
  <c r="J446" i="23"/>
  <c r="F83" i="23"/>
  <c r="J83" i="23" s="1"/>
  <c r="J84" i="23"/>
  <c r="F511" i="23"/>
  <c r="J511" i="23" s="1"/>
  <c r="J512" i="23"/>
  <c r="F25" i="23"/>
  <c r="J26" i="23"/>
  <c r="F824" i="23"/>
  <c r="J824" i="23" s="1"/>
  <c r="J825" i="23"/>
  <c r="F201" i="23"/>
  <c r="J201" i="23" s="1"/>
  <c r="J202" i="23"/>
  <c r="F607" i="23"/>
  <c r="F520" i="23"/>
  <c r="J521" i="23"/>
  <c r="F540" i="23"/>
  <c r="J540" i="23" s="1"/>
  <c r="J541" i="23"/>
  <c r="F745" i="23"/>
  <c r="J745" i="23" s="1"/>
  <c r="J746" i="23"/>
  <c r="F728" i="23"/>
  <c r="J729" i="23"/>
  <c r="F437" i="23"/>
  <c r="J438" i="23"/>
  <c r="F736" i="23"/>
  <c r="J737" i="23"/>
  <c r="F659" i="23"/>
  <c r="J660" i="23"/>
  <c r="F11" i="23"/>
  <c r="J12" i="23"/>
  <c r="F71" i="23"/>
  <c r="J71" i="23" s="1"/>
  <c r="J72" i="23"/>
  <c r="F832" i="23"/>
  <c r="J833" i="23"/>
  <c r="F460" i="23"/>
  <c r="J461" i="23"/>
  <c r="F136" i="23"/>
  <c r="J137" i="23"/>
  <c r="H240" i="1" l="1"/>
  <c r="F144" i="23"/>
  <c r="J144" i="23" s="1"/>
  <c r="F831" i="23"/>
  <c r="J831" i="23" s="1"/>
  <c r="J832" i="23"/>
  <c r="J11" i="23"/>
  <c r="F735" i="23"/>
  <c r="J736" i="23"/>
  <c r="J520" i="23"/>
  <c r="F24" i="23"/>
  <c r="J24" i="23" s="1"/>
  <c r="J25" i="23"/>
  <c r="J476" i="23"/>
  <c r="F475" i="23"/>
  <c r="J475" i="23" s="1"/>
  <c r="F459" i="23"/>
  <c r="J460" i="23"/>
  <c r="F658" i="23"/>
  <c r="J658" i="23" s="1"/>
  <c r="J659" i="23"/>
  <c r="F436" i="23"/>
  <c r="J436" i="23" s="1"/>
  <c r="J437" i="23"/>
  <c r="F727" i="23"/>
  <c r="J727" i="23" s="1"/>
  <c r="J728" i="23"/>
  <c r="F606" i="23"/>
  <c r="J606" i="23" s="1"/>
  <c r="J607" i="23"/>
  <c r="F444" i="23"/>
  <c r="J444" i="23" s="1"/>
  <c r="J445" i="23"/>
  <c r="F693" i="23"/>
  <c r="J693" i="23" s="1"/>
  <c r="J694" i="23"/>
  <c r="F135" i="23"/>
  <c r="J135" i="23" s="1"/>
  <c r="J136" i="23"/>
  <c r="F519" i="23" l="1"/>
  <c r="J519" i="23" s="1"/>
  <c r="F10" i="23"/>
  <c r="J10" i="23" s="1"/>
  <c r="F458" i="23"/>
  <c r="J458" i="23" s="1"/>
  <c r="J459" i="23"/>
  <c r="F734" i="23"/>
  <c r="J735" i="23"/>
  <c r="F510" i="23" l="1"/>
  <c r="J510" i="23" s="1"/>
  <c r="F726" i="23"/>
  <c r="J726" i="23" s="1"/>
  <c r="J734" i="23"/>
  <c r="F259" i="23"/>
  <c r="D445" i="1"/>
  <c r="F344" i="23"/>
  <c r="J344" i="23" s="1"/>
  <c r="D409" i="1"/>
  <c r="F403" i="23"/>
  <c r="F389" i="23"/>
  <c r="J389" i="23" s="1"/>
  <c r="F386" i="23"/>
  <c r="J386" i="23" s="1"/>
  <c r="D367" i="1"/>
  <c r="H367" i="1" s="1"/>
  <c r="D364" i="1"/>
  <c r="H364" i="1" s="1"/>
  <c r="F762" i="23"/>
  <c r="F859" i="23"/>
  <c r="F792" i="23"/>
  <c r="D404" i="1" l="1"/>
  <c r="H409" i="1"/>
  <c r="D438" i="1"/>
  <c r="H445" i="1"/>
  <c r="D358" i="1"/>
  <c r="F761" i="23"/>
  <c r="J762" i="23"/>
  <c r="F791" i="23"/>
  <c r="J792" i="23"/>
  <c r="F252" i="23"/>
  <c r="J259" i="23"/>
  <c r="F400" i="23"/>
  <c r="J400" i="23" s="1"/>
  <c r="J403" i="23"/>
  <c r="F858" i="23"/>
  <c r="J859" i="23"/>
  <c r="F376" i="23"/>
  <c r="F337" i="23"/>
  <c r="D403" i="1" l="1"/>
  <c r="H403" i="1" s="1"/>
  <c r="H404" i="1"/>
  <c r="D425" i="1"/>
  <c r="H438" i="1"/>
  <c r="D357" i="1"/>
  <c r="H358" i="1"/>
  <c r="F336" i="23"/>
  <c r="J337" i="23"/>
  <c r="F375" i="23"/>
  <c r="J376" i="23"/>
  <c r="F790" i="23"/>
  <c r="J791" i="23"/>
  <c r="F857" i="23"/>
  <c r="J858" i="23"/>
  <c r="F238" i="23"/>
  <c r="J252" i="23"/>
  <c r="F760" i="23"/>
  <c r="J761" i="23"/>
  <c r="D349" i="1" l="1"/>
  <c r="H357" i="1"/>
  <c r="D424" i="1"/>
  <c r="H424" i="1" s="1"/>
  <c r="H425" i="1"/>
  <c r="F759" i="23"/>
  <c r="J760" i="23"/>
  <c r="J857" i="23"/>
  <c r="F855" i="23"/>
  <c r="F856" i="23"/>
  <c r="J856" i="23" s="1"/>
  <c r="F368" i="23"/>
  <c r="J375" i="23"/>
  <c r="F237" i="23"/>
  <c r="J238" i="23"/>
  <c r="F789" i="23"/>
  <c r="J790" i="23"/>
  <c r="F331" i="23"/>
  <c r="J336" i="23"/>
  <c r="D10" i="1" l="1"/>
  <c r="H349" i="1"/>
  <c r="F788" i="23"/>
  <c r="J789" i="23"/>
  <c r="F367" i="23"/>
  <c r="J368" i="23"/>
  <c r="F330" i="23"/>
  <c r="J331" i="23"/>
  <c r="F236" i="23"/>
  <c r="J237" i="23"/>
  <c r="F854" i="23"/>
  <c r="J855" i="23"/>
  <c r="F758" i="23"/>
  <c r="J759" i="23"/>
  <c r="D594" i="1" l="1"/>
  <c r="H10" i="1"/>
  <c r="F757" i="23"/>
  <c r="J758" i="23"/>
  <c r="F235" i="23"/>
  <c r="J236" i="23"/>
  <c r="F366" i="23"/>
  <c r="J366" i="23" s="1"/>
  <c r="J367" i="23"/>
  <c r="F853" i="23"/>
  <c r="J854" i="23"/>
  <c r="F329" i="23"/>
  <c r="J330" i="23"/>
  <c r="F787" i="23"/>
  <c r="J787" i="23" s="1"/>
  <c r="J788" i="23"/>
  <c r="H594" i="1" l="1"/>
  <c r="F852" i="23"/>
  <c r="J852" i="23" s="1"/>
  <c r="J853" i="23"/>
  <c r="F200" i="23"/>
  <c r="J235" i="23"/>
  <c r="J329" i="23"/>
  <c r="F318" i="23"/>
  <c r="J318" i="23" s="1"/>
  <c r="J757" i="23"/>
  <c r="F756" i="23"/>
  <c r="J200" i="23" l="1"/>
  <c r="F9" i="23"/>
  <c r="F709" i="23"/>
  <c r="J709" i="23" s="1"/>
  <c r="J756" i="23"/>
  <c r="F885" i="23" l="1"/>
  <c r="J885" i="23" s="1"/>
  <c r="J9" i="23"/>
</calcChain>
</file>

<file path=xl/sharedStrings.xml><?xml version="1.0" encoding="utf-8"?>
<sst xmlns="http://schemas.openxmlformats.org/spreadsheetml/2006/main" count="3996" uniqueCount="1540">
  <si>
    <t>Целевая статья</t>
  </si>
  <si>
    <t>Вид расходов</t>
  </si>
  <si>
    <t>Направление расходов (отрасль), наименование показателя</t>
  </si>
  <si>
    <t>2024 год</t>
  </si>
  <si>
    <t>00 0 00 00000</t>
  </si>
  <si>
    <t>Муниципальные программы Юсьвинского муниципального округа Пермского края</t>
  </si>
  <si>
    <t>01 0 00 00000</t>
  </si>
  <si>
    <t>01 1 00 00000</t>
  </si>
  <si>
    <t>Подпрограмма "Формирование общедоступной информационно-коммуникационной среды"</t>
  </si>
  <si>
    <t>01 1 20 00000</t>
  </si>
  <si>
    <t>Основное мероприятие "Предоставление муниципальных услуг в электронном виде"</t>
  </si>
  <si>
    <t>01 1 20 4У020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</si>
  <si>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</si>
  <si>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01 1 30 00000</t>
  </si>
  <si>
    <t>Основное мероприятие "Информационное сопровождение деятельности органов местного самоуправления Юсьвинского муниципального округа Пермского края"</t>
  </si>
  <si>
    <t>01 1 30 4У040</t>
  </si>
  <si>
    <t>01 1 30 4У041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</si>
  <si>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Юсьвинского муниципального округа Пермского края в СМИ</t>
  </si>
  <si>
    <t>01 2 00 00000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</si>
  <si>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</si>
  <si>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01 2 10 00000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</si>
  <si>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</si>
  <si>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4У060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</si>
  <si>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</si>
  <si>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4У070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</si>
  <si>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</si>
  <si>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01 2 10 70001</t>
  </si>
  <si>
    <t>Выплата пенсии за выслугу лет лицам, замещавшим муниципальные  должности и должности муниципальной службы</t>
  </si>
  <si>
    <t>01 3 00 00000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</si>
  <si>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</si>
  <si>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01 3 10 00000</t>
  </si>
  <si>
    <t>Основное мероприятие "Обеспечение выполнения переданных отдельных государственных полномочий"</t>
  </si>
  <si>
    <t>Образование комиссий по делам несовершеннолетних и защите их прав и организация их деятельности</t>
  </si>
  <si>
    <t>01 3 10 2К080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</si>
  <si>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</si>
  <si>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 3 10 2П040</t>
  </si>
  <si>
    <t>Составление протоколов об административных правонарушениях</t>
  </si>
  <si>
    <t>01 3 10 2П060</t>
  </si>
  <si>
    <t>Осуществление полномочий по созданию и организации деятельности административных комиссий</t>
  </si>
  <si>
    <t>01 3 10 2У110</t>
  </si>
  <si>
    <t>01 3 10 2Т060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</si>
  <si>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</si>
  <si>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01 3 10 51200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</si>
  <si>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</si>
  <si>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01 3 10 59300</t>
  </si>
  <si>
    <t>Государственная регистрация актов гражданского состояния</t>
  </si>
  <si>
    <t>01 3 10 51180</t>
  </si>
  <si>
    <t>01 5 00 00000</t>
  </si>
  <si>
    <t>Подпрограмма "Формирование позитивного имиджа Юсьвинского муниципального округа Пермского края"</t>
  </si>
  <si>
    <t>01 5 10 00000</t>
  </si>
  <si>
    <t>Основное мероприятие "Формирование позитивного имиджа Юсьвинского муниципального округа Пермского края"</t>
  </si>
  <si>
    <t>01 5 10 4У092</t>
  </si>
  <si>
    <t>Изготовление печатной продукции</t>
  </si>
  <si>
    <t>01 5 10 4У093</t>
  </si>
  <si>
    <t>Публикация в средствах массовой информации</t>
  </si>
  <si>
    <t>02 0 00 00000</t>
  </si>
  <si>
    <t>Муниципальная программа "Развитие  образования Юсьвинского муниципального округа Пермского края"</t>
  </si>
  <si>
    <t>02 1 00 00000</t>
  </si>
  <si>
    <t>Подпрограмма "Дошкольное образование"</t>
  </si>
  <si>
    <t xml:space="preserve"> 02 1 10 00000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</si>
  <si>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</si>
  <si>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02 1 10 00150</t>
  </si>
  <si>
    <t>Оказание услуг дошкольного образования в рамках полномочий Юсьвинского муниципального округа Пермского края</t>
  </si>
  <si>
    <t>02 1 10 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</si>
  <si>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</si>
  <si>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2Н022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</si>
  <si>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</si>
  <si>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02 1 10 4Н010</t>
  </si>
  <si>
    <t>Обеспечение бесплатного проезда обучающихся до места обучения и обратно</t>
  </si>
  <si>
    <t>02 1 10 4Н020</t>
  </si>
  <si>
    <t>Обеспечение бесплатным питанием обучающихся с ограниченными возможностями здоровья в образовательных учреждениях</t>
  </si>
  <si>
    <t>02 2 00 00000</t>
  </si>
  <si>
    <t>Подпрограмма "Общее (начальное, основное, среднее) образование"</t>
  </si>
  <si>
    <t xml:space="preserve">02 2 10 00000 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</si>
  <si>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</si>
  <si>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>02 2 10 00150</t>
  </si>
  <si>
    <t>Оказание услуг в сфере общего образования в рамках полномочий Юсьвинского муниципального округа Пермского края</t>
  </si>
  <si>
    <t>02 2 10 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</si>
  <si>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</si>
  <si>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SH040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</si>
  <si>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</si>
  <si>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в том числе за счет средств бюджета Пермского края</t>
  </si>
  <si>
    <t xml:space="preserve">в том числе за счет средств местного  бюджета </t>
  </si>
  <si>
    <t>02 2 20 00000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</si>
  <si>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</si>
  <si>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4Н010</t>
  </si>
  <si>
    <t>Обеспечение бесплатного проезда  обучающихся до места обучения и обратно</t>
  </si>
  <si>
    <t>02 2 20 4Н020</t>
  </si>
  <si>
    <t>02 2 20 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</si>
  <si>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</si>
  <si>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4Н040</t>
  </si>
  <si>
    <t>Организация подвоза питания для обучающихся  (воспитанников) структурных подразделений образовательных учреждений</t>
  </si>
  <si>
    <t>02 2 20 2Н025</t>
  </si>
  <si>
    <t>02 2 20 2Н026</t>
  </si>
  <si>
    <t>02 2 20 53030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</si>
  <si>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</si>
  <si>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 2 20 L3040</t>
  </si>
  <si>
    <t>02 2 30 00000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</si>
  <si>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</si>
  <si>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SН070</t>
  </si>
  <si>
    <t>Строительство школьного образовательного учреждения на 60 мест в с.Доег Юсьвинского муниципального округа</t>
  </si>
  <si>
    <t>за счет краевого бюджета (единая субсидия)</t>
  </si>
  <si>
    <t>за счет местного бюджета</t>
  </si>
  <si>
    <t>02 3 00 00000</t>
  </si>
  <si>
    <t>Подпрограмма "Дополнительное образование и воспитание детей"</t>
  </si>
  <si>
    <t>02 3 10 00000</t>
  </si>
  <si>
    <t>Основное мероприятие "Оказание услуг по реализации дополнительных образовательных программ"</t>
  </si>
  <si>
    <t>02 3 10 00150</t>
  </si>
  <si>
    <t>02 3 10 00155</t>
  </si>
  <si>
    <t>02 3 10 4Н050</t>
  </si>
  <si>
    <t>Мероприятия, направленные на поддержку и развитие одаренных детей</t>
  </si>
  <si>
    <t>02 3 10 4Н060</t>
  </si>
  <si>
    <t>Обеспечение деятельности психолого-медико педагогической комиссии</t>
  </si>
  <si>
    <t>02 3 10 4Н066</t>
  </si>
  <si>
    <t>Организация и проведение мероприятий для детей приоритетных категорий</t>
  </si>
  <si>
    <t>02 3 10 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</si>
  <si>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</si>
  <si>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Мероприятия по формированию патриотического и духовно-нравственного воспитания детей</t>
  </si>
  <si>
    <t>02 4 00 00000</t>
  </si>
  <si>
    <t>Подпрограмма "Развитие системы отдыха, оздоровления и занятости детей"</t>
  </si>
  <si>
    <t>02 4 10 00000</t>
  </si>
  <si>
    <t>Основное мероприятие "Организация оздоровительной кампании в каникулярный период"</t>
  </si>
  <si>
    <t>02 4 10 4Н081</t>
  </si>
  <si>
    <t>Организация досуга, занятости и отдыха детей приоритетных категорий в каникулярное время</t>
  </si>
  <si>
    <t>02 4 10 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</si>
  <si>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</si>
  <si>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</si>
  <si>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</si>
  <si>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02 5 00 00000</t>
  </si>
  <si>
    <t>Подпрограмма "Кадровая политика"</t>
  </si>
  <si>
    <t>02 5 20 00000</t>
  </si>
  <si>
    <t>Основное мероприятие "Мероприятия, обеспечивающие кадровую политику в сфере образования"</t>
  </si>
  <si>
    <t>02 5 20 4Н090</t>
  </si>
  <si>
    <t>Мероприятия, обеспечивающие кадровую политику в сфере образования</t>
  </si>
  <si>
    <t>02 5 20 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</si>
  <si>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</si>
  <si>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02 5 30 00000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</si>
  <si>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</si>
  <si>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2Н024</t>
  </si>
  <si>
    <t>Предоставление  мер социальной поддержки педагогическим работникам общеобразовательных организаций</t>
  </si>
  <si>
    <t>02 5 30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</si>
  <si>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</si>
  <si>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02 6 00 00000</t>
  </si>
  <si>
    <t>Подпрограмма "Приведение образовательных организаций в нормативное состояние"</t>
  </si>
  <si>
    <t>02  6 10 00000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</si>
  <si>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</si>
  <si>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в том числе за счет местного бюджета</t>
  </si>
  <si>
    <t>Крохалево</t>
  </si>
  <si>
    <t>за счет федерального бюджета</t>
  </si>
  <si>
    <t>за счет краевого бюджета</t>
  </si>
  <si>
    <t>02 7 00 00000</t>
  </si>
  <si>
    <t>Подпрограмма "Реализация государственной политики в сфере образования"</t>
  </si>
  <si>
    <t>02 7 10 00000</t>
  </si>
  <si>
    <t>Основное мероприятие "Развитие системы этнокультурного образования"</t>
  </si>
  <si>
    <t>02 7 10 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</si>
  <si>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</si>
  <si>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03 0 00 00000</t>
  </si>
  <si>
    <t>Муниципальная программа "Улучшение качества жизни населения Юсьвинского муниципального округа Пермского края"</t>
  </si>
  <si>
    <t>03 1 00 00000</t>
  </si>
  <si>
    <t>Подпрограмма "Создание условий для повышения качества жизни людей пожилого возраста"</t>
  </si>
  <si>
    <t>03 1 20 00000</t>
  </si>
  <si>
    <t>Основное мероприятие "Проведение мероприятий по содействию в развитии гражданского общества"</t>
  </si>
  <si>
    <t>03 1 20 4КЖ50</t>
  </si>
  <si>
    <t>Предоставление субсидий СО НКО на организацию  и проведение общественно-значимых мероприятий с людьми пожилого возраста</t>
  </si>
  <si>
    <t>03 2 00 00000</t>
  </si>
  <si>
    <t>Подпрограмма "Создание условий для повышения качества жизни людей с ограниченными возможностями"</t>
  </si>
  <si>
    <t>03 2 10 00000</t>
  </si>
  <si>
    <t xml:space="preserve"> Основное мероприятие "Мероприятия по повышению качества жизни людей с ограниченными возможностями"</t>
  </si>
  <si>
    <t>03 2 10 4КЖ20</t>
  </si>
  <si>
    <t>03 3 00 00000</t>
  </si>
  <si>
    <t>Подпрограмма "Создание условий для формирования здорового образа жизни"</t>
  </si>
  <si>
    <t>03 3 10 00000</t>
  </si>
  <si>
    <t>Основное мероприятие "Мероприятия, направленные на формирование здорового  образа жизни"</t>
  </si>
  <si>
    <t>03 3 10 4КЖ40</t>
  </si>
  <si>
    <t>Организация и проведение мероприятий по пропаганде здорового образа жизни и профилактике вредных привычек</t>
  </si>
  <si>
    <t>Подпрограмма "Повышение социальной активности населения"</t>
  </si>
  <si>
    <t>Основное мероприятие "Мероприятия, направленные на повышение социальной активности населения"</t>
  </si>
  <si>
    <t>04 0 00 00000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</si>
  <si>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</si>
  <si>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04 0 10 00000</t>
  </si>
  <si>
    <t>Основное мероприятие  "Обеспечение жильем молодых семей"</t>
  </si>
  <si>
    <t>04 0 10 2С020</t>
  </si>
  <si>
    <t>в том числе за счет краевого бюджета</t>
  </si>
  <si>
    <t>04 0 10 L4970</t>
  </si>
  <si>
    <t>в том числе за счет федерального бюджета</t>
  </si>
  <si>
    <t>04 0 30 00000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</si>
  <si>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</si>
  <si>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</si>
  <si>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</si>
  <si>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</si>
  <si>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</si>
  <si>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</si>
  <si>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</si>
  <si>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05 0 00 00000</t>
  </si>
  <si>
    <t>Муниципальная программа "Управление муниципальным имуществом  Юсьвинского муниципального округа Пермского края"</t>
  </si>
  <si>
    <t>05 0 10 00000</t>
  </si>
  <si>
    <t>05 0 10 4И020</t>
  </si>
  <si>
    <t>05 0 10 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</si>
  <si>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</si>
  <si>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</si>
  <si>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</si>
  <si>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4И060</t>
  </si>
  <si>
    <t>за счет средств краевого бюджета</t>
  </si>
  <si>
    <t xml:space="preserve">06 0 00 00000 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</si>
  <si>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</si>
  <si>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06 1 00 00000  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</si>
  <si>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</si>
  <si>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06 1 10 00000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</si>
  <si>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</si>
  <si>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06 1 10 00150 </t>
  </si>
  <si>
    <t>06 1 20 00000</t>
  </si>
  <si>
    <t>Основное мероприятие "Сохранение и развитие библиотечного дела"</t>
  </si>
  <si>
    <t>06 1 20 00150</t>
  </si>
  <si>
    <t>06 1 20 4К010</t>
  </si>
  <si>
    <t xml:space="preserve">Комплектование книжных фондов муниципальных общедоступных  библиотек </t>
  </si>
  <si>
    <t>06 1 30 00000</t>
  </si>
  <si>
    <t>Основное мероприятие "Сохранение, пополнение, популяризация музейного фонда и развития музеев"</t>
  </si>
  <si>
    <t>06 1 30 00150</t>
  </si>
  <si>
    <t>06 1 40 00000</t>
  </si>
  <si>
    <t>Основное мероприятие "Предоставление дополнительного образования детям в области искусства"</t>
  </si>
  <si>
    <t>06 1 40 00150</t>
  </si>
  <si>
    <t>06 1 50 00000</t>
  </si>
  <si>
    <t>Основное мероприятие "Организация и проведение социально- значимых мероприятий в сфере искусства и культуры"</t>
  </si>
  <si>
    <t>06 1 50 4К020</t>
  </si>
  <si>
    <t>06 1 50 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</si>
  <si>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</si>
  <si>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06 1 60 00000</t>
  </si>
  <si>
    <t>Основное мероприятие "Кадровая политика"</t>
  </si>
  <si>
    <t xml:space="preserve">06 1 60 4К060 </t>
  </si>
  <si>
    <t>06 1  70 00000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</si>
  <si>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</si>
  <si>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в том числе</t>
  </si>
  <si>
    <t xml:space="preserve">Ремонтные работы (текущий ремонт в отношении зданий домов культур (и их филиалов), расположенных в населенных пунктах с численностью жителей до 50 тысяч человек                                                                                                         </t>
  </si>
  <si>
    <t>06 1 А2 00000</t>
  </si>
  <si>
    <t>Основное мероприятие "Реализация федерального проекта "Творческие люди"</t>
  </si>
  <si>
    <t>06 2 00 00000</t>
  </si>
  <si>
    <t>Подпрограмма "Молодежная политика"</t>
  </si>
  <si>
    <t>06 2 10 00000</t>
  </si>
  <si>
    <t>Основное мероприятие "Организация и проведение мероприятий среди молодежи"</t>
  </si>
  <si>
    <t xml:space="preserve">06 2 10 4К130 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</si>
  <si>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</si>
  <si>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 2 10 SН220</t>
  </si>
  <si>
    <t>Реализация мероприятий в сфере молодежной политики</t>
  </si>
  <si>
    <t>06 3 00 00000</t>
  </si>
  <si>
    <t>Подпрограмма "Информационная  политика"</t>
  </si>
  <si>
    <t>06 3 10 00000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</si>
  <si>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</si>
  <si>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 xml:space="preserve">06 3 10 4К140 </t>
  </si>
  <si>
    <t>07 0 00 00000</t>
  </si>
  <si>
    <t>Муниципальная программа "Развитие физической культуры и спорта в  Юсьвинском муниципальном округе Пермского края"</t>
  </si>
  <si>
    <t>07 0 10 00000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</si>
  <si>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</si>
  <si>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 xml:space="preserve">07 0 10 4Ф010 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</si>
  <si>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</si>
  <si>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</si>
  <si>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</si>
  <si>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20 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</si>
  <si>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</si>
  <si>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 xml:space="preserve">08 0 00 00000 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</si>
  <si>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</si>
  <si>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>08 1  00 00000</t>
  </si>
  <si>
    <t>Подпрограмма "Противодействие идеологии терроризма и экстремизма на территории Юсьвинского муниципального округа Пермского края"</t>
  </si>
  <si>
    <t>08 1 10 00000</t>
  </si>
  <si>
    <t>Основное мероприятие "Предотвращение условий, способствующих возникновению и распространению идеологии терроризма и экстремизма"</t>
  </si>
  <si>
    <t>08 1 10 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</si>
  <si>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</si>
  <si>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</si>
  <si>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</si>
  <si>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 xml:space="preserve">08 2 00 00000 </t>
  </si>
  <si>
    <t>Подпрограмма "Предупреждение  правонарушений, совершаемых на улице и в общественных местах"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</si>
  <si>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</si>
  <si>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Организация деятельности  народной дружины, а также организация и проведение рейдов и других профилактических мероприятий, в т.ч. с несовершеннолетними</t>
  </si>
  <si>
    <t>200</t>
  </si>
  <si>
    <t>Закупка товаров, работ и услуг для обеспечения  государственных (муниципальных) нужд</t>
  </si>
  <si>
    <t>09 0 00 00000</t>
  </si>
  <si>
    <t>Муниципальная программа "Экономическое развитие Юсьвинского муниципального округа Пермского края"</t>
  </si>
  <si>
    <t>Проведение  сельскохозяйственных ярмарок</t>
  </si>
  <si>
    <t>Проведение мероприятия, посвященного Дню работников сельского хозяйства и перерабатывающей промышленности</t>
  </si>
  <si>
    <t>Проведение отраслевых  семинаров со специалистами сельхозпредприятий</t>
  </si>
  <si>
    <t>Проведение конкурса техников по искусственному осеменению  коров</t>
  </si>
  <si>
    <t>Проведение конкурса механизаторов</t>
  </si>
  <si>
    <t>10 0 00 00000</t>
  </si>
  <si>
    <t>Муниципальная программа "Территориальное развитие Юсьвинского муниципального округа Пермского края"</t>
  </si>
  <si>
    <t>10 1 00 00000</t>
  </si>
  <si>
    <t>Подпрограмма "Комплексное  развитие сельских территорий"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</si>
  <si>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</si>
  <si>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</si>
  <si>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за счет средств местного бюджета</t>
  </si>
  <si>
    <t>10 1 10 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</si>
  <si>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</si>
  <si>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400</t>
  </si>
  <si>
    <t>Капитальные вложения в объекты недвижимого имущества государственной (муниципальной) собственности</t>
  </si>
  <si>
    <t>10 2 00 00000</t>
  </si>
  <si>
    <t>Подпрограмма "Благоустройство территории  Юсьвинского муниципального округа Пермского края"</t>
  </si>
  <si>
    <t>10 2 20 00000</t>
  </si>
  <si>
    <t>Основное мероприятие "Благоустройство территории Юсьвинского муниципального округа Пермского края"</t>
  </si>
  <si>
    <t>10 2 20 4М090</t>
  </si>
  <si>
    <t>10 2 20 4М091</t>
  </si>
  <si>
    <t>Обустройство уличного освещения в населенных пунктах Юсьвинского муниципального округа Пермского края</t>
  </si>
  <si>
    <t>10 2 30 00000</t>
  </si>
  <si>
    <t>Основное мероприятие "Мероприятия по охране окружающей среды"</t>
  </si>
  <si>
    <t xml:space="preserve">10 2 30 4М035 </t>
  </si>
  <si>
    <t xml:space="preserve">10 2 30 4М036 </t>
  </si>
  <si>
    <t>Организация зон санитарной охраны водозаборных скважин</t>
  </si>
  <si>
    <t>10 2 30 4М037</t>
  </si>
  <si>
    <t>Мероприятия по организации экологического воспитания и формирования экологической культуры</t>
  </si>
  <si>
    <t>10 2 30 4М038</t>
  </si>
  <si>
    <t>Обустройство мест (площадок) накопления твердых коммунальных отходов</t>
  </si>
  <si>
    <t>10 2 40 00000</t>
  </si>
  <si>
    <t>10 3 00 00000</t>
  </si>
  <si>
    <t xml:space="preserve"> Подпрограмма "Развитие коммунальной инфраструктуры Юсьвинского муниципального округа Пермского края" </t>
  </si>
  <si>
    <t>10 3 10 00000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</si>
  <si>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</si>
  <si>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4М070</t>
  </si>
  <si>
    <t>Ремонт (обустройство) источников водоснабжения и систем водоснабжения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</si>
  <si>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</si>
  <si>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10 3 30 00000</t>
  </si>
  <si>
    <t>Основное мероприятие "Газификация Юсьвинского муниципального округа"</t>
  </si>
  <si>
    <t>10 3 30 4М080</t>
  </si>
  <si>
    <t>Техническое и аварийно-диспетчерское обслуживание распределительных газопроводов</t>
  </si>
  <si>
    <t>11 0 00 00000</t>
  </si>
  <si>
    <t>Муниципальная программа "Развитие транспортной системы Юсьвинского муниципального округа Пермского края"</t>
  </si>
  <si>
    <t>11 1 00 00000</t>
  </si>
  <si>
    <t>Подпрограмма "Развитие и совершенствование автомобильных дорог Юсьвинского муниципального округа Пермского края"</t>
  </si>
  <si>
    <t>11 1 10 00000</t>
  </si>
  <si>
    <t xml:space="preserve"> Основное мероприятие "Паспортизация муниципальных дорог"</t>
  </si>
  <si>
    <t>11 1 10 4Д010</t>
  </si>
  <si>
    <t>11 1 40 00000</t>
  </si>
  <si>
    <t>Основное мероприятие "Ремонт муниципальных дорог и искусственных дорожных сооружений"</t>
  </si>
  <si>
    <t>11 1 40 SТ040</t>
  </si>
  <si>
    <t>11 1 40 4Д030</t>
  </si>
  <si>
    <t xml:space="preserve">11 1 50 00000 </t>
  </si>
  <si>
    <t>11 1 50 4Д040</t>
  </si>
  <si>
    <t>11 2 00 00000</t>
  </si>
  <si>
    <t xml:space="preserve"> Подпрограмма "Развитие автомобильного транспорта Юсьвинского муниципального округа Пермского края"</t>
  </si>
  <si>
    <t>11 2 10 00000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</si>
  <si>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</si>
  <si>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4Д051</t>
  </si>
  <si>
    <t>11 3 00 00000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</si>
  <si>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</si>
  <si>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11 3 10 00000</t>
  </si>
  <si>
    <t>11 3 10 4Д060</t>
  </si>
  <si>
    <t>12 0 00 00000</t>
  </si>
  <si>
    <t>Основное мероприятие "Поддержка и развитие малых форм хозяйствования"</t>
  </si>
  <si>
    <t>Основное мероприятие "Поддержка кадрового потенциала"</t>
  </si>
  <si>
    <t>13 0 00 00000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</si>
  <si>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</si>
  <si>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13 0 10 00000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</si>
  <si>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</si>
  <si>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4Ч010</t>
  </si>
  <si>
    <t xml:space="preserve">Обучение членов комиссии по ГО и РСЧС </t>
  </si>
  <si>
    <t>13 0 10 4Ч020</t>
  </si>
  <si>
    <t>Проведение мероприятий  пропагандирующих соблюдение мер пожарной безопасности и безопасности на воде на территории населенных пунктов Юсьвинского муниципального округа Пермского края</t>
  </si>
  <si>
    <t>13 0 10 00170</t>
  </si>
  <si>
    <t>13 0 20 00000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</si>
  <si>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</si>
  <si>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4Ч030</t>
  </si>
  <si>
    <t>13 0 20 4Ч040</t>
  </si>
  <si>
    <t>13 0 20 4Ч055</t>
  </si>
  <si>
    <t>Обустройство пожарных водоемов, пожарных гидрантов в населенных пунктах муниципального округа</t>
  </si>
  <si>
    <t>13 0 20 00180</t>
  </si>
  <si>
    <t>13 0 30 00000</t>
  </si>
  <si>
    <t>Основное мероприятие "Оснащенность пунктов временного размещения"</t>
  </si>
  <si>
    <t>13 0 30 4Ч070</t>
  </si>
  <si>
    <t>15 0 00 00000</t>
  </si>
  <si>
    <t>15 0 10 00000</t>
  </si>
  <si>
    <t>Основное мероприятие «Управление земельными ресурсами»</t>
  </si>
  <si>
    <t>15 0 10 4Г010</t>
  </si>
  <si>
    <t>Формирование земельных участков</t>
  </si>
  <si>
    <t xml:space="preserve"> за счет местного бюджета</t>
  </si>
  <si>
    <t>15 0 10 SЦ140</t>
  </si>
  <si>
    <t>15 0 20 00000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</si>
  <si>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</si>
  <si>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4Г030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</si>
  <si>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</si>
  <si>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</si>
  <si>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Разработка проектно-сметной документации, дизайн-проектов</t>
  </si>
  <si>
    <t>Благоустройство общественных и дворовых территорий Юсьвинского муниципального округа Пермского края</t>
  </si>
  <si>
    <t xml:space="preserve">90 0 00 00000 </t>
  </si>
  <si>
    <t xml:space="preserve">Непрограммные мероприятия  </t>
  </si>
  <si>
    <t xml:space="preserve">91 0 00 00000 </t>
  </si>
  <si>
    <t>Обеспечение деятельности органов местного самоуправления Юсьвинского муниципального округа</t>
  </si>
  <si>
    <t xml:space="preserve">91 0 00 00021  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</si>
  <si>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</si>
  <si>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</si>
  <si>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91 0 00 00031 </t>
  </si>
  <si>
    <t>92 0 00 00000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</si>
  <si>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</si>
  <si>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92 0 00 00200</t>
  </si>
  <si>
    <t>Обеспечение деятельности МКУ "Управление дорожного хозяйства и капитального строительства"</t>
  </si>
  <si>
    <t>800</t>
  </si>
  <si>
    <t>Иные бюджетные ассигнования</t>
  </si>
  <si>
    <t>92 0 00 00210</t>
  </si>
  <si>
    <t>92 0 00 2Н022</t>
  </si>
  <si>
    <t>92 0 00 2Н024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</si>
  <si>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</si>
  <si>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</si>
  <si>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</si>
  <si>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92 0 00 00220</t>
  </si>
  <si>
    <t xml:space="preserve"> Обеспечение деятельности  муниципального казенного учреждения «Единый сервисный центр» </t>
  </si>
  <si>
    <t>92 0 00 00221</t>
  </si>
  <si>
    <t>Подготовка котельных к отопительному сезону</t>
  </si>
  <si>
    <t>92 0 00 2У090</t>
  </si>
  <si>
    <t>Мероприятия при осуществлении деятельности по обращению с животными без владельцев</t>
  </si>
  <si>
    <t>92 0 00 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</si>
  <si>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</si>
  <si>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92 0 00 00777</t>
  </si>
  <si>
    <t>Резервный фонд администрации Юсьвинского муниципального округа Пермского края</t>
  </si>
  <si>
    <t>300</t>
  </si>
  <si>
    <t>Социальное обеспечение и иные выплаты населению</t>
  </si>
  <si>
    <t>92 0 00 00260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</si>
  <si>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</si>
  <si>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92 0 00 00270</t>
  </si>
  <si>
    <t xml:space="preserve">Расходы на уплату членского взноса в Совет муниципальных образований </t>
  </si>
  <si>
    <t>Итого расходов:</t>
  </si>
  <si>
    <t>Обеспечение функционирования официального сайта администрации Юсьвинского муниципального округа Пермского края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</si>
  <si>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</si>
  <si>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3 10 4Н068</t>
  </si>
  <si>
    <t>03 4 00 00000</t>
  </si>
  <si>
    <t>03 4 10 00000</t>
  </si>
  <si>
    <t xml:space="preserve">Организация и проведение мероприятий культурно-досуговыми учреждениями </t>
  </si>
  <si>
    <t>Библиотечное, библиографическое и информационное обслуживание пользователей библиотеки</t>
  </si>
  <si>
    <t>Публичный показ музейных предметов, музейных коллекций</t>
  </si>
  <si>
    <t>Реализация дополнительного образования детям в области искусства</t>
  </si>
  <si>
    <t>08 2 10 SП020</t>
  </si>
  <si>
    <t>08 2 10 00000</t>
  </si>
  <si>
    <t>08 2 10 4П080</t>
  </si>
  <si>
    <t>08 2 10 4П091</t>
  </si>
  <si>
    <t>09 1 00 00000</t>
  </si>
  <si>
    <t>Подпрограмма  «Развитие малого и среднего предпринимательства в Юсьвинском муниципальном округе Пермского края»</t>
  </si>
  <si>
    <t>09 2 00 00000</t>
  </si>
  <si>
    <t>Подпрограмма  «Развитие сельского хозяйства в Юсьвинском муниципальном округе Пермского края»</t>
  </si>
  <si>
    <t>09 2 10 00000</t>
  </si>
  <si>
    <t>09 2 10 4С020</t>
  </si>
  <si>
    <t>09 2 20 00000</t>
  </si>
  <si>
    <t>09 2 20 4С030</t>
  </si>
  <si>
    <t>09 2 20 4С050</t>
  </si>
  <si>
    <t>09 2 20 4С060</t>
  </si>
  <si>
    <t>09 2 20 4С070</t>
  </si>
  <si>
    <t>Обустройство тротуаров в населенных пунктах Юсьвинского муниципального округа Пермского края</t>
  </si>
  <si>
    <t>10 3 10 4М075</t>
  </si>
  <si>
    <t>11 1 40 4Д031</t>
  </si>
  <si>
    <t>12 0 10 00000</t>
  </si>
  <si>
    <t>12 0 10 4М060</t>
  </si>
  <si>
    <t>12 0 F2 00000</t>
  </si>
  <si>
    <t>12 0 F2 55550</t>
  </si>
  <si>
    <t>12 0 30  00000</t>
  </si>
  <si>
    <t>12 0 30  SЖ090</t>
  </si>
  <si>
    <t>Создание условий для организации добровольной пожарной охраны на территории ЮМО ПК</t>
  </si>
  <si>
    <t>600</t>
  </si>
  <si>
    <t>Предоставление субсидий бюджетным, автономным учреждениям и иным некоммерческим организациям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</si>
  <si>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</si>
  <si>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Приложение 1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</si>
  <si>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</si>
  <si>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</si>
  <si>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Осуществление издательской деятельности (выпуск газеты «Юсьвинские вести»)</t>
  </si>
  <si>
    <t>Организация и проведение мероприятия «Поезд безопасности», а также организация и проведение рейдовых и других профилактических мероприятий, в т.ч. с несовершеннолетними</t>
  </si>
  <si>
    <t>Размещение уличной социальной рекламы</t>
  </si>
  <si>
    <t>Мероприятия по обеспечению материальными резервами ПВР</t>
  </si>
  <si>
    <t xml:space="preserve">Разработка проектов межевания территории и проведение  комплексных  кадастровых работ </t>
  </si>
  <si>
    <t>Обеспечение содержания  муниципального казенного учреждения «ЕДДС»</t>
  </si>
  <si>
    <t>03 4 10 4КЖ60</t>
  </si>
  <si>
    <t>Оснащение муниципальных образовательных организаций оборудованием, средствами обучения и воспитания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</si>
  <si>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</si>
  <si>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 xml:space="preserve">Компенсационные выплаты депутатам Думы Юсьвинского муниципального округа Пермского края </t>
  </si>
  <si>
    <t>02 6 10 SP350</t>
  </si>
  <si>
    <t>06 1 А2 55195</t>
  </si>
  <si>
    <t>Строительство Купросского сельского дома культуры на 50 мест в с. Купрос</t>
  </si>
  <si>
    <t>05 0 10 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</si>
  <si>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</si>
  <si>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Муниципальная программа  "Распоряжение земельными ресурсами и развитие градостроительной деятельности в Юсьвинском муниципальном округе Пермского края"</t>
  </si>
  <si>
    <t>Основное мероприятие "Обеспечение транспортной безопасности объектов транспортной инфраструктуры"</t>
  </si>
  <si>
    <t>Проведение оценки уязвимости объектов транспортной инфраструктуры</t>
  </si>
  <si>
    <t>Разработка плана обеспечения транспортной безопасности и подготовка сил обеспечения транспортной безопасности</t>
  </si>
  <si>
    <t>Основное мероприятие "Создание условий для формирования комфортной деловой среды для развития и ведения бизнеса"</t>
  </si>
  <si>
    <t>Проведение мероприятия, посвященного Дню российского предпринимательства</t>
  </si>
  <si>
    <t>Приобретение системы водоочистки на водозаборные скважины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</si>
  <si>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</si>
  <si>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02 2 20 SН420</t>
  </si>
  <si>
    <t>09 1 10 00000</t>
  </si>
  <si>
    <t>09 1 10 4Э030</t>
  </si>
  <si>
    <t>09 1 10 4Э031</t>
  </si>
  <si>
    <t>10 2 20 SP350</t>
  </si>
  <si>
    <t>10 2 40 4Б020</t>
  </si>
  <si>
    <t xml:space="preserve">11 1 R1 00000 </t>
  </si>
  <si>
    <t>Основное мероприятие "Реализация федерального проекта "Региональная и местная дорожная сеть"</t>
  </si>
  <si>
    <t>11 1 R1 53940</t>
  </si>
  <si>
    <t>Приведение в нормативное состояние искусственных дорожных сооружений</t>
  </si>
  <si>
    <t>11 3 20 00000</t>
  </si>
  <si>
    <t>11 3 20 4Д070</t>
  </si>
  <si>
    <t>11 3 20 4Д071</t>
  </si>
  <si>
    <t>02 2 ЕВ 00000</t>
  </si>
  <si>
    <t>02 2 ЕВ 5179F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</si>
  <si>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</si>
  <si>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</si>
  <si>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92 0 00 00500</t>
  </si>
  <si>
    <t>Подготовка и проведение выборов в Думу Юсьвинского муниципального округа</t>
  </si>
  <si>
    <t>Муниципальная программа "Муниципальное управление в Юсьвинском муниципальном округе Пермского края"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</si>
  <si>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</si>
  <si>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Основное мероприятие "Размещение информации о деятельности органов местного самоуправления Юсьвинского муниципального округа Пермского края"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</si>
  <si>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</si>
  <si>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Подпрограмма "Обеспечение выполнения администрацией Юсьвинского муниципального округа Пермского края и её самостоятельными структурными подразделениями переданных отдельных государственных полномочий"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</si>
  <si>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</si>
  <si>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Муниципальная программа "Образование Юсьвинского муниципального округа Пермского края"</t>
  </si>
  <si>
    <t>Подпрограмма "Реализация государственной национальной политики в сфере образования"</t>
  </si>
  <si>
    <t xml:space="preserve">Организация и проведение общественно-значимых мероприятий с участием инвалидов </t>
  </si>
  <si>
    <t xml:space="preserve">Организация и проведение конкурса по  здоровому образу жизни </t>
  </si>
  <si>
    <t>Предоставление молодым семьям социальных выплат на приобретение (строительство) жилья в рамках реализации подпрограммы 1 «Социальная поддержка семей и детей. Профилактика социального сиротства и защита прав детей-сирот» государственной программы «Социальная поддержка жителей Пермского края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</si>
  <si>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</si>
  <si>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Содержание жилых помещений маневренного фонда Юсьвинского муниципального округа Пермского края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</si>
  <si>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</si>
  <si>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</si>
  <si>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Устройство, ремонт тротуаров,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</t>
  </si>
  <si>
    <t>Ликвидация несанкционированных свалок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</si>
  <si>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</si>
  <si>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10 2 50 00000</t>
  </si>
  <si>
    <t>Основное мероприятие "Прочие мероприятия в области благоустройства"</t>
  </si>
  <si>
    <t>10 2 50 00150</t>
  </si>
  <si>
    <t>Основное мероприятие "Обеспечение безопасности дорожных условий на автомобильных дорогах"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</si>
  <si>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</si>
  <si>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Разработка технических паспортов на автомобильные дороги Юсьвинского муниципального округа Пермского края</t>
  </si>
  <si>
    <t>Ремонт автомобильных дорог (софинансируемые из бюджета ПК)</t>
  </si>
  <si>
    <t>Ремонт автомобильных дорог (несофинансируемые из бюджета ПК)</t>
  </si>
  <si>
    <t>Основное мероприятие "Подготовительные работы для реализации  мероприятий по благоустройству общественных и дворовых территорий"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</si>
  <si>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</si>
  <si>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</si>
  <si>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</si>
  <si>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Обустройство пожарных водоемов, пожарных гидрантов в населенных пунктах Юсьвинского муниципального округа Пермского края</t>
  </si>
  <si>
    <t>Ведомство</t>
  </si>
  <si>
    <t>Администрация Юсьвинского муниципального округа Пермского края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</si>
  <si>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</si>
  <si>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</si>
  <si>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</si>
  <si>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</si>
  <si>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0105</t>
  </si>
  <si>
    <t>0113</t>
  </si>
  <si>
    <t>0203</t>
  </si>
  <si>
    <t>Раздел, подраздел</t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</si>
  <si>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</si>
  <si>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</si>
  <si>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90 0 00 00000</t>
  </si>
  <si>
    <t>Непрограммные мероприятия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</si>
  <si>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</si>
  <si>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Судебная система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</si>
  <si>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</si>
  <si>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 xml:space="preserve"> Основное мероприятие "Обеспечение выполнения переданных государственных полномочий"</t>
  </si>
  <si>
    <t>Другие общегосударственные расходы</t>
  </si>
  <si>
    <t>0200</t>
  </si>
  <si>
    <t>Национальная оборона</t>
  </si>
  <si>
    <t>Мобилизационная и вневойсковая подготовка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</si>
  <si>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</si>
  <si>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Основное мероприятие "Обеспечение выполнения переданных государственных полномочий"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</si>
  <si>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</si>
  <si>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</si>
  <si>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</si>
  <si>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</si>
  <si>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</si>
  <si>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0310</t>
  </si>
  <si>
    <t>Обеспечение пожарной безопасности</t>
  </si>
  <si>
    <t>Муниципальные программы Юсьвинского муниципального округа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</si>
  <si>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</si>
  <si>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</si>
  <si>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</si>
  <si>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</si>
  <si>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</si>
  <si>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</si>
  <si>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</si>
  <si>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</si>
  <si>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</si>
  <si>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</si>
  <si>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</si>
  <si>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</si>
  <si>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</si>
  <si>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</si>
  <si>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</si>
  <si>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</si>
  <si>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</si>
  <si>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</si>
  <si>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</si>
  <si>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</si>
  <si>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</si>
  <si>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0700</t>
  </si>
  <si>
    <t>Образование</t>
  </si>
  <si>
    <t>0702</t>
  </si>
  <si>
    <t>Общее образование</t>
  </si>
  <si>
    <t>0800</t>
  </si>
  <si>
    <t>Культура и кинематография</t>
  </si>
  <si>
    <t>Культура</t>
  </si>
  <si>
    <t>06 0 00 00000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</si>
  <si>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</si>
  <si>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06 1 00 00000</t>
  </si>
  <si>
    <t>06 1 70 00000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</si>
  <si>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</si>
  <si>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</si>
  <si>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</si>
  <si>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</si>
  <si>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</si>
  <si>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Охрана семьи и детства</t>
  </si>
  <si>
    <t>1006</t>
  </si>
  <si>
    <t>Другие вопросы в области социальной политики</t>
  </si>
  <si>
    <t>Управление образования администрации Юсьвинского муниципального округа Пермского края</t>
  </si>
  <si>
    <t>0701</t>
  </si>
  <si>
    <t>Дошкольное образование</t>
  </si>
  <si>
    <t>Оснащение муниципальных образовательных организаций оборудованием, средствами обученияи воспитания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</si>
  <si>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</si>
  <si>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</si>
  <si>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</si>
  <si>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</si>
  <si>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</si>
  <si>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</si>
  <si>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Физическая культура и спорт</t>
  </si>
  <si>
    <t>1101</t>
  </si>
  <si>
    <t>Физическая культура</t>
  </si>
  <si>
    <t>Отдел культуры, молодежной политики и спорта администрации Юсьвинского муниципального округа Пермского края</t>
  </si>
  <si>
    <t>0801</t>
  </si>
  <si>
    <t>0804</t>
  </si>
  <si>
    <t>Другие вопросы в области культуры, кинематографии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</si>
  <si>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</si>
  <si>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</si>
  <si>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</si>
  <si>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Средства массовой информации</t>
  </si>
  <si>
    <t>Периодическая печать и издательства</t>
  </si>
  <si>
    <t>Дума Юсьвинского муниципального округа Пермского края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</si>
  <si>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</si>
  <si>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</si>
  <si>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управление администрации Юсьвинского муниципального округа Пермского края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</si>
  <si>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</si>
  <si>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</si>
  <si>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</si>
  <si>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</si>
  <si>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0600</t>
  </si>
  <si>
    <t>0605</t>
  </si>
  <si>
    <t>Охрана окружающей среды</t>
  </si>
  <si>
    <t>Другие вопросы в области охраны окружающей среды</t>
  </si>
  <si>
    <t>10 3 10 4М042</t>
  </si>
  <si>
    <t>Текущее содержание (ремонт) объектов благоустройства, организация освещения улиц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</si>
  <si>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</si>
  <si>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Обеспечение питанием обучающихся из многодетных семей, нуждающихся в мерах социальной поддержки</t>
  </si>
  <si>
    <t>Обеспечение питанием обучающихся из семей, нуждающихся в мерах социальной поддержки</t>
  </si>
  <si>
    <t xml:space="preserve">Основное мероприятие "Патриотическое воспитание граждан Российской Федерации в рамках реализации федерального проекта"
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</si>
  <si>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</si>
  <si>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</si>
  <si>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</si>
  <si>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Обеспечение кадровой политики в сфере культуры и искусства</t>
  </si>
  <si>
    <t>Участие в реализации проекта «Новый клуб» программа «Комфортный край»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</si>
  <si>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</si>
  <si>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Организация обучения для СМСП и самозанятых</t>
  </si>
  <si>
    <t>Восстановление мостов и труб (несофинансируемые)</t>
  </si>
  <si>
    <t>Основное мероприятие "Содержание автомобильных дорог"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</si>
  <si>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</si>
  <si>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Обеспечение первичными мерами пожарной безопасности</t>
  </si>
  <si>
    <t>Основное мероприятие "Патриотическое воспитание граждан Российской Федерации в рамках реализации федерального проекта"</t>
  </si>
  <si>
    <t>Организация  и проведение  Конкурса по развитию волонтерской (добровольческой деятельности)</t>
  </si>
  <si>
    <t>Организация  и проведение Конкурса по развитию волонтерской (добровольческой деятельности)</t>
  </si>
  <si>
    <t>Всего</t>
  </si>
  <si>
    <t>01 05 02 01 14 0000 610</t>
  </si>
  <si>
    <t>Уменьшение прочих остатков денежных средств бюджетов</t>
  </si>
  <si>
    <t>01 05 02 01 00 0000 610</t>
  </si>
  <si>
    <t>Уменьшение прочих остатков средств бюджетов</t>
  </si>
  <si>
    <t>01 05 02 00 00 0000 600</t>
  </si>
  <si>
    <t>Уменьшение остатков средств бюджетов</t>
  </si>
  <si>
    <t>01 05 00 00 00 0000 600</t>
  </si>
  <si>
    <t>01 05 02 01 14 0000 510</t>
  </si>
  <si>
    <t>Увеличение прочих остатков денежных средств бюджетов</t>
  </si>
  <si>
    <t>01 05 02 01 00 0000 510</t>
  </si>
  <si>
    <t>Увеличение прочих остатков средств бюджетов</t>
  </si>
  <si>
    <t>01 05 02 00 00 0000 500</t>
  </si>
  <si>
    <t>Увеличение остатков средств бюджетов</t>
  </si>
  <si>
    <t>01 05 00 00 00 0000 500</t>
  </si>
  <si>
    <t>Изменение остатков средств на счетах по учету средств бюджетов</t>
  </si>
  <si>
    <t>01 05 00 00 00 0000 000</t>
  </si>
  <si>
    <t>ИСТОЧНИКИ ВНУТРЕННЕГО ФИНАНСИРОВАНИЯ ДЕФИЦИТОВ БЮДЖЕТОВ</t>
  </si>
  <si>
    <t>01 00 00 00 00 0000 000</t>
  </si>
  <si>
    <t xml:space="preserve">Наименование кода классификации источников внутреннего финансирования дефицита </t>
  </si>
  <si>
    <t xml:space="preserve">Код классификации источников внутреннего финансирования дефицита </t>
  </si>
  <si>
    <t>Приложение 5</t>
  </si>
  <si>
    <t>Основное мероприятие "Реализация мероприятий в рамках федерального проекта «Формирование комфортной городской среды»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</si>
  <si>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</si>
  <si>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Итого</t>
  </si>
  <si>
    <t>средства местного бюджета</t>
  </si>
  <si>
    <t>средства краевого бюджета</t>
  </si>
  <si>
    <t>№ п/п</t>
  </si>
  <si>
    <t>Приложение 3</t>
  </si>
  <si>
    <t>Приложение 4</t>
  </si>
  <si>
    <t>Наименование направлений расходов</t>
  </si>
  <si>
    <t>1.</t>
  </si>
  <si>
    <t>Муниципальная программа "Развитие транспортной системы Юсьвинского муниципального округа Пермского края", в том числе:</t>
  </si>
  <si>
    <t>1.1.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</si>
  <si>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</si>
  <si>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</si>
  <si>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</si>
  <si>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1.1.2.</t>
  </si>
  <si>
    <t>1.1.3.</t>
  </si>
  <si>
    <t>1.1.4.</t>
  </si>
  <si>
    <t>Основное мероприятие "Содержание муниципальных дорог"</t>
  </si>
  <si>
    <t>1.2.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</si>
  <si>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</si>
  <si>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</si>
  <si>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</si>
  <si>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</si>
  <si>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</si>
  <si>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</si>
  <si>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</si>
  <si>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</si>
  <si>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Мероприятие "Приведение в нормативное состояние искусственных дорожных сооружений"</t>
  </si>
  <si>
    <t>средства федерального бюджета</t>
  </si>
  <si>
    <t>1.2.2.</t>
  </si>
  <si>
    <t>Мероприятие "Проведение оценки уязвимости объектов транспортной инфраструктуры"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</si>
  <si>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</si>
  <si>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</si>
  <si>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Наименование доходов</t>
  </si>
  <si>
    <t>Доходы для определения объема дорожного фонда, всего</t>
  </si>
  <si>
    <t>в том числе:</t>
  </si>
  <si>
    <t>1.3.</t>
  </si>
  <si>
    <t>1.4.</t>
  </si>
  <si>
    <t>Дотации на выравнивание бюджетной обеспеченности</t>
  </si>
  <si>
    <t>1. Доходы</t>
  </si>
  <si>
    <t>2.Расходы</t>
  </si>
  <si>
    <t>Приложение 7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</si>
  <si>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2024-2026 годы</t>
  </si>
  <si>
    <t>01 3 10 2С150</t>
  </si>
  <si>
    <t>11 3 10 SP350</t>
  </si>
  <si>
    <t>Установка остановочных павильонов на территории Юсьвинского муниципального округа Пермского края</t>
  </si>
  <si>
    <t>Обеспечение деятельности Аппарата  Думы Юсьвинского муниципального округа Пермского края</t>
  </si>
  <si>
    <t>Обеспечение деятельности  муниципального казенного учреждения «Единый учетный центр»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</si>
  <si>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</si>
  <si>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</si>
  <si>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 xml:space="preserve"> Противопожарное водоснабжение Юсьвинского муниципального округа Пермского края</t>
  </si>
  <si>
    <t>Капитальный ремонт, ремонт объектов общеобразовательных организаций</t>
  </si>
  <si>
    <t>02 6 10 4Н110</t>
  </si>
  <si>
    <t>Установка остановочного павильона в д. Пиканово</t>
  </si>
  <si>
    <t>Установка остановочного павильона в д. Подволошино</t>
  </si>
  <si>
    <t>Установка остановочного павильона в с. Они</t>
  </si>
  <si>
    <t>Установка остановочного павильона в д. Федотово</t>
  </si>
  <si>
    <t>Установка остановочного павильона в д. Бажино</t>
  </si>
  <si>
    <t>Мероприятие. Установка остановочных павильонов на территории Юсьвинского муниципального округа Пермского края, в том числе:</t>
  </si>
  <si>
    <t>Капитальный ремонт моста в п. Майкор</t>
  </si>
  <si>
    <t>Ремонт моста через р. Проста автомобильной дороги "Габово-Купрос"</t>
  </si>
  <si>
    <t>Ремонт участкаулицы по ул. Соликамская (от пер. Пушкина до ул. Матросова) п. Майкор</t>
  </si>
  <si>
    <t>Ремонт автомобильной дороги по ул. Аптечная (от дома № 5 до ул. Гагарина), ул. Народная (от дома № 20а до дома № 22) с. Юсьва</t>
  </si>
  <si>
    <t>Ремонт автомобильной дороги по ул. Восточная (от ул. Механизаторов до дома № 5), ул. Крайняя (от дома № 5 до ул. Парковая) с. Юсьва</t>
  </si>
  <si>
    <t>Восстановление размытой водоотводной канавы на участке автомобильной дороги по ул. 8 Марта (от ул. Крестьянская до ул. Широкая) с.Юсьва</t>
  </si>
  <si>
    <t>Ремонт участка автомобильной дороги "Сивашер-Обирино-Сыскино" км 5+370-км 5+910</t>
  </si>
  <si>
    <t>Ремонт участка автомобильной дороги по ул. Центральная (от дома № 96 до дома № 69) д. Пиканово</t>
  </si>
  <si>
    <t>Ремонт участка автомобильной дороги по ул. Луговая (от автомобильной дороги "Купрос-Тимино-Тукачево" до дома № 12) д. Симянково</t>
  </si>
  <si>
    <t>Ремонт участка автомобильной дороги по ул. Попова (от дома №37 до дома №42А) с. Юсьва</t>
  </si>
  <si>
    <t>Ремонт участка автомобильной дороги по ул. Центральная (от ручья до дома №36) д. Пиканово</t>
  </si>
  <si>
    <t>Ремонт автомобильной дороги "Доег-Пет-Бор"</t>
  </si>
  <si>
    <t>Ремонт автомобильной дороги по ул. Нагорная (от дома № 2 до дома № 10), ул. Подгорная (от автомобильной дороги "Кудымкар-Пожва" до ул. Полевая) д. Трифаново</t>
  </si>
  <si>
    <t>Ремонт автомобильных дорог по ул. Школьная, ул. Энтузиастов с. Юсьва</t>
  </si>
  <si>
    <t>Ремонт автомобильной дороги по ул. Октябрьская (от ул. Коммунистическая до ул. Советская), ул. Ошмарина п. Майкор</t>
  </si>
  <si>
    <t>Ремонт автомобильной дороги по ул. Ломоносова п. Майкор</t>
  </si>
  <si>
    <t>Ремонт автомобильной дороги по ул. Васильковая с. Архангельское</t>
  </si>
  <si>
    <t>Ремонт автомобильной дороги по ул. Молодежная с. Купрос</t>
  </si>
  <si>
    <t>Ремонт автомобильной дороги по ул. Набережная с. Они</t>
  </si>
  <si>
    <t>Ремонт автомобильной дороги по ул. Загорная (от дома № 2 до дома № 12) д. Загарье</t>
  </si>
  <si>
    <t>Ремонт автомобильной дороги по ул. Полевая д. Кузьмино</t>
  </si>
  <si>
    <t>1.5.</t>
  </si>
  <si>
    <t xml:space="preserve">10 2 20 SP080 </t>
  </si>
  <si>
    <t>Реализация проектов инициативного бюджетирования</t>
  </si>
  <si>
    <t>10 3 10 4М076</t>
  </si>
  <si>
    <t>92 0 00 00230</t>
  </si>
  <si>
    <t>Исполнение решений судов, вступивших в законную силу, и оплата государственной пошлины</t>
  </si>
  <si>
    <t>92 0 00 00399</t>
  </si>
  <si>
    <t>Экспертное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</si>
  <si>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Мероприятия, осуществляемые органами местного самоуправления  Юсьвинского муниципального округа Пермского края в рамках непрограммных направлений расходов</t>
  </si>
  <si>
    <t>Экспетное сопровождение в отношении объекта капитального строительства "Строительство школьного образовательного учреждения на 60 мест в с.Доег Юсьвинского муниципального округа"</t>
  </si>
  <si>
    <t>92 0 00 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</si>
  <si>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</si>
  <si>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11 1 20 00000</t>
  </si>
  <si>
    <t xml:space="preserve"> Основное мероприятие "Проектно-изыскательские работы"</t>
  </si>
  <si>
    <t>11 1 20 4Д020</t>
  </si>
  <si>
    <t>Проектно-изыскательские работы по капитальному ремонту моста через р. Иньва на автомобильной дороге «Юсьва-Архангельское» км 004+462</t>
  </si>
  <si>
    <t>внебюджетные источники</t>
  </si>
  <si>
    <t>Ремонт автомобильной дороги по ул. Тарасовская д. Белюково</t>
  </si>
  <si>
    <t>Ремонт участка автомобильной дороги по ул. Вотинова (от ул. Пионерская до дома № 12) п. Майкор</t>
  </si>
  <si>
    <t>Ремонт участка автомобильной дороги "Габово-Купрос" (км 025+810 - км 027+810)</t>
  </si>
  <si>
    <t xml:space="preserve"> Основное мероприятие "Капитальный ремонт муниципальных дорог и искусственных дорожных сооружений"</t>
  </si>
  <si>
    <t>11 1 30 00000</t>
  </si>
  <si>
    <t>11 1 30 4Д081</t>
  </si>
  <si>
    <t>Осуществление авторского надзора и строительного контроля по объекту "Капитальный ремонт моста в п. Майкор"</t>
  </si>
  <si>
    <t>10 3 30 4М082</t>
  </si>
  <si>
    <t>Проектирование блочно-модульных газовых котельных</t>
  </si>
  <si>
    <t>Субсидии бюджетам муниципальных образований на реализацию программы "Комфортный край"</t>
  </si>
  <si>
    <t>Мероприятие "Проектно-изыскательские работы по капитальному ремонту моста через р. Иньва на автомобильной дороге «Юсьва-Архангельское» км 004+462"</t>
  </si>
  <si>
    <t>Мероприятие "Осуществление авторского надзора и строительного контроля по объекту "Капитальный ремонт моста в п. Майкор""</t>
  </si>
  <si>
    <t>1.1.5.</t>
  </si>
  <si>
    <t>1.1.6.</t>
  </si>
  <si>
    <t>Нераспределенный остаток средств дорожного фонда: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</si>
  <si>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</si>
  <si>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11 1 20 4Д022</t>
  </si>
  <si>
    <t>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«Юсьва-Архангельское»</t>
  </si>
  <si>
    <t>Выполнение работ по технологическому присоединению к электрическим сетям объекта жилищно-коммунального хозяйства "Очистные сооружения в с.Юсьва Пермского края"</t>
  </si>
  <si>
    <t>92 0 00 00430</t>
  </si>
  <si>
    <t>Обеспечение проведения выборов и референдумов</t>
  </si>
  <si>
    <t>0107</t>
  </si>
  <si>
    <t>Благоустройство территорий кладбищ</t>
  </si>
  <si>
    <t>10 2 20 4М096</t>
  </si>
  <si>
    <t>Актуализация схем теплоснабжения, водоснабжения и водоотведения Юсьвинского муниципального округа Пермского края</t>
  </si>
  <si>
    <t>Благоустройство общественных пространств (парков)</t>
  </si>
  <si>
    <t>02 5 30 SС240</t>
  </si>
  <si>
    <t>Обеспечение работников муниципальных учреждений путевками на санаторно-курортное лечение и оздоровление</t>
  </si>
  <si>
    <t>10 2 20 SК320</t>
  </si>
  <si>
    <t>06 1 70 SP420</t>
  </si>
  <si>
    <t>Ремонт сценической площадки МБУК "Юсьвинский КДЦ" по приоритетному проекту «Культурная реновация» программы «Комфортный край»</t>
  </si>
  <si>
    <t>06 1 70 SК310</t>
  </si>
  <si>
    <t>10 2 20 4М097</t>
  </si>
  <si>
    <t>Разработка проектно-сметной документации по благоустройству общественных пространств (парков)</t>
  </si>
  <si>
    <t>Обеспечение соответствующего качества воды водного объекта и санитарного состояния территории</t>
  </si>
  <si>
    <t>10 2 30 4М033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</si>
  <si>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</si>
  <si>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4Н100</t>
  </si>
  <si>
    <t>Обеспечение функционирования очистных сооружений в с. Юсьва</t>
  </si>
  <si>
    <t>92 0 00 00600</t>
  </si>
  <si>
    <t>10 3 10 SP410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</si>
  <si>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</si>
  <si>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 6 10 4Н130</t>
  </si>
  <si>
    <t>11 1 20 4Д023</t>
  </si>
  <si>
    <t>Предпроектное обследование моста через р. Лысковка автомобильной дороги "Подъезд к пристани Пожва" км 0+677</t>
  </si>
  <si>
    <t>07 0 20  4Ф130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</si>
  <si>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  (расходы, не софинансируемые из краевого бюджета)</t>
  </si>
  <si>
    <t>92 0 00 00420</t>
  </si>
  <si>
    <t>Установка новогодних елей на территории Юсьвинского муниципального округа Пермского края</t>
  </si>
  <si>
    <t>Приведение в нормативное состояние учреждений культуры  и образовательных учреждений в сфере культуры</t>
  </si>
  <si>
    <t>06 1 70 4К090</t>
  </si>
  <si>
    <t xml:space="preserve">06 1 70 4К090 </t>
  </si>
  <si>
    <t>Ремонт моста через р. Купроска на автомобильной дороге "Купрос-Тимино-Тукачево"</t>
  </si>
  <si>
    <t>Ремонт моста через р. Почашорка автомобильной дороги ул. Паньковская с. Юсьва</t>
  </si>
  <si>
    <t>Утверждено в бюджете</t>
  </si>
  <si>
    <t>Уточненный план</t>
  </si>
  <si>
    <t>Фактически исполнено</t>
  </si>
  <si>
    <t>% исполнения</t>
  </si>
  <si>
    <t>отклонения плана</t>
  </si>
  <si>
    <t>Расходы бюджета  Юсьвинского муниципального округа Пермского края за 2024 год по ведомственной структуре расходов бюджета</t>
  </si>
  <si>
    <t>Приложение  2</t>
  </si>
  <si>
    <t>к решению Думы Юсьвинского муниципального округа Пермского края</t>
  </si>
  <si>
    <t>"Об утверждении отчета об исполнении бюджета Юсьвинского муниципального округа Пермского края за 2024 год"</t>
  </si>
  <si>
    <t>от __.__.2025 № ___</t>
  </si>
  <si>
    <t>Призовые выплаты главам муниципальных образований (победителей конкурса)</t>
  </si>
  <si>
    <t>Поощрение муниципальных управленческих команд</t>
  </si>
  <si>
    <t>92 0 00 2P110</t>
  </si>
  <si>
    <t>92 0 00 5549F</t>
  </si>
  <si>
    <t>01 3 10 2В230</t>
  </si>
  <si>
    <t>11 3 10 SP400</t>
  </si>
  <si>
    <t>10 2 30 SP430</t>
  </si>
  <si>
    <t>Устройство контейнерных площадок для накопления твердых коммунальных отходов по приоритетному проекту "Наша улица" региональной программы "Комфортный край"</t>
  </si>
  <si>
    <t>0900</t>
  </si>
  <si>
    <t>Здравоохранение</t>
  </si>
  <si>
    <t>0902</t>
  </si>
  <si>
    <t>Амбулаторная помощь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</si>
  <si>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</si>
  <si>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</si>
  <si>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L0500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</si>
  <si>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</si>
  <si>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20 L3030</t>
  </si>
  <si>
    <t>02 8 00 00000</t>
  </si>
  <si>
    <t>Подпрограмма "Обеспечение реализации государственной программы и прочие мероприятия в области образования"</t>
  </si>
  <si>
    <t>02 8 10 00000</t>
  </si>
  <si>
    <t>Единовременная премия обучающимся, награжденным знаком отличия Пермского края "Гордость Пермского края"</t>
  </si>
  <si>
    <t>02 8 10 2Н440</t>
  </si>
  <si>
    <t>в том числе за счет средств краевого бюджета</t>
  </si>
  <si>
    <t>07 0 10 2Ф180</t>
  </si>
  <si>
    <t>Обеспечение условий для развития физической культуры и массового спорта</t>
  </si>
  <si>
    <t>к  решению Думы Юсьвинского муниципального округа Пермского края</t>
  </si>
  <si>
    <t>(тыс. рублей)</t>
  </si>
  <si>
    <t>Раздел, Подраздел</t>
  </si>
  <si>
    <t>Наименование раздела, подраздела</t>
  </si>
  <si>
    <t>Другие общегосударственные вопросы</t>
  </si>
  <si>
    <t>Итого по разделу 01</t>
  </si>
  <si>
    <t>Итого по разделу 02</t>
  </si>
  <si>
    <t>Защита населения и территории от чрезвычайных ситуаций природного и техногенного характера, гражданская оборона</t>
  </si>
  <si>
    <t>Итого по разделу 03</t>
  </si>
  <si>
    <t>Итого по разделу 04</t>
  </si>
  <si>
    <t>Итого по разделу 05</t>
  </si>
  <si>
    <t>Молодежная политика и оздоровление детей</t>
  </si>
  <si>
    <t>Итого по разделу 07</t>
  </si>
  <si>
    <t>Итого по разделу 08</t>
  </si>
  <si>
    <t>Итого по разделу 09</t>
  </si>
  <si>
    <t>1004</t>
  </si>
  <si>
    <t>Итого по разделу 10</t>
  </si>
  <si>
    <t>Итого по разделу 11</t>
  </si>
  <si>
    <t>1202</t>
  </si>
  <si>
    <t>Итого по разделу 12</t>
  </si>
  <si>
    <t>ВСЕГО</t>
  </si>
  <si>
    <t>"Об утверждении отчета об исполнении бюджета Юсьвинского муниципального округа Пермского края  за 2024 год"</t>
  </si>
  <si>
    <t>Расходы бюджета Юсьвинского муниципального округа Пермского края за 2024 год по разделам и подразделам классификации расходов бюджета</t>
  </si>
  <si>
    <t>Итого по разделу 06</t>
  </si>
  <si>
    <t xml:space="preserve"> </t>
  </si>
  <si>
    <t>"Об утверждении отчета об исполнению бюджета Юсьвинского муниципального округа Пермского края за 2024 год"</t>
  </si>
  <si>
    <t>от    2025 №</t>
  </si>
  <si>
    <t>Доходы  бюджета Юсьвинского муниципального округа за 2024 год по кодам классификации доходов</t>
  </si>
  <si>
    <t>(тыс.рублей)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</si>
  <si>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</si>
  <si>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</si>
  <si>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</si>
  <si>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</si>
  <si>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</si>
  <si>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</si>
  <si>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</si>
  <si>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</si>
  <si>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</si>
  <si>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</si>
  <si>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</si>
  <si>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</si>
  <si>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</si>
  <si>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</si>
  <si>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</si>
  <si>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</si>
  <si>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</si>
  <si>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</si>
  <si>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</si>
  <si>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</si>
  <si>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</si>
  <si>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</si>
  <si>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</si>
  <si>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</si>
  <si>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</si>
  <si>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</si>
  <si>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</si>
  <si>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</si>
  <si>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</si>
  <si>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</si>
  <si>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</si>
  <si>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</si>
  <si>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</si>
  <si>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</si>
  <si>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</si>
  <si>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</si>
  <si>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</si>
  <si>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</si>
  <si>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</si>
  <si>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</si>
  <si>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</si>
  <si>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</si>
  <si>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</si>
  <si>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1 05 02000 02 0000 110</t>
  </si>
  <si>
    <t>Единый налог на вмененный доход для отдельных видов деятельности</t>
  </si>
  <si>
    <t>1 05 02010 02 0000 110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</si>
  <si>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</si>
  <si>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</si>
  <si>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</si>
  <si>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</si>
  <si>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</si>
  <si>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</si>
  <si>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</si>
  <si>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</si>
  <si>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</si>
  <si>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</si>
  <si>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</si>
  <si>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</si>
  <si>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</si>
  <si>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</si>
  <si>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</si>
  <si>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</si>
  <si>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</si>
  <si>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</si>
  <si>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</si>
  <si>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</si>
  <si>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</si>
  <si>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</si>
  <si>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</si>
  <si>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</si>
  <si>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</si>
  <si>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</si>
  <si>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</si>
  <si>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</si>
  <si>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</si>
  <si>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</si>
  <si>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</si>
  <si>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</si>
  <si>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</si>
  <si>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</si>
  <si>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</si>
  <si>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</si>
  <si>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</si>
  <si>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</si>
  <si>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</si>
  <si>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</si>
  <si>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</si>
  <si>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</si>
  <si>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</si>
  <si>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</si>
  <si>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</si>
  <si>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государственной и муниципальной собственности муниципальных округов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</si>
  <si>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</si>
  <si>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</si>
  <si>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</si>
  <si>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</si>
  <si>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</si>
  <si>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</si>
  <si>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</si>
  <si>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</si>
  <si>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</si>
  <si>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</si>
  <si>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</si>
  <si>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</si>
  <si>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</si>
  <si>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</si>
  <si>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</si>
  <si>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</si>
  <si>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</si>
  <si>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</si>
  <si>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</si>
  <si>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</si>
  <si>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</si>
  <si>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</si>
  <si>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</si>
  <si>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</si>
  <si>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</si>
  <si>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</si>
  <si>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</si>
  <si>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</si>
  <si>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</si>
  <si>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 xml:space="preserve"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</si>
  <si>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﻿1 14 02043 14 0000 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</si>
  <si>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</si>
  <si>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</si>
  <si>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</si>
  <si>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</si>
  <si>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</si>
  <si>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</si>
  <si>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</si>
  <si>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</si>
  <si>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</si>
  <si>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</si>
  <si>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</si>
  <si>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</si>
  <si>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</si>
  <si>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</si>
  <si>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</si>
  <si>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</si>
  <si>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</si>
  <si>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﻿1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</si>
  <si>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</si>
  <si>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</si>
  <si>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</si>
  <si>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﻿1 16 01153 01 0000 140
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</si>
  <si>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</si>
  <si>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01 157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</si>
  <si>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</si>
  <si>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</si>
  <si>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</si>
  <si>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﻿1 16 01193 01 0000 140
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</si>
  <si>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</si>
  <si>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01 194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</si>
  <si>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</si>
  <si>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 xml:space="preserve">﻿1 16 01203 01 0000 140
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</si>
  <si>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</si>
  <si>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﻿1 16 01333 01 0000 140
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</si>
  <si>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</si>
  <si>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</si>
  <si>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</si>
  <si>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07 010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</si>
  <si>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</si>
  <si>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</si>
  <si>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</si>
  <si>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116 10032 14 0000 140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</si>
  <si>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</si>
  <si>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</si>
  <si>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</si>
  <si>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1 17 01 000 00 0000 000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</si>
  <si>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</si>
  <si>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</si>
  <si>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</si>
  <si>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1 17 05 000 00 0000 000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</si>
  <si>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</si>
  <si>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</si>
  <si>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</si>
  <si>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</si>
  <si>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</si>
  <si>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</si>
  <si>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</si>
  <si>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</si>
  <si>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</si>
  <si>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</si>
  <si>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</si>
  <si>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</si>
  <si>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</si>
  <si>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</si>
  <si>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</si>
  <si>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</si>
  <si>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</si>
  <si>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 xml:space="preserve">2 02 16 549 14 0000 150 </t>
  </si>
  <si>
    <t>Дотации (гранты) бюджетам муниципальных округов за достижение показателей деятельности органов местного самоуправления</t>
  </si>
  <si>
    <t xml:space="preserve">2 02 19 999 14 0000 150 </t>
  </si>
  <si>
    <t>Прочие дотации бюджетам муниципальных округов</t>
  </si>
  <si>
    <t xml:space="preserve">Иные дотации бюджетам муниципальных образований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</si>
  <si>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</si>
  <si>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</si>
  <si>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</si>
  <si>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</si>
  <si>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</si>
  <si>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</si>
  <si>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</si>
  <si>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бюджетам муниципальных образований на строительство (реконструкцию)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</si>
  <si>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</si>
  <si>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</si>
  <si>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</si>
  <si>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</si>
  <si>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</si>
  <si>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</si>
  <si>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</si>
  <si>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</si>
  <si>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</si>
  <si>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</si>
  <si>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</si>
  <si>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</si>
  <si>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</si>
  <si>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</si>
  <si>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</si>
  <si>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</si>
  <si>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</si>
  <si>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</si>
  <si>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</si>
  <si>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</si>
  <si>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</si>
  <si>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</si>
  <si>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</si>
  <si>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</si>
  <si>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</si>
  <si>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</si>
  <si>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</si>
  <si>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</si>
  <si>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Субсидии бюджетам муниципальных образований на обеспечение работников учреждений бюджетной сферы Пермского края путевками на санаторно-курортное лечение и оздоровление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</si>
  <si>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</si>
  <si>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</si>
  <si>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</si>
  <si>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</si>
  <si>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Субсидия на реализацию программы "Комфортный край"</t>
  </si>
  <si>
    <t>Субсидия на реализацию мероприятий в сфере молодежной политики</t>
  </si>
  <si>
    <t>Субсидии на софинансирование проектов инициативного бюджетирования</t>
  </si>
  <si>
    <t>Субсидия на подготовку и проведение празднования на краевом уровне памятных дат</t>
  </si>
  <si>
    <t xml:space="preserve">2 02 30 000 00 0000 150 </t>
  </si>
  <si>
    <t>Субвенции бюджетам бюджетной системы Российской Федерации</t>
  </si>
  <si>
    <t xml:space="preserve">2 02 30 024 14 0000 150 </t>
  </si>
  <si>
    <t>﻿Субвенции бюджетам муниципальных округов на выполнение передаваемых полномочий субъектов Российской Федерации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</si>
  <si>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</si>
  <si>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</si>
  <si>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</si>
  <si>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</si>
  <si>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</si>
  <si>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</si>
  <si>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</si>
  <si>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</si>
  <si>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</si>
  <si>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</si>
  <si>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 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</si>
  <si>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</si>
  <si>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 xml:space="preserve">2 02 35 082 14 0000 150 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</si>
  <si>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</si>
  <si>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</si>
  <si>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</si>
  <si>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</si>
  <si>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</si>
  <si>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</si>
  <si>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</si>
  <si>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</si>
  <si>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</si>
  <si>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</si>
  <si>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</si>
  <si>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</si>
  <si>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</si>
  <si>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</si>
  <si>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</si>
  <si>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</si>
  <si>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</si>
  <si>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</si>
  <si>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</si>
  <si>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</si>
  <si>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</si>
  <si>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</si>
  <si>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</si>
  <si>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</si>
  <si>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</si>
  <si>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межбюджетные трансферты на реализацию мероприятий по созданию условий осуществления медицинской деятельности в модульных зданиях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</si>
  <si>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</si>
  <si>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</si>
  <si>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межбюджетные трансферты  на выплату единовременных премий обучающимся, награжденным знаком отличия Пермского края «Гордость Пермского края»</t>
  </si>
  <si>
    <t>2 07 00000 00 0000 000</t>
  </si>
  <si>
    <t>ПРОЧИЕ БЕЗВОЗМЕЗДНЫЕ ПОСТУПЛЕНИЯ</t>
  </si>
  <si>
    <t>2 07 04050 14 0000 150</t>
  </si>
  <si>
    <t>Прочие безвозмездные поступления в бюджеты муниципальных округов</t>
  </si>
  <si>
    <t>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</si>
  <si>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</si>
  <si>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</si>
  <si>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</si>
  <si>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</si>
  <si>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</si>
  <si>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2 19 60010 14 0000 151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</si>
  <si>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</si>
  <si>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</si>
  <si>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-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</si>
  <si>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</si>
  <si>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</si>
  <si>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Источники финансирования дефицита бюджета Юсьвинского муниципального округа Пермского края за 2024 год по кодам классификации источников финансирования дефицитов бюджетов</t>
  </si>
  <si>
    <t>" Об утверждении отчета об исполнении бюджета Юсьвинского муниципального округа за 2024 год"</t>
  </si>
  <si>
    <t>от__.__.2025 № ____</t>
  </si>
  <si>
    <t>Размер и структура муниципального</t>
  </si>
  <si>
    <t>Наименование обязательств</t>
  </si>
  <si>
    <t>Основной долг</t>
  </si>
  <si>
    <t>Кредитные соглашения и договоры</t>
  </si>
  <si>
    <t>Муниципальные гарантии</t>
  </si>
  <si>
    <t>ИТОГО</t>
  </si>
  <si>
    <t>долга Юсьвинского муниципального округа Пермского края по состоянию на 1 января 2025 года</t>
  </si>
  <si>
    <t xml:space="preserve"> Приложение 6</t>
  </si>
  <si>
    <t xml:space="preserve"> Программа</t>
  </si>
  <si>
    <t>Внутренние заимствования</t>
  </si>
  <si>
    <t>Сумма</t>
  </si>
  <si>
    <t>Соглашения и договоры о получении Юсьвинским муниципальным округом Пермского края бюджетных ссуд и бюджетных кредитов от бюджетов других уровней бюджетной системы</t>
  </si>
  <si>
    <t>Привлечение средств</t>
  </si>
  <si>
    <t>Погашение задолженности</t>
  </si>
  <si>
    <t>муниципальных внутренних заимствований Юсьвинского муниципального округа Пермского края за 2024 год</t>
  </si>
  <si>
    <t>Программа</t>
  </si>
  <si>
    <t xml:space="preserve">Наименование параметра              </t>
  </si>
  <si>
    <t xml:space="preserve">1. Предоставление муниципальных гарантий в очередном финансовом году с правом регрессного требования    </t>
  </si>
  <si>
    <t xml:space="preserve">2. Объем бюджетных ассигнований на исполнение   гарантий по возможным гарантийным случаям             </t>
  </si>
  <si>
    <t xml:space="preserve">2.1. В том числе с правом регрессного требования за счет источников финансирования дефицита бюджета    </t>
  </si>
  <si>
    <t>муниципальных гарантий Юсьвинского муниципального округа Пермского края в 2025 году</t>
  </si>
  <si>
    <t>Справочно</t>
  </si>
  <si>
    <t>Наименование муниципальной  программы</t>
  </si>
  <si>
    <t>Объем финансирования</t>
  </si>
  <si>
    <t>Объемы финансирования</t>
  </si>
  <si>
    <t>Оценка эффективности муниципальной программы</t>
  </si>
  <si>
    <t>%</t>
  </si>
  <si>
    <t>результат</t>
  </si>
  <si>
    <t>план</t>
  </si>
  <si>
    <t>факт</t>
  </si>
  <si>
    <t>высокий уровень эффективности</t>
  </si>
  <si>
    <t>Муниципальная программа "Экономическое развитие Юсьвинского муниципальнгого округа Пермского края"</t>
  </si>
  <si>
    <t>Муниципальная программа " Распоряжение земельными ресурсами и развитие градостроительной деятельности"</t>
  </si>
  <si>
    <t>от ___.___.2025 № _____</t>
  </si>
  <si>
    <t xml:space="preserve">Информация о выполнении муниципальных программ Юсьвинского муниципального округа Пермского края за 2024 год </t>
  </si>
  <si>
    <t xml:space="preserve">в том числе за счет средств краевого  бюджета </t>
  </si>
  <si>
    <t>92 0 00 2А180</t>
  </si>
  <si>
    <t>Реализация мероприятий по созданию условий осуществления медицинской деятельности в модульных зданиях ФАП</t>
  </si>
  <si>
    <t>ОТЧЕТ</t>
  </si>
  <si>
    <t>о расходах на содержание органов местного самоуправления Юсьвинского муниципального округа Пермского края</t>
  </si>
  <si>
    <t>Наименование органа</t>
  </si>
  <si>
    <t>Кассовый расход</t>
  </si>
  <si>
    <t>Фактический расход</t>
  </si>
  <si>
    <t>Доля расходов в общей сумме расходов на содержание ОМС, %</t>
  </si>
  <si>
    <t>Всего расходов окружного бюджета</t>
  </si>
  <si>
    <t>Всего расходов на содержание органов местного самоуправления</t>
  </si>
  <si>
    <t>Доля расходов на содержание ОМСУ в общих расходах</t>
  </si>
  <si>
    <t>Администрация Юсьвинского муниципального округа Пермского края, в том числе:</t>
  </si>
  <si>
    <t>012104У060</t>
  </si>
  <si>
    <t>Обеспечение выполнения функций главы округа - главы администрации Юсьвинского муниципального округа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</si>
  <si>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</si>
  <si>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</si>
  <si>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011204У020</t>
  </si>
  <si>
    <t>Программное обеспечение, сопровождение информационных систем, приобретение  компьютерной и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</si>
  <si>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011304У040</t>
  </si>
  <si>
    <t>Обеспечение функционирования официального сайта администрации , предоставление информационных услуг</t>
  </si>
  <si>
    <t>011304У041</t>
  </si>
  <si>
    <t>9200000220</t>
  </si>
  <si>
    <t>Расходы на обеспечение деятельности муниципального казённого учреждения "Единый сервисный центр"</t>
  </si>
  <si>
    <t>9200000230</t>
  </si>
  <si>
    <t>9200000260</t>
  </si>
  <si>
    <t>9200000270</t>
  </si>
  <si>
    <t>Дума Юсьвинского муниципального округа Пермского края, в том числе</t>
  </si>
  <si>
    <t>9100000021</t>
  </si>
  <si>
    <t>Депутаты Думы Юсьвинского муниципального округа Пермского края</t>
  </si>
  <si>
    <t>9100000031</t>
  </si>
  <si>
    <t xml:space="preserve">Расходы на обеспечение деятельности Аппарата  Думы Юсьвинского муниципального округа Пермского края </t>
  </si>
  <si>
    <t xml:space="preserve">Финансовое управление администрации Юсьвинского муниципального округа, в том числе:                                  </t>
  </si>
  <si>
    <t>Управление образования администрации Юсьвинского муниципального округа Пермского края, в том числе</t>
  </si>
  <si>
    <t>Отдел культуры, молодежной политики и спорта администрации Юсьвинского муниципального округа Пермского края, в том числе</t>
  </si>
  <si>
    <t>за 2024 год</t>
  </si>
  <si>
    <t>015104У092</t>
  </si>
  <si>
    <t>015104У093</t>
  </si>
  <si>
    <t>к решению  Думы Юсьвинского муниципального округа Пермского края</t>
  </si>
  <si>
    <t>(рублей)</t>
  </si>
  <si>
    <t>Наименование распорядителей, получателей бюджетных средств</t>
  </si>
  <si>
    <t>Основание для выделения средств (распоряжение)</t>
  </si>
  <si>
    <t>Наименование расходов</t>
  </si>
  <si>
    <t>Выделено        средств</t>
  </si>
  <si>
    <t>Фактически использовано (кассовый расход)</t>
  </si>
  <si>
    <t>Дата</t>
  </si>
  <si>
    <t>№  документа</t>
  </si>
  <si>
    <t xml:space="preserve">Проведение траурного мероприятия по захоронению военнослужащего, погибшего в ходе специальной военной операции </t>
  </si>
  <si>
    <t>Материальная помощь пострадавшим от пожара</t>
  </si>
  <si>
    <t>609-р</t>
  </si>
  <si>
    <t>819-р</t>
  </si>
  <si>
    <t xml:space="preserve">Итого: </t>
  </si>
  <si>
    <t>Остаток средств:</t>
  </si>
  <si>
    <t xml:space="preserve">Отчёт об использовании бюджетных ассигнований резервного фонда администрации Юсьвинского муниципального округа Пермского края за 2024 год
</t>
  </si>
  <si>
    <t>от ___.___.2025  № _____</t>
  </si>
  <si>
    <t>Предусмотрено в бюджете на 2024 год</t>
  </si>
  <si>
    <t>820-р</t>
  </si>
  <si>
    <t>01-р</t>
  </si>
  <si>
    <t>14-р</t>
  </si>
  <si>
    <t>67-р</t>
  </si>
  <si>
    <t>861-р</t>
  </si>
  <si>
    <t>97-р</t>
  </si>
  <si>
    <t>121-р</t>
  </si>
  <si>
    <t>121/1-р</t>
  </si>
  <si>
    <t>147-р</t>
  </si>
  <si>
    <t>192-р</t>
  </si>
  <si>
    <t>195-р</t>
  </si>
  <si>
    <t>211-р</t>
  </si>
  <si>
    <t>254-р</t>
  </si>
  <si>
    <t>259-р</t>
  </si>
  <si>
    <t>264-р</t>
  </si>
  <si>
    <t>292-р</t>
  </si>
  <si>
    <t>305-р</t>
  </si>
  <si>
    <t>314-р</t>
  </si>
  <si>
    <t>320-р</t>
  </si>
  <si>
    <t>332-р</t>
  </si>
  <si>
    <t>334-р</t>
  </si>
  <si>
    <t>342-р</t>
  </si>
  <si>
    <t>422-р</t>
  </si>
  <si>
    <t>426-р</t>
  </si>
  <si>
    <t>404-р</t>
  </si>
  <si>
    <t>434-р</t>
  </si>
  <si>
    <t>449-р</t>
  </si>
  <si>
    <t>470-р</t>
  </si>
  <si>
    <t>470/1-р</t>
  </si>
  <si>
    <t>485-р</t>
  </si>
  <si>
    <t>575-р</t>
  </si>
  <si>
    <t>506-р</t>
  </si>
  <si>
    <t>526-р</t>
  </si>
  <si>
    <t>564-р</t>
  </si>
  <si>
    <t>574-р</t>
  </si>
  <si>
    <t>503-р</t>
  </si>
  <si>
    <t>504-р</t>
  </si>
  <si>
    <t>552-р</t>
  </si>
  <si>
    <t>604-р</t>
  </si>
  <si>
    <t>602-р</t>
  </si>
  <si>
    <t>603-р</t>
  </si>
  <si>
    <t>610-р</t>
  </si>
  <si>
    <t>642-р</t>
  </si>
  <si>
    <t>661-р</t>
  </si>
  <si>
    <t>18-р</t>
  </si>
  <si>
    <t>449/1-р</t>
  </si>
  <si>
    <t>покупка резервных насосов для обеспечения бесперебойного водоснабжения на водозаборных скважинах в с.Юсьва и п.Майкор</t>
  </si>
  <si>
    <t>проведение аварийно-восстановительных работ на водопроводе в п.Пожва, ул.Горская, 35</t>
  </si>
  <si>
    <t>аренда топливозаправщика для хранения сжиженных углеводородных газов</t>
  </si>
  <si>
    <t xml:space="preserve">Остаток неиспользованных средств дорожного фонда по состоянию на 01.01.2024 г. </t>
  </si>
  <si>
    <t>Отклонение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</si>
  <si>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</si>
  <si>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</si>
  <si>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Мероприятиу "Проведение государственной экспертизы проектной документации в части проверки достоверности определения сметной стоимости по объекту "Капитальный ремонт моста через р. Иньва на автомобильной дороге "Юсьва-Архангельское"</t>
  </si>
  <si>
    <t>Ремонт участка автомобильной дороги "Асаново-Белюков" (км 000+750 - км 001+700)</t>
  </si>
  <si>
    <t>Ремонт автомобильной дороги по ул.Хуторская с.Юсьва</t>
  </si>
  <si>
    <t>Ремонт автомобильной дороги по ул.Урожайная (от ул.Полевая до ул.Первомайская) с.Юсьва</t>
  </si>
  <si>
    <t>Ремонт автомобильной дороги по ул.Коммунарская (от дома № 2 до ул.Хуторская) с.Юсьва</t>
  </si>
  <si>
    <t>Укрепление покрытия проезжей части участка автомобильной дороги по ул. Мира п. Майкор</t>
  </si>
  <si>
    <t>Ремонт моста на автомобильной дороге по ул.Центральная д.Ивучево</t>
  </si>
  <si>
    <t>Ремонт моста в д. Урманово</t>
  </si>
  <si>
    <t>Отчет об использовании бюджетных ассигнований дорожного фонда Юсьвинского муниципального округа Персмского края за 2024 год</t>
  </si>
  <si>
    <t>Поступило на 01.01.2025</t>
  </si>
  <si>
    <t xml:space="preserve">Остаток неиспользованных средств дорожного фонда по состоянию на 01.01.2025 г. </t>
  </si>
  <si>
    <t>Восстановление водопропускной трубы на автомобильной дороге по ул. Ломоносова п. Майкор</t>
  </si>
  <si>
    <t>Кассовый расход на 01.01.2025</t>
  </si>
  <si>
    <t xml:space="preserve">Справочно </t>
  </si>
  <si>
    <t>к проекту решения Думы Юсьвинского муниципального округа Пермского края</t>
  </si>
  <si>
    <t>от ___.___.2024 г. № _____</t>
  </si>
  <si>
    <t>Отчет об исполнении инвестиционных проектов</t>
  </si>
  <si>
    <t>Юсьвинского муниципального округа Пермского края</t>
  </si>
  <si>
    <t>руб., коп.</t>
  </si>
  <si>
    <t>Наименование и место нахождение объекта*</t>
  </si>
  <si>
    <t>Сроки строительства (реконструкции)</t>
  </si>
  <si>
    <t>Мощность</t>
  </si>
  <si>
    <t>Сметная стоимость объекта</t>
  </si>
  <si>
    <t>Задолженность на 01.01.2023</t>
  </si>
  <si>
    <t>Фактическое финансирование</t>
  </si>
  <si>
    <t>% готовности объекта на 01.01.2024</t>
  </si>
  <si>
    <t>по ПСД</t>
  </si>
  <si>
    <t>в текущих ценах</t>
  </si>
  <si>
    <t>Кт</t>
  </si>
  <si>
    <t>Дт</t>
  </si>
  <si>
    <t>за счет средств федерального бюджета</t>
  </si>
  <si>
    <t>за счет средств внебюджетных источников</t>
  </si>
  <si>
    <t>всего за период строительства (реконструкции), разработки документации</t>
  </si>
  <si>
    <t>в том числе за отчетный период</t>
  </si>
  <si>
    <t>2022-2024</t>
  </si>
  <si>
    <t>60 мест</t>
  </si>
  <si>
    <t>0</t>
  </si>
  <si>
    <t>Строительство очистных сооружений в с. Юсьва Пермского края</t>
  </si>
  <si>
    <t>303,84 куб.м/сут</t>
  </si>
  <si>
    <t>Х</t>
  </si>
  <si>
    <t>Утверждено</t>
  </si>
  <si>
    <t>Наименование объектов</t>
  </si>
  <si>
    <t>Остаток сметной стоимости объекта на 01.01.2024</t>
  </si>
  <si>
    <t>Задолженность на 01.01.2024</t>
  </si>
  <si>
    <t>Уточненный план на 2024 год</t>
  </si>
  <si>
    <t>Объем выполненных работ на 01.01.2025</t>
  </si>
  <si>
    <t>% готовности объекта на 01.01.2025</t>
  </si>
  <si>
    <t xml:space="preserve">СПРАВОЧНО
Фактическое финансирование объектов, не введенных в эксплуатацию до 31.12.2024 года, с момента начала строительства </t>
  </si>
  <si>
    <t>2023-2024</t>
  </si>
  <si>
    <t>2024-2025</t>
  </si>
  <si>
    <t>Строительство Купросского сельского дома культуры на 50 мест в с.Купрос Юсьвинского муниципального округа Пермского края</t>
  </si>
  <si>
    <t>50 мест</t>
  </si>
  <si>
    <t>Объем бюджетных ассигнований на осуществление бюджетных инвестиций в объекты капитального строительства муниципальной собственности за 2024 год</t>
  </si>
  <si>
    <t>от 00.00.2025  № ___</t>
  </si>
  <si>
    <t>Наименование государственных программ</t>
  </si>
  <si>
    <t>Процент исполнения</t>
  </si>
  <si>
    <t>Остаток неиспользованных средств</t>
  </si>
  <si>
    <t>местный бюджет</t>
  </si>
  <si>
    <t>краевой бюджет</t>
  </si>
  <si>
    <t>федеральный бюджет</t>
  </si>
  <si>
    <t>3</t>
  </si>
  <si>
    <t>4</t>
  </si>
  <si>
    <t>9</t>
  </si>
  <si>
    <t>10</t>
  </si>
  <si>
    <t>11</t>
  </si>
  <si>
    <t>от ___.___.2025 г. № _____</t>
  </si>
  <si>
    <t>Национальный проект "Культура"</t>
  </si>
  <si>
    <t>Национальный проект "Безопасные и качественные автомобильные дороги"</t>
  </si>
  <si>
    <t>Национальный проект "Жилье и городская среда"</t>
  </si>
  <si>
    <t>Национальный проект "Образование"</t>
  </si>
  <si>
    <t>Итого на реализацию национальных проектов</t>
  </si>
  <si>
    <t>о реализации национальных проектов за 2024 год</t>
  </si>
  <si>
    <t>Номер (код) счета
бюджетного учета</t>
  </si>
  <si>
    <t>Сумма задолженности, руб</t>
  </si>
  <si>
    <t>на начало года</t>
  </si>
  <si>
    <t>на конец отчетного периода</t>
  </si>
  <si>
    <t>всего</t>
  </si>
  <si>
    <t>остаток на 
начало года</t>
  </si>
  <si>
    <t>исправление ошибок 
прошлых лет</t>
  </si>
  <si>
    <t>из них:</t>
  </si>
  <si>
    <t>долгосрочная</t>
  </si>
  <si>
    <t>просроченная</t>
  </si>
  <si>
    <t>2а</t>
  </si>
  <si>
    <t>2б</t>
  </si>
  <si>
    <t>Доходы</t>
  </si>
  <si>
    <t>Расходы</t>
  </si>
  <si>
    <t>1 20511 000</t>
  </si>
  <si>
    <t>1 20521 000</t>
  </si>
  <si>
    <t>1 20523 000</t>
  </si>
  <si>
    <t>1 20529 000</t>
  </si>
  <si>
    <t>1 20531 000</t>
  </si>
  <si>
    <t>1 20535 000</t>
  </si>
  <si>
    <t>1 20551 000</t>
  </si>
  <si>
    <t>1 20553 000</t>
  </si>
  <si>
    <t>1 20555 000</t>
  </si>
  <si>
    <t>1 20561 000</t>
  </si>
  <si>
    <t>1 20563 000</t>
  </si>
  <si>
    <t>1 20571 000</t>
  </si>
  <si>
    <t>1 20573 000</t>
  </si>
  <si>
    <t>1 20574 000</t>
  </si>
  <si>
    <t>1 20581 000</t>
  </si>
  <si>
    <t>1 20589 000</t>
  </si>
  <si>
    <t>1 20621 000</t>
  </si>
  <si>
    <t>1 20623 000</t>
  </si>
  <si>
    <t>1 20625 000</t>
  </si>
  <si>
    <t>1 20626 000</t>
  </si>
  <si>
    <t>1 20628 000</t>
  </si>
  <si>
    <t>1 20631 000</t>
  </si>
  <si>
    <t>1 20821 000</t>
  </si>
  <si>
    <t>1 20825 000</t>
  </si>
  <si>
    <t>1 20826 000</t>
  </si>
  <si>
    <t>1 20831 000</t>
  </si>
  <si>
    <t>1 20834 000</t>
  </si>
  <si>
    <t>1 20936 000</t>
  </si>
  <si>
    <t>1 20941 000</t>
  </si>
  <si>
    <t>1 20944 000</t>
  </si>
  <si>
    <t>1 20945 000</t>
  </si>
  <si>
    <t>1 30305 000</t>
  </si>
  <si>
    <t>1 30306 000</t>
  </si>
  <si>
    <t>1 30314 000</t>
  </si>
  <si>
    <t>Итого по синтетическому коду счета</t>
  </si>
  <si>
    <t>Всего задолженности</t>
  </si>
  <si>
    <t>1 30226 000</t>
  </si>
  <si>
    <t>1 30263 000</t>
  </si>
  <si>
    <t>1 30301 000</t>
  </si>
  <si>
    <t>1 30315 000</t>
  </si>
  <si>
    <t>Расчеты по налоговым доходам</t>
  </si>
  <si>
    <t>Расчеты по доходам от собственности</t>
  </si>
  <si>
    <t>Расчеты по доходам от платежей при пользовании природными ресурсами</t>
  </si>
  <si>
    <t>Расчеты по иным доходам от собственности</t>
  </si>
  <si>
    <t>Расчеты по доходам от оказания платных услуг (работ)</t>
  </si>
  <si>
    <t>Расчеты по условным арендным платежам</t>
  </si>
  <si>
    <t xml:space="preserve">Расчеты по поступлениям текущего характера от иных резидентов (за исключением сектора государственного управления и организаций государственного сектора)"
</t>
  </si>
  <si>
    <t>Расчеты с подотчетными лицами по оплате услуг связи</t>
  </si>
  <si>
    <t>Расчеты с подотчетными лицами по приобретению материальных запасов</t>
  </si>
  <si>
    <t>Расчеты по НДФЛ</t>
  </si>
  <si>
    <t>Расчеты по прочим платежам в бюджеты</t>
  </si>
  <si>
    <t>Расчеты по обязательному социальному страхованию от несчастных случаев на производстве и профессиональных заболеваний</t>
  </si>
  <si>
    <t>Расчеты по поступлениям текущего характера от других бюджетов бюджетной системы Российской Федерации</t>
  </si>
  <si>
    <t>Расчеты по поступлениям капитального характера бюджетным и автономным учреждениям от сектора государственного управления</t>
  </si>
  <si>
    <t>Расчеты по пособиям по социальной помощи населению в натуральной форме</t>
  </si>
  <si>
    <t>Расчеты по доходам от операций с непроизведенными активами</t>
  </si>
  <si>
    <t>Расчеты по невыясненным поступлениям</t>
  </si>
  <si>
    <t xml:space="preserve">Расчеты по доходам от штрафных санкций за нарушение условий контрактов (договоров)
</t>
  </si>
  <si>
    <t>Расчеты по доходам от возмещения ущерба имуществу (за искл. страховых возмещений)</t>
  </si>
  <si>
    <t xml:space="preserve">Расчеты по доходам от прочих сумм принудительного изъятия
</t>
  </si>
  <si>
    <t>Расчеты по единому налоговому платежу</t>
  </si>
  <si>
    <t>Расчеты по поступлениям текущего характера в бюджеты бюджетной системы Российской Федерации от бюджетных и автономных учреждений</t>
  </si>
  <si>
    <t>Расчеты 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</si>
  <si>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Расчеты по доходам от операций с основными средствами</t>
  </si>
  <si>
    <t>Расчеты по доходам от операций с материальными запасами</t>
  </si>
  <si>
    <t>Расчеты по иным доходам</t>
  </si>
  <si>
    <t>Расчеты по авансам по услугам связи</t>
  </si>
  <si>
    <t>Расчеты по авансам по коммунальным услугам</t>
  </si>
  <si>
    <t>Расчеты по авансам по работам, услугам по содержанию имущества</t>
  </si>
  <si>
    <t>Расчеты по авансам по прочим работам, услугам</t>
  </si>
  <si>
    <t>Расчеты по авансам по услугам, работам для целей капитальных вложений</t>
  </si>
  <si>
    <t>Расчеты по авансам по приобретению основных средств</t>
  </si>
  <si>
    <t>Расчеты с подотчетными лицами по оплате работ, услуг по содержанию имущества</t>
  </si>
  <si>
    <t>Расчеты с подотчетными лицами по оплате прочих работ, услуг</t>
  </si>
  <si>
    <t>Расчеты с подотчетными лицами по приобретению основных средств</t>
  </si>
  <si>
    <t>Расчеты по доходам бюджета от возврата дебиторской задолженности прошлых лет</t>
  </si>
  <si>
    <t>Отчет по дебиторской  задолженности за 2024 год</t>
  </si>
  <si>
    <t>Расчеты по прочим работам, услугам</t>
  </si>
  <si>
    <t>Расчеты по единому страховому тарифу</t>
  </si>
  <si>
    <t>Отчет по кредиторской задолженности за 2024 год</t>
  </si>
  <si>
    <t>обустройство участка газопровода с прим. рукавов высокого давления от Емкости ППЦ31285М до регуляторной группы Заказчика</t>
  </si>
  <si>
    <t>92 0 00 2У150</t>
  </si>
  <si>
    <t xml:space="preserve">  к проекту решения Думы Юсьвинского муниципального округа Пермского края</t>
  </si>
  <si>
    <t>Сведения</t>
  </si>
  <si>
    <t>о доходах, полученных от использования муниципального имущества в 2024 году</t>
  </si>
  <si>
    <t>Категория имущества муниципальной собственности</t>
  </si>
  <si>
    <t>Арендуемая площадь, кв.м.</t>
  </si>
  <si>
    <t>Арендная плата за период</t>
  </si>
  <si>
    <t>задолженность на начало года</t>
  </si>
  <si>
    <t>начислено за год</t>
  </si>
  <si>
    <t>оплачено за год</t>
  </si>
  <si>
    <t>задолженность на конец года</t>
  </si>
  <si>
    <t>Арендная плата за земельные участки, государственная собственность на которые не разграничена</t>
  </si>
  <si>
    <t>Арендная плата за земельные участки, находящиеся в собственности Юсьвинского муниципального округа Пермского края</t>
  </si>
  <si>
    <t>Прочие поступления от использования имущества, находящегося в собственности муниципальных округов</t>
  </si>
  <si>
    <t>Прочие поступления от использования имущества, находящегося в собственности Юсьвинского муниципального округа Пермского края</t>
  </si>
  <si>
    <t>Имущество, закрепленное за учреждениями на праве оперативного управления</t>
  </si>
  <si>
    <t>Имущество, находящееся в казне Юсьвинского муниципального округа</t>
  </si>
  <si>
    <t>Постановление администрации Юсьвинского муниципального округа Пермского края от 29.12.2023 № 888</t>
  </si>
  <si>
    <t>Транспортное средство для перевозки  детей, 2013 г.в. (Крохолево)</t>
  </si>
  <si>
    <t>Автомобиль легковой марки FORD ФОРД «МОНДЕО»</t>
  </si>
  <si>
    <t>Решение Думы Юсьвинского муниципального округа пермского края от 21.12.2023 № 572 "Об утверждении Прогнозного плана приватизации  муниципального имущества муниципального образования Юсьвинский муниципальный округ Пермского края на 2024 год и плановый  период 2025 и 2026 годов"</t>
  </si>
  <si>
    <t xml:space="preserve">Распределительный газопровод низкого давления в с. Архангельское Юсьвинского района Пермского края </t>
  </si>
  <si>
    <t>Сумма задолженности на конец года</t>
  </si>
  <si>
    <t>Перечислено в бюджет за год</t>
  </si>
  <si>
    <t>Сумма задолженности на начало года</t>
  </si>
  <si>
    <t>Цена продажи объекта</t>
  </si>
  <si>
    <t>Основание продажи</t>
  </si>
  <si>
    <t>Объект продажи</t>
  </si>
  <si>
    <t xml:space="preserve">о доходах от продажи имущества, находящегося в собственности
Юсьвинского муниципального округа Пермского края, за 2024  год                                                           </t>
  </si>
  <si>
    <t>Легковой автомобиль: CHEVROLET NIVA, 212300-55</t>
  </si>
  <si>
    <t>Удовлетворительный уровень эффективности</t>
  </si>
  <si>
    <t>от ___.___.2025 г.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</si>
</sst>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-* #,##0.00\ _D_M_-;\-* #,##0.00\ _D_M_-;_-* &quot;-&quot;??\ _D_M_-;_-@_-"/>
    <numFmt numFmtId="168" formatCode="#,##0.00000"/>
    <numFmt numFmtId="169" formatCode="#,##0.000"/>
    <numFmt numFmtId="170" formatCode="0.00000"/>
    <numFmt numFmtId="171" formatCode="0.0"/>
    <numFmt numFmtId="172" formatCode="?"/>
    <numFmt numFmtId="173" formatCode="#,##0.0\ _₽"/>
    <numFmt numFmtId="174" formatCode="#,##0.000000"/>
    <numFmt numFmtId="175" formatCode="[=0]&quot;-&quot;;General"/>
  </numFmts>
  <fonts count="1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3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sz val="14"/>
      <color indexed="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CDCDC"/>
        <bgColor auto="1"/>
      </patternFill>
    </fill>
    <fill>
      <patternFill patternType="solid">
        <fgColor rgb="FFC0DCC0"/>
        <bgColor auto="1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79">
    <xf numFmtId="0" fontId="0" fillId="0" borderId="0"/>
    <xf numFmtId="0" fontId="2" fillId="0" borderId="0"/>
    <xf numFmtId="0" fontId="1" fillId="0" borderId="0"/>
    <xf numFmtId="0" fontId="4" fillId="0" borderId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9" borderId="0" applyNumberFormat="0" applyBorder="0" applyAlignment="0" applyProtection="0"/>
    <xf numFmtId="0" fontId="7" fillId="18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1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34" borderId="0" applyNumberFormat="0" applyBorder="0" applyAlignment="0" applyProtection="0"/>
    <xf numFmtId="0" fontId="11" fillId="46" borderId="0" applyNumberFormat="0" applyBorder="0" applyAlignment="0" applyProtection="0"/>
    <xf numFmtId="0" fontId="11" fillId="47" borderId="0" applyNumberFormat="0" applyBorder="0" applyAlignment="0" applyProtection="0"/>
    <xf numFmtId="0" fontId="13" fillId="34" borderId="0" applyNumberFormat="0" applyBorder="0" applyAlignment="0" applyProtection="0"/>
    <xf numFmtId="0" fontId="14" fillId="48" borderId="4" applyNumberFormat="0" applyAlignment="0" applyProtection="0"/>
    <xf numFmtId="0" fontId="15" fillId="35" borderId="5" applyNumberFormat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52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46" borderId="4" applyNumberFormat="0" applyAlignment="0" applyProtection="0"/>
    <xf numFmtId="0" fontId="23" fillId="0" borderId="9" applyNumberFormat="0" applyFill="0" applyAlignment="0" applyProtection="0"/>
    <xf numFmtId="0" fontId="24" fillId="46" borderId="0" applyNumberFormat="0" applyBorder="0" applyAlignment="0" applyProtection="0"/>
    <xf numFmtId="0" fontId="25" fillId="0" borderId="0"/>
    <xf numFmtId="0" fontId="4" fillId="45" borderId="10" applyNumberFormat="0" applyFont="0" applyAlignment="0" applyProtection="0"/>
    <xf numFmtId="0" fontId="26" fillId="48" borderId="11" applyNumberFormat="0" applyAlignment="0" applyProtection="0"/>
    <xf numFmtId="0" fontId="4" fillId="0" borderId="0"/>
    <xf numFmtId="4" fontId="27" fillId="53" borderId="12" applyNumberFormat="0" applyProtection="0">
      <alignment vertical="center"/>
    </xf>
    <xf numFmtId="0" fontId="4" fillId="0" borderId="0"/>
    <xf numFmtId="0" fontId="4" fillId="0" borderId="0"/>
    <xf numFmtId="0" fontId="4" fillId="0" borderId="0"/>
    <xf numFmtId="4" fontId="28" fillId="53" borderId="12" applyNumberFormat="0" applyProtection="0">
      <alignment vertical="center"/>
    </xf>
    <xf numFmtId="0" fontId="4" fillId="0" borderId="0"/>
    <xf numFmtId="0" fontId="4" fillId="0" borderId="0"/>
    <xf numFmtId="4" fontId="27" fillId="53" borderId="12" applyNumberFormat="0" applyProtection="0">
      <alignment horizontal="left" vertical="center" indent="1"/>
    </xf>
    <xf numFmtId="0" fontId="4" fillId="0" borderId="0"/>
    <xf numFmtId="4" fontId="29" fillId="54" borderId="13" applyNumberFormat="0" applyProtection="0">
      <alignment horizontal="left" vertical="center" indent="1"/>
    </xf>
    <xf numFmtId="0" fontId="4" fillId="0" borderId="0"/>
    <xf numFmtId="0" fontId="27" fillId="53" borderId="12" applyNumberFormat="0" applyProtection="0">
      <alignment horizontal="left" vertical="top" indent="1"/>
    </xf>
    <xf numFmtId="0" fontId="4" fillId="0" borderId="0"/>
    <xf numFmtId="0" fontId="4" fillId="0" borderId="0"/>
    <xf numFmtId="4" fontId="27" fillId="8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1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5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3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6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0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57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22" borderId="12" applyNumberFormat="0" applyProtection="0">
      <alignment horizontal="right" vertical="center"/>
    </xf>
    <xf numFmtId="0" fontId="4" fillId="0" borderId="0"/>
    <xf numFmtId="0" fontId="4" fillId="0" borderId="0"/>
    <xf numFmtId="4" fontId="27" fillId="58" borderId="14" applyNumberFormat="0" applyProtection="0">
      <alignment horizontal="left" vertical="center" indent="1"/>
    </xf>
    <xf numFmtId="0" fontId="4" fillId="0" borderId="0"/>
    <xf numFmtId="0" fontId="4" fillId="0" borderId="0"/>
    <xf numFmtId="4" fontId="7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0" fillId="1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7" fillId="8" borderId="12" applyNumberFormat="0" applyProtection="0">
      <alignment horizontal="right" vertical="center"/>
    </xf>
    <xf numFmtId="0" fontId="4" fillId="0" borderId="0"/>
    <xf numFmtId="0" fontId="4" fillId="0" borderId="0"/>
    <xf numFmtId="4" fontId="31" fillId="59" borderId="0" applyNumberFormat="0" applyProtection="0">
      <alignment horizontal="left" vertical="center" indent="1"/>
    </xf>
    <xf numFmtId="0" fontId="4" fillId="0" borderId="0"/>
    <xf numFmtId="0" fontId="4" fillId="0" borderId="0"/>
    <xf numFmtId="4" fontId="31" fillId="8" borderId="0" applyNumberFormat="0" applyProtection="0">
      <alignment horizontal="left" vertical="center" indent="1"/>
    </xf>
    <xf numFmtId="0" fontId="4" fillId="0" borderId="0"/>
    <xf numFmtId="0" fontId="29" fillId="21" borderId="13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19" borderId="12" applyNumberFormat="0" applyProtection="0">
      <alignment horizontal="left" vertical="center" indent="1"/>
    </xf>
    <xf numFmtId="0" fontId="4" fillId="0" borderId="0"/>
    <xf numFmtId="0" fontId="4" fillId="19" borderId="12" applyNumberFormat="0" applyProtection="0">
      <alignment horizontal="left" vertical="top" indent="1"/>
    </xf>
    <xf numFmtId="0" fontId="4" fillId="0" borderId="0"/>
    <xf numFmtId="0" fontId="29" fillId="60" borderId="13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4" fillId="0" borderId="0"/>
    <xf numFmtId="0" fontId="4" fillId="8" borderId="12" applyNumberFormat="0" applyProtection="0">
      <alignment horizontal="left" vertical="top" indent="1"/>
    </xf>
    <xf numFmtId="0" fontId="4" fillId="0" borderId="0"/>
    <xf numFmtId="0" fontId="29" fillId="12" borderId="13" applyNumberFormat="0" applyProtection="0">
      <alignment horizontal="left" vertical="center" indent="1"/>
    </xf>
    <xf numFmtId="0" fontId="29" fillId="12" borderId="13" applyNumberFormat="0" applyProtection="0">
      <alignment horizontal="left" vertical="center" indent="1"/>
    </xf>
    <xf numFmtId="0" fontId="4" fillId="0" borderId="0"/>
    <xf numFmtId="0" fontId="4" fillId="12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59" borderId="12" applyNumberFormat="0" applyProtection="0">
      <alignment horizontal="left" vertical="top" indent="1"/>
    </xf>
    <xf numFmtId="0" fontId="4" fillId="0" borderId="0"/>
    <xf numFmtId="0" fontId="4" fillId="0" borderId="0"/>
    <xf numFmtId="0" fontId="4" fillId="11" borderId="2" applyNumberFormat="0">
      <protection locked="0"/>
    </xf>
    <xf numFmtId="0" fontId="4" fillId="0" borderId="0"/>
    <xf numFmtId="0" fontId="32" fillId="19" borderId="15" applyBorder="0"/>
    <xf numFmtId="0" fontId="4" fillId="0" borderId="0"/>
    <xf numFmtId="4" fontId="7" fillId="10" borderId="12" applyNumberFormat="0" applyProtection="0">
      <alignment vertical="center"/>
    </xf>
    <xf numFmtId="0" fontId="4" fillId="0" borderId="0"/>
    <xf numFmtId="0" fontId="4" fillId="0" borderId="0"/>
    <xf numFmtId="4" fontId="33" fillId="10" borderId="12" applyNumberFormat="0" applyProtection="0">
      <alignment vertical="center"/>
    </xf>
    <xf numFmtId="0" fontId="4" fillId="0" borderId="0"/>
    <xf numFmtId="0" fontId="4" fillId="0" borderId="0"/>
    <xf numFmtId="4" fontId="7" fillId="10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7" fillId="10" borderId="12" applyNumberFormat="0" applyProtection="0">
      <alignment horizontal="left" vertical="top" indent="1"/>
    </xf>
    <xf numFmtId="0" fontId="4" fillId="0" borderId="0"/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0" fontId="4" fillId="0" borderId="0"/>
    <xf numFmtId="4" fontId="33" fillId="59" borderId="12" applyNumberFormat="0" applyProtection="0">
      <alignment horizontal="right" vertical="center"/>
    </xf>
    <xf numFmtId="0" fontId="4" fillId="0" borderId="0"/>
    <xf numFmtId="0" fontId="4" fillId="0" borderId="0"/>
    <xf numFmtId="4" fontId="7" fillId="8" borderId="12" applyNumberFormat="0" applyProtection="0">
      <alignment horizontal="left" vertical="center" indent="1"/>
    </xf>
    <xf numFmtId="0" fontId="4" fillId="0" borderId="0"/>
    <xf numFmtId="0" fontId="4" fillId="0" borderId="0"/>
    <xf numFmtId="0" fontId="4" fillId="0" borderId="0"/>
    <xf numFmtId="0" fontId="7" fillId="8" borderId="12" applyNumberFormat="0" applyProtection="0">
      <alignment horizontal="left" vertical="top" indent="1"/>
    </xf>
    <xf numFmtId="0" fontId="4" fillId="0" borderId="0"/>
    <xf numFmtId="0" fontId="4" fillId="0" borderId="0"/>
    <xf numFmtId="4" fontId="34" fillId="61" borderId="0" applyNumberFormat="0" applyProtection="0">
      <alignment horizontal="left" vertical="center" indent="1"/>
    </xf>
    <xf numFmtId="0" fontId="4" fillId="0" borderId="0"/>
    <xf numFmtId="0" fontId="29" fillId="62" borderId="2"/>
    <xf numFmtId="0" fontId="4" fillId="0" borderId="0"/>
    <xf numFmtId="4" fontId="35" fillId="59" borderId="12" applyNumberFormat="0" applyProtection="0">
      <alignment horizontal="right" vertical="center"/>
    </xf>
    <xf numFmtId="0" fontId="4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10" fillId="63" borderId="0" applyNumberFormat="0" applyBorder="0" applyAlignment="0" applyProtection="0"/>
    <xf numFmtId="0" fontId="10" fillId="55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56" borderId="0" applyNumberFormat="0" applyBorder="0" applyAlignment="0" applyProtection="0"/>
    <xf numFmtId="0" fontId="38" fillId="18" borderId="4" applyNumberFormat="0" applyAlignment="0" applyProtection="0"/>
    <xf numFmtId="0" fontId="39" fillId="21" borderId="11" applyNumberFormat="0" applyAlignment="0" applyProtection="0"/>
    <xf numFmtId="0" fontId="40" fillId="21" borderId="4" applyNumberFormat="0" applyAlignment="0" applyProtection="0"/>
    <xf numFmtId="0" fontId="41" fillId="0" borderId="17" applyNumberFormat="0" applyFill="0" applyAlignment="0" applyProtection="0"/>
    <xf numFmtId="0" fontId="42" fillId="0" borderId="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64" borderId="5" applyNumberFormat="0" applyAlignment="0" applyProtection="0"/>
    <xf numFmtId="0" fontId="46" fillId="0" borderId="0" applyNumberFormat="0" applyFill="0" applyBorder="0" applyAlignment="0" applyProtection="0"/>
    <xf numFmtId="0" fontId="47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0" fillId="65" borderId="0"/>
    <xf numFmtId="0" fontId="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3" fillId="0" borderId="0"/>
    <xf numFmtId="0" fontId="50" fillId="65" borderId="0"/>
    <xf numFmtId="0" fontId="48" fillId="0" borderId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4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3" fillId="0" borderId="20" applyNumberFormat="0" applyFill="0" applyAlignment="0" applyProtection="0"/>
    <xf numFmtId="0" fontId="54" fillId="0" borderId="0"/>
    <xf numFmtId="0" fontId="55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6" fillId="15" borderId="0" applyNumberFormat="0" applyBorder="0" applyAlignment="0" applyProtection="0"/>
    <xf numFmtId="0" fontId="77" fillId="0" borderId="0"/>
    <xf numFmtId="0" fontId="4" fillId="0" borderId="0"/>
    <xf numFmtId="4" fontId="29" fillId="0" borderId="13" applyNumberFormat="0" applyProtection="0">
      <alignment horizontal="right" vertical="center"/>
    </xf>
    <xf numFmtId="0" fontId="1" fillId="0" borderId="0"/>
    <xf numFmtId="0" fontId="25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</cellStyleXfs>
  <cellXfs count="912">
    <xf numFmtId="0" fontId="0" fillId="0" borderId="0" xfId="0"/>
    <xf numFmtId="0" fontId="3" fillId="2" borderId="2" xfId="1" applyFont="1" applyFill="1" applyBorder="1" applyAlignment="1">
      <alignment vertical="top" wrapText="1"/>
    </xf>
    <xf numFmtId="0" fontId="3" fillId="0" borderId="2" xfId="2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 wrapText="1"/>
    </xf>
    <xf numFmtId="49" fontId="3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left" vertical="top" wrapText="1"/>
    </xf>
    <xf numFmtId="0" fontId="3" fillId="0" borderId="2" xfId="1" applyFont="1" applyBorder="1" applyAlignment="1">
      <alignment wrapText="1"/>
    </xf>
    <xf numFmtId="0" fontId="3" fillId="0" borderId="2" xfId="1" applyFont="1" applyFill="1" applyBorder="1" applyAlignment="1">
      <alignment horizontal="left" wrapText="1"/>
    </xf>
    <xf numFmtId="49" fontId="5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wrapText="1"/>
    </xf>
    <xf numFmtId="49" fontId="6" fillId="2" borderId="2" xfId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/>
    </xf>
    <xf numFmtId="49" fontId="6" fillId="5" borderId="2" xfId="1" applyNumberFormat="1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vertical="top" wrapText="1"/>
    </xf>
    <xf numFmtId="49" fontId="3" fillId="2" borderId="2" xfId="1" applyNumberFormat="1" applyFont="1" applyFill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3" fillId="0" borderId="2" xfId="1" applyNumberFormat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wrapText="1"/>
    </xf>
    <xf numFmtId="0" fontId="6" fillId="5" borderId="2" xfId="1" applyFont="1" applyFill="1" applyBorder="1" applyAlignment="1">
      <alignment horizontal="left" wrapText="1"/>
    </xf>
    <xf numFmtId="0" fontId="3" fillId="2" borderId="2" xfId="1" applyFont="1" applyFill="1" applyBorder="1" applyAlignment="1">
      <alignment horizontal="justify" vertical="top" wrapText="1"/>
    </xf>
    <xf numFmtId="49" fontId="3" fillId="0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58" fillId="0" borderId="0" xfId="0" applyFont="1"/>
    <xf numFmtId="0" fontId="59" fillId="2" borderId="2" xfId="1" applyFont="1" applyFill="1" applyBorder="1" applyAlignment="1">
      <alignment horizontal="center" wrapText="1"/>
    </xf>
    <xf numFmtId="0" fontId="59" fillId="2" borderId="2" xfId="1" applyFont="1" applyFill="1" applyBorder="1" applyAlignment="1">
      <alignment wrapText="1"/>
    </xf>
    <xf numFmtId="49" fontId="6" fillId="3" borderId="2" xfId="1" applyNumberFormat="1" applyFont="1" applyFill="1" applyBorder="1" applyAlignment="1">
      <alignment horizontal="center" wrapText="1"/>
    </xf>
    <xf numFmtId="49" fontId="6" fillId="3" borderId="2" xfId="1" applyNumberFormat="1" applyFont="1" applyFill="1" applyBorder="1" applyAlignment="1">
      <alignment wrapText="1"/>
    </xf>
    <xf numFmtId="49" fontId="6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wrapText="1"/>
    </xf>
    <xf numFmtId="49" fontId="6" fillId="5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wrapText="1"/>
    </xf>
    <xf numFmtId="0" fontId="6" fillId="4" borderId="2" xfId="0" applyFont="1" applyFill="1" applyBorder="1" applyAlignment="1">
      <alignment wrapText="1"/>
    </xf>
    <xf numFmtId="49" fontId="3" fillId="5" borderId="2" xfId="1" applyNumberFormat="1" applyFont="1" applyFill="1" applyBorder="1" applyAlignment="1">
      <alignment horizontal="center" wrapText="1"/>
    </xf>
    <xf numFmtId="0" fontId="6" fillId="3" borderId="2" xfId="1" applyFont="1" applyFill="1" applyBorder="1" applyAlignment="1">
      <alignment wrapText="1"/>
    </xf>
    <xf numFmtId="0" fontId="3" fillId="2" borderId="2" xfId="1" applyFont="1" applyFill="1" applyBorder="1" applyAlignment="1">
      <alignment horizontal="center"/>
    </xf>
    <xf numFmtId="0" fontId="58" fillId="2" borderId="0" xfId="0" applyFont="1" applyFill="1"/>
    <xf numFmtId="49" fontId="3" fillId="2" borderId="3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60" fillId="0" borderId="0" xfId="0" applyFont="1"/>
    <xf numFmtId="49" fontId="3" fillId="4" borderId="2" xfId="1" applyNumberFormat="1" applyFont="1" applyFill="1" applyBorder="1" applyAlignment="1">
      <alignment horizontal="center" wrapText="1"/>
    </xf>
    <xf numFmtId="0" fontId="6" fillId="4" borderId="2" xfId="1" applyFont="1" applyFill="1" applyBorder="1" applyAlignment="1">
      <alignment horizontal="justify"/>
    </xf>
    <xf numFmtId="0" fontId="3" fillId="0" borderId="2" xfId="1" applyFont="1" applyBorder="1" applyAlignment="1">
      <alignment horizontal="justify"/>
    </xf>
    <xf numFmtId="0" fontId="3" fillId="2" borderId="2" xfId="3" applyFont="1" applyFill="1" applyBorder="1" applyAlignment="1">
      <alignment wrapText="1"/>
    </xf>
    <xf numFmtId="0" fontId="58" fillId="3" borderId="0" xfId="0" applyFont="1" applyFill="1"/>
    <xf numFmtId="0" fontId="6" fillId="5" borderId="2" xfId="0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vertical="top" wrapText="1"/>
    </xf>
    <xf numFmtId="0" fontId="61" fillId="0" borderId="0" xfId="0" applyFont="1"/>
    <xf numFmtId="0" fontId="60" fillId="5" borderId="0" xfId="0" applyFont="1" applyFill="1"/>
    <xf numFmtId="0" fontId="6" fillId="4" borderId="2" xfId="1" applyFont="1" applyFill="1" applyBorder="1" applyAlignment="1">
      <alignment horizontal="left" wrapText="1"/>
    </xf>
    <xf numFmtId="0" fontId="3" fillId="0" borderId="2" xfId="1" applyFont="1" applyBorder="1" applyAlignment="1">
      <alignment horizontal="left" wrapText="1"/>
    </xf>
    <xf numFmtId="0" fontId="3" fillId="0" borderId="2" xfId="1" applyFont="1" applyFill="1" applyBorder="1" applyAlignment="1">
      <alignment wrapText="1"/>
    </xf>
    <xf numFmtId="49" fontId="6" fillId="0" borderId="2" xfId="1" applyNumberFormat="1" applyFont="1" applyFill="1" applyBorder="1" applyAlignment="1">
      <alignment horizontal="center" wrapText="1"/>
    </xf>
    <xf numFmtId="0" fontId="6" fillId="5" borderId="2" xfId="1" applyFont="1" applyFill="1" applyBorder="1" applyAlignment="1">
      <alignment horizontal="justify" wrapText="1"/>
    </xf>
    <xf numFmtId="0" fontId="3" fillId="0" borderId="2" xfId="1" applyFont="1" applyBorder="1" applyAlignment="1">
      <alignment horizontal="justify" wrapText="1"/>
    </xf>
    <xf numFmtId="49" fontId="3" fillId="3" borderId="2" xfId="1" applyNumberFormat="1" applyFont="1" applyFill="1" applyBorder="1" applyAlignment="1">
      <alignment horizontal="center" wrapText="1"/>
    </xf>
    <xf numFmtId="49" fontId="6" fillId="6" borderId="2" xfId="1" applyNumberFormat="1" applyFont="1" applyFill="1" applyBorder="1" applyAlignment="1">
      <alignment horizontal="center" wrapText="1"/>
    </xf>
    <xf numFmtId="0" fontId="6" fillId="6" borderId="2" xfId="1" applyFont="1" applyFill="1" applyBorder="1" applyAlignment="1">
      <alignment wrapText="1"/>
    </xf>
    <xf numFmtId="49" fontId="6" fillId="7" borderId="2" xfId="1" applyNumberFormat="1" applyFont="1" applyFill="1" applyBorder="1" applyAlignment="1">
      <alignment horizontal="center" wrapText="1"/>
    </xf>
    <xf numFmtId="49" fontId="3" fillId="7" borderId="2" xfId="1" applyNumberFormat="1" applyFont="1" applyFill="1" applyBorder="1" applyAlignment="1">
      <alignment horizontal="center" wrapText="1"/>
    </xf>
    <xf numFmtId="0" fontId="6" fillId="7" borderId="2" xfId="1" applyFont="1" applyFill="1" applyBorder="1" applyAlignment="1">
      <alignment wrapText="1"/>
    </xf>
    <xf numFmtId="0" fontId="3" fillId="6" borderId="2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justify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right" vertical="center" wrapText="1"/>
    </xf>
    <xf numFmtId="168" fontId="3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wrapText="1"/>
    </xf>
    <xf numFmtId="168" fontId="6" fillId="3" borderId="2" xfId="1" applyNumberFormat="1" applyFont="1" applyFill="1" applyBorder="1" applyAlignment="1">
      <alignment horizontal="center" wrapText="1"/>
    </xf>
    <xf numFmtId="168" fontId="3" fillId="0" borderId="2" xfId="1" applyNumberFormat="1" applyFont="1" applyFill="1" applyBorder="1" applyAlignment="1">
      <alignment horizontal="center" vertical="top" wrapText="1"/>
    </xf>
    <xf numFmtId="168" fontId="6" fillId="2" borderId="2" xfId="1" applyNumberFormat="1" applyFont="1" applyFill="1" applyBorder="1" applyAlignment="1">
      <alignment horizontal="center" wrapText="1"/>
    </xf>
    <xf numFmtId="168" fontId="6" fillId="4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 vertical="top" wrapText="1"/>
    </xf>
    <xf numFmtId="168" fontId="5" fillId="2" borderId="2" xfId="1" applyNumberFormat="1" applyFont="1" applyFill="1" applyBorder="1" applyAlignment="1">
      <alignment horizontal="center" wrapText="1"/>
    </xf>
    <xf numFmtId="168" fontId="6" fillId="5" borderId="2" xfId="1" applyNumberFormat="1" applyFont="1" applyFill="1" applyBorder="1" applyAlignment="1">
      <alignment horizontal="center"/>
    </xf>
    <xf numFmtId="168" fontId="3" fillId="2" borderId="2" xfId="1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center" wrapText="1"/>
    </xf>
    <xf numFmtId="168" fontId="5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 wrapText="1"/>
    </xf>
    <xf numFmtId="168" fontId="6" fillId="7" borderId="2" xfId="1" applyNumberFormat="1" applyFont="1" applyFill="1" applyBorder="1" applyAlignment="1">
      <alignment horizontal="center" wrapText="1"/>
    </xf>
    <xf numFmtId="168" fontId="3" fillId="2" borderId="2" xfId="1" applyNumberFormat="1" applyFont="1" applyFill="1" applyBorder="1" applyAlignment="1">
      <alignment horizontal="center" vertical="top" wrapText="1"/>
    </xf>
    <xf numFmtId="168" fontId="6" fillId="6" borderId="2" xfId="1" applyNumberFormat="1" applyFont="1" applyFill="1" applyBorder="1" applyAlignment="1">
      <alignment horizontal="center"/>
    </xf>
    <xf numFmtId="0" fontId="64" fillId="2" borderId="2" xfId="1" applyFont="1" applyFill="1" applyBorder="1" applyAlignment="1">
      <alignment wrapText="1"/>
    </xf>
    <xf numFmtId="0" fontId="59" fillId="0" borderId="2" xfId="1" applyFont="1" applyFill="1" applyBorder="1" applyAlignment="1">
      <alignment horizontal="center" vertical="center" wrapText="1"/>
    </xf>
    <xf numFmtId="49" fontId="64" fillId="2" borderId="2" xfId="1" applyNumberFormat="1" applyFont="1" applyFill="1" applyBorder="1" applyAlignment="1">
      <alignment horizontal="center" wrapText="1"/>
    </xf>
    <xf numFmtId="0" fontId="6" fillId="5" borderId="2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vertical="top" wrapText="1"/>
    </xf>
    <xf numFmtId="49" fontId="66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wrapText="1"/>
    </xf>
    <xf numFmtId="0" fontId="65" fillId="0" borderId="0" xfId="0" applyFont="1"/>
    <xf numFmtId="49" fontId="69" fillId="2" borderId="2" xfId="1" applyNumberFormat="1" applyFont="1" applyFill="1" applyBorder="1" applyAlignment="1">
      <alignment horizontal="center" wrapText="1"/>
    </xf>
    <xf numFmtId="49" fontId="66" fillId="0" borderId="2" xfId="1" applyNumberFormat="1" applyFont="1" applyFill="1" applyBorder="1" applyAlignment="1">
      <alignment horizontal="center" vertical="top" wrapText="1"/>
    </xf>
    <xf numFmtId="49" fontId="66" fillId="2" borderId="2" xfId="1" applyNumberFormat="1" applyFont="1" applyFill="1" applyBorder="1" applyAlignment="1">
      <alignment horizontal="center" vertical="center" wrapText="1"/>
    </xf>
    <xf numFmtId="0" fontId="58" fillId="0" borderId="2" xfId="0" applyFont="1" applyBorder="1"/>
    <xf numFmtId="0" fontId="58" fillId="2" borderId="2" xfId="0" applyFont="1" applyFill="1" applyBorder="1"/>
    <xf numFmtId="0" fontId="60" fillId="5" borderId="2" xfId="0" applyFont="1" applyFill="1" applyBorder="1"/>
    <xf numFmtId="0" fontId="6" fillId="0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top" wrapText="1"/>
    </xf>
    <xf numFmtId="0" fontId="6" fillId="6" borderId="2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2" xfId="1" applyNumberFormat="1" applyFont="1" applyFill="1" applyBorder="1" applyAlignment="1">
      <alignment horizontal="center" vertical="top" wrapText="1"/>
    </xf>
    <xf numFmtId="168" fontId="6" fillId="0" borderId="2" xfId="1" applyNumberFormat="1" applyFont="1" applyFill="1" applyBorder="1" applyAlignment="1">
      <alignment horizontal="center" wrapText="1"/>
    </xf>
    <xf numFmtId="0" fontId="6" fillId="69" borderId="2" xfId="1" applyFont="1" applyFill="1" applyBorder="1" applyAlignment="1">
      <alignment horizontal="center" vertical="top" wrapText="1"/>
    </xf>
    <xf numFmtId="49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NumberFormat="1" applyFont="1" applyFill="1" applyBorder="1" applyAlignment="1">
      <alignment horizontal="center" vertical="top" wrapText="1"/>
    </xf>
    <xf numFmtId="0" fontId="6" fillId="69" borderId="2" xfId="1" applyFont="1" applyFill="1" applyBorder="1" applyAlignment="1">
      <alignment vertical="top" wrapText="1"/>
    </xf>
    <xf numFmtId="0" fontId="60" fillId="0" borderId="2" xfId="0" applyFont="1" applyBorder="1"/>
    <xf numFmtId="0" fontId="6" fillId="2" borderId="2" xfId="1" applyFont="1" applyFill="1" applyBorder="1" applyAlignment="1">
      <alignment wrapText="1"/>
    </xf>
    <xf numFmtId="0" fontId="60" fillId="66" borderId="2" xfId="0" applyFont="1" applyFill="1" applyBorder="1"/>
    <xf numFmtId="0" fontId="6" fillId="66" borderId="2" xfId="1" applyNumberFormat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vertical="top" wrapText="1"/>
    </xf>
    <xf numFmtId="0" fontId="6" fillId="66" borderId="2" xfId="1" applyFont="1" applyFill="1" applyBorder="1" applyAlignment="1">
      <alignment horizontal="left" vertical="top" wrapText="1"/>
    </xf>
    <xf numFmtId="168" fontId="6" fillId="66" borderId="2" xfId="1" applyNumberFormat="1" applyFont="1" applyFill="1" applyBorder="1" applyAlignment="1">
      <alignment horizontal="center"/>
    </xf>
    <xf numFmtId="0" fontId="60" fillId="70" borderId="2" xfId="0" applyFont="1" applyFill="1" applyBorder="1"/>
    <xf numFmtId="0" fontId="6" fillId="70" borderId="2" xfId="1" applyNumberFormat="1" applyFont="1" applyFill="1" applyBorder="1" applyAlignment="1">
      <alignment horizontal="center" vertical="top" wrapText="1"/>
    </xf>
    <xf numFmtId="49" fontId="6" fillId="70" borderId="2" xfId="1" applyNumberFormat="1" applyFont="1" applyFill="1" applyBorder="1" applyAlignment="1">
      <alignment horizontal="center" vertical="top" wrapText="1"/>
    </xf>
    <xf numFmtId="0" fontId="6" fillId="70" borderId="2" xfId="1" applyFont="1" applyFill="1" applyBorder="1" applyAlignment="1">
      <alignment horizontal="left" vertical="top" wrapText="1"/>
    </xf>
    <xf numFmtId="168" fontId="6" fillId="70" borderId="2" xfId="1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 wrapText="1"/>
    </xf>
    <xf numFmtId="168" fontId="6" fillId="2" borderId="2" xfId="1" applyNumberFormat="1" applyFont="1" applyFill="1" applyBorder="1" applyAlignment="1">
      <alignment horizontal="center"/>
    </xf>
    <xf numFmtId="0" fontId="62" fillId="0" borderId="0" xfId="0" applyFont="1"/>
    <xf numFmtId="0" fontId="6" fillId="68" borderId="2" xfId="1" applyFont="1" applyFill="1" applyBorder="1" applyAlignment="1">
      <alignment horizontal="center" vertical="top" wrapText="1"/>
    </xf>
    <xf numFmtId="49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NumberFormat="1" applyFont="1" applyFill="1" applyBorder="1" applyAlignment="1">
      <alignment horizontal="center" vertical="top" wrapText="1"/>
    </xf>
    <xf numFmtId="0" fontId="6" fillId="68" borderId="2" xfId="1" applyFont="1" applyFill="1" applyBorder="1" applyAlignment="1">
      <alignment vertical="top" wrapText="1"/>
    </xf>
    <xf numFmtId="0" fontId="6" fillId="66" borderId="2" xfId="1" applyFont="1" applyFill="1" applyBorder="1" applyAlignment="1">
      <alignment horizontal="center" vertical="top" wrapText="1"/>
    </xf>
    <xf numFmtId="49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wrapText="1"/>
    </xf>
    <xf numFmtId="168" fontId="6" fillId="66" borderId="2" xfId="1" applyNumberFormat="1" applyFont="1" applyFill="1" applyBorder="1" applyAlignment="1">
      <alignment horizontal="center" wrapText="1"/>
    </xf>
    <xf numFmtId="0" fontId="6" fillId="66" borderId="2" xfId="1" applyFont="1" applyFill="1" applyBorder="1" applyAlignment="1">
      <alignment vertical="top" wrapText="1"/>
    </xf>
    <xf numFmtId="0" fontId="60" fillId="7" borderId="2" xfId="0" applyFont="1" applyFill="1" applyBorder="1"/>
    <xf numFmtId="0" fontId="6" fillId="7" borderId="2" xfId="1" applyNumberFormat="1" applyFont="1" applyFill="1" applyBorder="1" applyAlignment="1">
      <alignment horizontal="center" vertical="top" wrapText="1"/>
    </xf>
    <xf numFmtId="49" fontId="6" fillId="7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vertical="top" wrapText="1"/>
    </xf>
    <xf numFmtId="168" fontId="6" fillId="7" borderId="2" xfId="1" applyNumberFormat="1" applyFont="1" applyFill="1" applyBorder="1" applyAlignment="1">
      <alignment horizontal="center"/>
    </xf>
    <xf numFmtId="0" fontId="58" fillId="66" borderId="2" xfId="0" applyFont="1" applyFill="1" applyBorder="1"/>
    <xf numFmtId="49" fontId="3" fillId="66" borderId="2" xfId="1" applyNumberFormat="1" applyFont="1" applyFill="1" applyBorder="1" applyAlignment="1">
      <alignment horizontal="center" wrapText="1"/>
    </xf>
    <xf numFmtId="0" fontId="58" fillId="7" borderId="2" xfId="0" applyFont="1" applyFill="1" applyBorder="1"/>
    <xf numFmtId="0" fontId="58" fillId="0" borderId="2" xfId="0" applyFont="1" applyFill="1" applyBorder="1"/>
    <xf numFmtId="0" fontId="6" fillId="0" borderId="2" xfId="1" applyFont="1" applyFill="1" applyBorder="1" applyAlignment="1">
      <alignment vertical="top" wrapText="1"/>
    </xf>
    <xf numFmtId="49" fontId="6" fillId="6" borderId="2" xfId="1" applyNumberFormat="1" applyFont="1" applyFill="1" applyBorder="1" applyAlignment="1">
      <alignment horizontal="center" vertical="top" wrapText="1"/>
    </xf>
    <xf numFmtId="0" fontId="6" fillId="6" borderId="2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center" vertical="top" wrapText="1"/>
    </xf>
    <xf numFmtId="0" fontId="58" fillId="5" borderId="2" xfId="0" applyFont="1" applyFill="1" applyBorder="1"/>
    <xf numFmtId="0" fontId="3" fillId="69" borderId="2" xfId="1" applyFont="1" applyFill="1" applyBorder="1" applyAlignment="1">
      <alignment horizontal="center" vertical="top" wrapText="1"/>
    </xf>
    <xf numFmtId="0" fontId="3" fillId="66" borderId="2" xfId="1" applyFont="1" applyFill="1" applyBorder="1" applyAlignment="1">
      <alignment horizontal="center" vertical="top" wrapText="1"/>
    </xf>
    <xf numFmtId="49" fontId="3" fillId="66" borderId="2" xfId="1" applyNumberFormat="1" applyFont="1" applyFill="1" applyBorder="1" applyAlignment="1">
      <alignment horizontal="center" vertical="top" wrapText="1"/>
    </xf>
    <xf numFmtId="0" fontId="6" fillId="7" borderId="2" xfId="1" applyFont="1" applyFill="1" applyBorder="1" applyAlignment="1">
      <alignment horizontal="left" vertical="top" wrapText="1"/>
    </xf>
    <xf numFmtId="0" fontId="6" fillId="68" borderId="2" xfId="1" applyFont="1" applyFill="1" applyBorder="1" applyAlignment="1">
      <alignment horizontal="left" vertical="top" wrapText="1"/>
    </xf>
    <xf numFmtId="0" fontId="6" fillId="71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58" fillId="69" borderId="2" xfId="0" applyFont="1" applyFill="1" applyBorder="1"/>
    <xf numFmtId="0" fontId="58" fillId="68" borderId="2" xfId="0" applyFont="1" applyFill="1" applyBorder="1"/>
    <xf numFmtId="168" fontId="6" fillId="69" borderId="2" xfId="1" applyNumberFormat="1" applyFont="1" applyFill="1" applyBorder="1" applyAlignment="1">
      <alignment horizontal="center" wrapText="1"/>
    </xf>
    <xf numFmtId="168" fontId="6" fillId="68" borderId="2" xfId="1" applyNumberFormat="1" applyFont="1" applyFill="1" applyBorder="1" applyAlignment="1">
      <alignment horizontal="center" wrapText="1"/>
    </xf>
    <xf numFmtId="49" fontId="70" fillId="2" borderId="2" xfId="1" applyNumberFormat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justify"/>
    </xf>
    <xf numFmtId="0" fontId="61" fillId="2" borderId="0" xfId="0" applyFont="1" applyFill="1"/>
    <xf numFmtId="0" fontId="68" fillId="0" borderId="0" xfId="0" applyFont="1" applyAlignment="1">
      <alignment horizontal="right"/>
    </xf>
    <xf numFmtId="0" fontId="68" fillId="0" borderId="0" xfId="0" applyFont="1" applyAlignment="1"/>
    <xf numFmtId="0" fontId="74" fillId="0" borderId="1" xfId="0" applyFont="1" applyBorder="1" applyAlignment="1">
      <alignment horizontal="center" vertical="center" wrapText="1"/>
    </xf>
    <xf numFmtId="0" fontId="63" fillId="67" borderId="2" xfId="0" applyFont="1" applyFill="1" applyBorder="1" applyAlignment="1">
      <alignment horizontal="center" vertical="top" wrapText="1"/>
    </xf>
    <xf numFmtId="0" fontId="63" fillId="67" borderId="2" xfId="0" applyFont="1" applyFill="1" applyBorder="1" applyAlignment="1">
      <alignment vertical="top" wrapText="1"/>
    </xf>
    <xf numFmtId="0" fontId="63" fillId="5" borderId="2" xfId="0" applyFont="1" applyFill="1" applyBorder="1" applyAlignment="1">
      <alignment horizontal="center" vertical="top" wrapText="1"/>
    </xf>
    <xf numFmtId="0" fontId="63" fillId="5" borderId="2" xfId="0" applyFont="1" applyFill="1" applyBorder="1" applyAlignment="1">
      <alignment vertical="top" wrapText="1"/>
    </xf>
    <xf numFmtId="0" fontId="0" fillId="5" borderId="0" xfId="0" applyFill="1"/>
    <xf numFmtId="0" fontId="57" fillId="6" borderId="2" xfId="0" applyFont="1" applyFill="1" applyBorder="1" applyAlignment="1">
      <alignment horizontal="center" vertical="top" wrapText="1"/>
    </xf>
    <xf numFmtId="0" fontId="57" fillId="6" borderId="2" xfId="0" applyFont="1" applyFill="1" applyBorder="1" applyAlignment="1">
      <alignment vertical="top" wrapText="1"/>
    </xf>
    <xf numFmtId="0" fontId="0" fillId="6" borderId="0" xfId="0" applyFill="1"/>
    <xf numFmtId="0" fontId="57" fillId="2" borderId="2" xfId="0" applyFont="1" applyFill="1" applyBorder="1" applyAlignment="1">
      <alignment horizontal="center" vertical="top" wrapText="1"/>
    </xf>
    <xf numFmtId="0" fontId="57" fillId="2" borderId="2" xfId="0" applyFont="1" applyFill="1" applyBorder="1" applyAlignment="1">
      <alignment vertical="top" wrapText="1"/>
    </xf>
    <xf numFmtId="0" fontId="0" fillId="2" borderId="0" xfId="0" applyFill="1"/>
    <xf numFmtId="0" fontId="57" fillId="6" borderId="2" xfId="0" applyFont="1" applyFill="1" applyBorder="1" applyAlignment="1">
      <alignment vertical="justify" wrapText="1"/>
    </xf>
    <xf numFmtId="0" fontId="57" fillId="0" borderId="2" xfId="0" applyFont="1" applyBorder="1" applyAlignment="1">
      <alignment horizontal="center" vertical="top" wrapText="1"/>
    </xf>
    <xf numFmtId="0" fontId="57" fillId="0" borderId="2" xfId="0" applyFont="1" applyBorder="1" applyAlignment="1">
      <alignment vertical="justify" wrapText="1"/>
    </xf>
    <xf numFmtId="0" fontId="0" fillId="0" borderId="0" xfId="0" applyBorder="1"/>
    <xf numFmtId="0" fontId="57" fillId="0" borderId="0" xfId="0" applyFont="1" applyBorder="1" applyAlignment="1">
      <alignment vertical="justify" wrapText="1"/>
    </xf>
    <xf numFmtId="165" fontId="57" fillId="0" borderId="0" xfId="0" applyNumberFormat="1" applyFont="1" applyBorder="1" applyAlignment="1">
      <alignment horizontal="center" vertical="center" wrapText="1"/>
    </xf>
    <xf numFmtId="0" fontId="73" fillId="0" borderId="0" xfId="0" applyFont="1" applyAlignment="1">
      <alignment wrapText="1"/>
    </xf>
    <xf numFmtId="168" fontId="63" fillId="67" borderId="2" xfId="0" applyNumberFormat="1" applyFont="1" applyFill="1" applyBorder="1" applyAlignment="1">
      <alignment horizontal="center" vertical="center" wrapText="1"/>
    </xf>
    <xf numFmtId="168" fontId="63" fillId="5" borderId="2" xfId="0" applyNumberFormat="1" applyFont="1" applyFill="1" applyBorder="1" applyAlignment="1">
      <alignment horizontal="center" vertical="center" wrapText="1"/>
    </xf>
    <xf numFmtId="168" fontId="57" fillId="6" borderId="2" xfId="0" applyNumberFormat="1" applyFont="1" applyFill="1" applyBorder="1" applyAlignment="1">
      <alignment horizontal="center" vertical="center" wrapText="1"/>
    </xf>
    <xf numFmtId="168" fontId="57" fillId="2" borderId="2" xfId="0" applyNumberFormat="1" applyFont="1" applyFill="1" applyBorder="1" applyAlignment="1">
      <alignment horizontal="center" vertical="center" wrapText="1"/>
    </xf>
    <xf numFmtId="168" fontId="75" fillId="6" borderId="2" xfId="0" applyNumberFormat="1" applyFont="1" applyFill="1" applyBorder="1" applyAlignment="1">
      <alignment horizontal="center" vertical="center"/>
    </xf>
    <xf numFmtId="168" fontId="75" fillId="2" borderId="2" xfId="0" applyNumberFormat="1" applyFont="1" applyFill="1" applyBorder="1" applyAlignment="1">
      <alignment horizontal="center" vertical="center"/>
    </xf>
    <xf numFmtId="168" fontId="76" fillId="5" borderId="2" xfId="0" applyNumberFormat="1" applyFont="1" applyFill="1" applyBorder="1" applyAlignment="1">
      <alignment horizontal="center" vertical="center"/>
    </xf>
    <xf numFmtId="168" fontId="63" fillId="6" borderId="2" xfId="0" applyNumberFormat="1" applyFont="1" applyFill="1" applyBorder="1" applyAlignment="1">
      <alignment horizontal="center" vertical="center" wrapText="1"/>
    </xf>
    <xf numFmtId="168" fontId="76" fillId="6" borderId="2" xfId="0" applyNumberFormat="1" applyFont="1" applyFill="1" applyBorder="1" applyAlignment="1">
      <alignment horizontal="center" vertical="center"/>
    </xf>
    <xf numFmtId="168" fontId="57" fillId="0" borderId="2" xfId="0" applyNumberFormat="1" applyFont="1" applyBorder="1" applyAlignment="1">
      <alignment horizontal="center" vertical="center" wrapText="1"/>
    </xf>
    <xf numFmtId="168" fontId="75" fillId="0" borderId="2" xfId="0" applyNumberFormat="1" applyFont="1" applyBorder="1" applyAlignment="1">
      <alignment horizontal="center" vertical="center"/>
    </xf>
    <xf numFmtId="168" fontId="71" fillId="0" borderId="2" xfId="0" applyNumberFormat="1" applyFont="1" applyBorder="1" applyAlignment="1">
      <alignment horizontal="center" vertical="center"/>
    </xf>
    <xf numFmtId="0" fontId="57" fillId="0" borderId="2" xfId="663" applyFont="1" applyBorder="1" applyAlignment="1">
      <alignment horizontal="center" vertical="center"/>
    </xf>
    <xf numFmtId="0" fontId="63" fillId="72" borderId="2" xfId="663" applyFont="1" applyFill="1" applyBorder="1" applyAlignment="1">
      <alignment vertical="center" wrapText="1"/>
    </xf>
    <xf numFmtId="168" fontId="63" fillId="0" borderId="2" xfId="0" applyNumberFormat="1" applyFont="1" applyBorder="1" applyAlignment="1">
      <alignment horizontal="right" vertical="center" wrapText="1"/>
    </xf>
    <xf numFmtId="168" fontId="74" fillId="0" borderId="2" xfId="0" applyNumberFormat="1" applyFont="1" applyBorder="1" applyAlignment="1">
      <alignment horizontal="right" vertical="center" wrapText="1"/>
    </xf>
    <xf numFmtId="168" fontId="78" fillId="0" borderId="2" xfId="0" applyNumberFormat="1" applyFont="1" applyBorder="1" applyAlignment="1">
      <alignment horizontal="right" vertical="center" wrapText="1"/>
    </xf>
    <xf numFmtId="0" fontId="57" fillId="72" borderId="2" xfId="663" applyFont="1" applyFill="1" applyBorder="1" applyAlignment="1">
      <alignment horizontal="left" vertical="center" wrapText="1" indent="1"/>
    </xf>
    <xf numFmtId="168" fontId="63" fillId="72" borderId="2" xfId="663" applyNumberFormat="1" applyFont="1" applyFill="1" applyBorder="1" applyAlignment="1">
      <alignment horizontal="right" vertical="center" wrapText="1"/>
    </xf>
    <xf numFmtId="168" fontId="57" fillId="72" borderId="2" xfId="663" applyNumberFormat="1" applyFont="1" applyFill="1" applyBorder="1" applyAlignment="1">
      <alignment horizontal="right" vertical="center" wrapText="1"/>
    </xf>
    <xf numFmtId="168" fontId="57" fillId="2" borderId="2" xfId="0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168" fontId="72" fillId="0" borderId="2" xfId="0" applyNumberFormat="1" applyFont="1" applyBorder="1" applyAlignment="1">
      <alignment horizontal="center" vertical="center"/>
    </xf>
    <xf numFmtId="168" fontId="79" fillId="0" borderId="2" xfId="0" applyNumberFormat="1" applyFont="1" applyBorder="1" applyAlignment="1">
      <alignment horizontal="center" vertical="center"/>
    </xf>
    <xf numFmtId="168" fontId="80" fillId="0" borderId="2" xfId="0" applyNumberFormat="1" applyFont="1" applyBorder="1" applyAlignment="1">
      <alignment horizontal="center" vertical="center" wrapText="1"/>
    </xf>
    <xf numFmtId="0" fontId="80" fillId="0" borderId="2" xfId="0" applyFont="1" applyBorder="1" applyAlignment="1">
      <alignment vertical="justify" wrapText="1"/>
    </xf>
    <xf numFmtId="168" fontId="80" fillId="2" borderId="2" xfId="0" applyNumberFormat="1" applyFont="1" applyFill="1" applyBorder="1" applyAlignment="1">
      <alignment horizontal="center" vertical="center" wrapText="1"/>
    </xf>
    <xf numFmtId="168" fontId="79" fillId="2" borderId="2" xfId="0" applyNumberFormat="1" applyFont="1" applyFill="1" applyBorder="1" applyAlignment="1">
      <alignment horizontal="center" vertical="center"/>
    </xf>
    <xf numFmtId="0" fontId="81" fillId="0" borderId="2" xfId="0" applyFont="1" applyBorder="1" applyAlignment="1">
      <alignment wrapText="1"/>
    </xf>
    <xf numFmtId="168" fontId="0" fillId="2" borderId="0" xfId="0" applyNumberFormat="1" applyFill="1"/>
    <xf numFmtId="0" fontId="80" fillId="2" borderId="2" xfId="0" applyFont="1" applyFill="1" applyBorder="1" applyAlignment="1">
      <alignment vertical="justify" wrapText="1"/>
    </xf>
    <xf numFmtId="0" fontId="80" fillId="2" borderId="2" xfId="0" applyFont="1" applyFill="1" applyBorder="1" applyAlignment="1">
      <alignment horizontal="center" vertical="top" wrapText="1"/>
    </xf>
    <xf numFmtId="0" fontId="67" fillId="2" borderId="0" xfId="0" applyFont="1" applyFill="1"/>
    <xf numFmtId="0" fontId="57" fillId="67" borderId="2" xfId="663" applyFont="1" applyFill="1" applyBorder="1" applyAlignment="1">
      <alignment horizontal="center" vertical="center"/>
    </xf>
    <xf numFmtId="0" fontId="63" fillId="67" borderId="2" xfId="663" applyFont="1" applyFill="1" applyBorder="1" applyAlignment="1">
      <alignment vertical="center" wrapText="1"/>
    </xf>
    <xf numFmtId="168" fontId="63" fillId="67" borderId="2" xfId="0" applyNumberFormat="1" applyFont="1" applyFill="1" applyBorder="1" applyAlignment="1">
      <alignment horizontal="right" vertical="center" wrapText="1"/>
    </xf>
    <xf numFmtId="0" fontId="63" fillId="2" borderId="2" xfId="0" applyFont="1" applyFill="1" applyBorder="1" applyAlignment="1">
      <alignment vertical="justify" wrapText="1"/>
    </xf>
    <xf numFmtId="0" fontId="80" fillId="0" borderId="2" xfId="0" applyFont="1" applyFill="1" applyBorder="1" applyAlignment="1">
      <alignment vertical="justify" wrapText="1"/>
    </xf>
    <xf numFmtId="0" fontId="63" fillId="0" borderId="2" xfId="0" applyFont="1" applyFill="1" applyBorder="1" applyAlignment="1">
      <alignment vertical="justify" wrapText="1"/>
    </xf>
    <xf numFmtId="0" fontId="82" fillId="0" borderId="0" xfId="0" applyFont="1"/>
    <xf numFmtId="168" fontId="82" fillId="0" borderId="0" xfId="0" applyNumberFormat="1" applyFont="1"/>
    <xf numFmtId="170" fontId="58" fillId="0" borderId="0" xfId="0" applyNumberFormat="1" applyFont="1"/>
    <xf numFmtId="0" fontId="57" fillId="0" borderId="0" xfId="0" applyFont="1" applyAlignment="1"/>
    <xf numFmtId="0" fontId="58" fillId="0" borderId="0" xfId="0" applyFont="1" applyAlignment="1"/>
    <xf numFmtId="0" fontId="58" fillId="70" borderId="2" xfId="0" applyFont="1" applyFill="1" applyBorder="1"/>
    <xf numFmtId="49" fontId="6" fillId="70" borderId="2" xfId="1" applyNumberFormat="1" applyFont="1" applyFill="1" applyBorder="1" applyAlignment="1">
      <alignment horizontal="center" wrapText="1"/>
    </xf>
    <xf numFmtId="0" fontId="6" fillId="70" borderId="2" xfId="1" applyFont="1" applyFill="1" applyBorder="1" applyAlignment="1">
      <alignment wrapText="1"/>
    </xf>
    <xf numFmtId="168" fontId="6" fillId="70" borderId="2" xfId="1" applyNumberFormat="1" applyFont="1" applyFill="1" applyBorder="1" applyAlignment="1">
      <alignment horizontal="center" wrapText="1"/>
    </xf>
    <xf numFmtId="0" fontId="63" fillId="2" borderId="2" xfId="0" applyFont="1" applyFill="1" applyBorder="1" applyAlignment="1">
      <alignment horizontal="center" vertical="top" wrapText="1"/>
    </xf>
    <xf numFmtId="168" fontId="63" fillId="2" borderId="2" xfId="0" applyNumberFormat="1" applyFont="1" applyFill="1" applyBorder="1" applyAlignment="1">
      <alignment horizontal="center" vertical="center" wrapText="1"/>
    </xf>
    <xf numFmtId="0" fontId="83" fillId="2" borderId="0" xfId="0" applyFont="1" applyFill="1"/>
    <xf numFmtId="0" fontId="3" fillId="67" borderId="2" xfId="1" applyFont="1" applyFill="1" applyBorder="1" applyAlignment="1">
      <alignment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vertical="top" wrapText="1"/>
    </xf>
    <xf numFmtId="168" fontId="3" fillId="66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165" fontId="6" fillId="6" borderId="2" xfId="1" applyNumberFormat="1" applyFont="1" applyFill="1" applyBorder="1" applyAlignment="1">
      <alignment horizontal="center" wrapText="1"/>
    </xf>
    <xf numFmtId="165" fontId="6" fillId="0" borderId="2" xfId="1" applyNumberFormat="1" applyFont="1" applyFill="1" applyBorder="1" applyAlignment="1">
      <alignment horizontal="center" wrapText="1"/>
    </xf>
    <xf numFmtId="165" fontId="6" fillId="4" borderId="2" xfId="1" applyNumberFormat="1" applyFont="1" applyFill="1" applyBorder="1" applyAlignment="1">
      <alignment horizontal="center" wrapText="1"/>
    </xf>
    <xf numFmtId="165" fontId="6" fillId="5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165" fontId="3" fillId="0" borderId="2" xfId="1" applyNumberFormat="1" applyFont="1" applyFill="1" applyBorder="1" applyAlignment="1">
      <alignment horizontal="center" wrapText="1"/>
    </xf>
    <xf numFmtId="165" fontId="6" fillId="66" borderId="2" xfId="1" applyNumberFormat="1" applyFont="1" applyFill="1" applyBorder="1" applyAlignment="1">
      <alignment horizontal="center"/>
    </xf>
    <xf numFmtId="165" fontId="6" fillId="70" borderId="2" xfId="1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/>
    </xf>
    <xf numFmtId="165" fontId="6" fillId="7" borderId="2" xfId="1" applyNumberFormat="1" applyFont="1" applyFill="1" applyBorder="1" applyAlignment="1">
      <alignment horizontal="center"/>
    </xf>
    <xf numFmtId="165" fontId="6" fillId="5" borderId="2" xfId="1" applyNumberFormat="1" applyFont="1" applyFill="1" applyBorder="1" applyAlignment="1">
      <alignment horizontal="center"/>
    </xf>
    <xf numFmtId="165" fontId="6" fillId="66" borderId="2" xfId="1" applyNumberFormat="1" applyFont="1" applyFill="1" applyBorder="1" applyAlignment="1">
      <alignment horizontal="center" wrapText="1"/>
    </xf>
    <xf numFmtId="165" fontId="6" fillId="7" borderId="2" xfId="1" applyNumberFormat="1" applyFont="1" applyFill="1" applyBorder="1" applyAlignment="1">
      <alignment horizontal="center" wrapText="1"/>
    </xf>
    <xf numFmtId="165" fontId="6" fillId="70" borderId="2" xfId="1" applyNumberFormat="1" applyFont="1" applyFill="1" applyBorder="1" applyAlignment="1">
      <alignment horizontal="center" wrapText="1"/>
    </xf>
    <xf numFmtId="165" fontId="6" fillId="69" borderId="2" xfId="1" applyNumberFormat="1" applyFont="1" applyFill="1" applyBorder="1" applyAlignment="1">
      <alignment horizontal="center" wrapText="1"/>
    </xf>
    <xf numFmtId="165" fontId="6" fillId="68" borderId="2" xfId="1" applyNumberFormat="1" applyFont="1" applyFill="1" applyBorder="1" applyAlignment="1">
      <alignment horizontal="center" wrapText="1"/>
    </xf>
    <xf numFmtId="165" fontId="3" fillId="66" borderId="2" xfId="1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horizontal="center" wrapText="1"/>
    </xf>
    <xf numFmtId="165" fontId="6" fillId="6" borderId="2" xfId="1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168" fontId="3" fillId="0" borderId="2" xfId="0" applyNumberFormat="1" applyFont="1" applyBorder="1" applyAlignment="1" applyProtection="1">
      <alignment horizontal="center" wrapText="1"/>
    </xf>
    <xf numFmtId="168" fontId="3" fillId="2" borderId="2" xfId="0" applyNumberFormat="1" applyFont="1" applyFill="1" applyBorder="1" applyAlignment="1" applyProtection="1">
      <alignment horizontal="center" wrapText="1"/>
    </xf>
    <xf numFmtId="0" fontId="3" fillId="2" borderId="0" xfId="664" applyFont="1" applyFill="1" applyBorder="1" applyAlignment="1" applyProtection="1"/>
    <xf numFmtId="0" fontId="3" fillId="2" borderId="0" xfId="1" applyFont="1" applyFill="1"/>
    <xf numFmtId="0" fontId="3" fillId="2" borderId="0" xfId="664" applyFont="1" applyFill="1"/>
    <xf numFmtId="0" fontId="3" fillId="2" borderId="0" xfId="664" applyFont="1" applyFill="1" applyBorder="1" applyAlignment="1" applyProtection="1">
      <alignment horizontal="right" vertical="top" wrapText="1"/>
    </xf>
    <xf numFmtId="0" fontId="3" fillId="0" borderId="0" xfId="664" applyFont="1"/>
    <xf numFmtId="0" fontId="3" fillId="0" borderId="0" xfId="1" applyFont="1"/>
    <xf numFmtId="0" fontId="63" fillId="0" borderId="0" xfId="664" applyFont="1" applyBorder="1" applyAlignment="1" applyProtection="1">
      <alignment horizontal="center" vertical="center" wrapText="1"/>
    </xf>
    <xf numFmtId="0" fontId="3" fillId="0" borderId="0" xfId="664" applyFont="1" applyBorder="1" applyAlignment="1" applyProtection="1">
      <alignment horizontal="center" vertical="center" wrapText="1"/>
    </xf>
    <xf numFmtId="49" fontId="3" fillId="0" borderId="2" xfId="664" applyNumberFormat="1" applyFont="1" applyBorder="1" applyAlignment="1" applyProtection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2" xfId="664" applyFont="1" applyBorder="1" applyAlignment="1">
      <alignment vertical="center"/>
    </xf>
    <xf numFmtId="49" fontId="3" fillId="0" borderId="2" xfId="664" applyNumberFormat="1" applyFont="1" applyBorder="1" applyAlignment="1" applyProtection="1">
      <alignment horizontal="left" vertical="center" wrapText="1"/>
    </xf>
    <xf numFmtId="171" fontId="3" fillId="0" borderId="2" xfId="664" applyNumberFormat="1" applyFont="1" applyBorder="1" applyAlignment="1">
      <alignment horizontal="center" vertical="center"/>
    </xf>
    <xf numFmtId="171" fontId="6" fillId="0" borderId="2" xfId="664" applyNumberFormat="1" applyFont="1" applyBorder="1" applyAlignment="1">
      <alignment horizontal="center" vertical="center"/>
    </xf>
    <xf numFmtId="169" fontId="3" fillId="0" borderId="0" xfId="664" applyNumberFormat="1" applyFont="1"/>
    <xf numFmtId="49" fontId="3" fillId="0" borderId="24" xfId="664" applyNumberFormat="1" applyFont="1" applyBorder="1" applyAlignment="1" applyProtection="1">
      <alignment horizontal="center" vertical="center" wrapText="1"/>
    </xf>
    <xf numFmtId="49" fontId="3" fillId="0" borderId="3" xfId="664" applyNumberFormat="1" applyFont="1" applyBorder="1" applyAlignment="1" applyProtection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49" fontId="3" fillId="0" borderId="24" xfId="664" applyNumberFormat="1" applyFont="1" applyBorder="1" applyAlignment="1" applyProtection="1">
      <alignment horizontal="left" vertical="center" wrapText="1"/>
    </xf>
    <xf numFmtId="169" fontId="3" fillId="0" borderId="0" xfId="1" applyNumberFormat="1" applyFont="1"/>
    <xf numFmtId="165" fontId="3" fillId="0" borderId="0" xfId="1" applyNumberFormat="1" applyFont="1"/>
    <xf numFmtId="168" fontId="3" fillId="2" borderId="2" xfId="664" applyNumberFormat="1" applyFont="1" applyFill="1" applyBorder="1" applyAlignment="1" applyProtection="1">
      <alignment horizontal="center" vertical="center" wrapText="1"/>
    </xf>
    <xf numFmtId="168" fontId="3" fillId="2" borderId="2" xfId="1" applyNumberFormat="1" applyFont="1" applyFill="1" applyBorder="1" applyAlignment="1">
      <alignment horizontal="center" vertical="center" wrapText="1"/>
    </xf>
    <xf numFmtId="168" fontId="6" fillId="2" borderId="2" xfId="664" applyNumberFormat="1" applyFont="1" applyFill="1" applyBorder="1" applyAlignment="1" applyProtection="1">
      <alignment horizontal="center" vertical="center" wrapText="1"/>
    </xf>
    <xf numFmtId="168" fontId="6" fillId="0" borderId="2" xfId="664" applyNumberFormat="1" applyFont="1" applyBorder="1" applyAlignment="1" applyProtection="1">
      <alignment horizontal="center" vertical="center" wrapText="1"/>
    </xf>
    <xf numFmtId="168" fontId="6" fillId="2" borderId="2" xfId="664" applyNumberFormat="1" applyFont="1" applyFill="1" applyBorder="1" applyAlignment="1" applyProtection="1">
      <alignment horizontal="center"/>
    </xf>
    <xf numFmtId="0" fontId="85" fillId="0" borderId="0" xfId="388" applyNumberFormat="1" applyFont="1" applyFill="1" applyBorder="1" applyAlignment="1">
      <alignment horizontal="right" vertical="center"/>
    </xf>
    <xf numFmtId="0" fontId="86" fillId="0" borderId="0" xfId="388" applyNumberFormat="1" applyFont="1" applyFill="1" applyBorder="1" applyAlignment="1">
      <alignment horizontal="right" vertical="center"/>
    </xf>
    <xf numFmtId="0" fontId="86" fillId="0" borderId="0" xfId="388" applyFont="1" applyAlignment="1">
      <alignment horizontal="right"/>
    </xf>
    <xf numFmtId="0" fontId="89" fillId="0" borderId="0" xfId="388" applyNumberFormat="1" applyFont="1" applyFill="1" applyBorder="1" applyAlignment="1">
      <alignment vertical="center" wrapText="1"/>
    </xf>
    <xf numFmtId="0" fontId="49" fillId="0" borderId="0" xfId="388"/>
    <xf numFmtId="172" fontId="90" fillId="0" borderId="0" xfId="388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172" fontId="90" fillId="0" borderId="0" xfId="388" applyNumberFormat="1" applyFont="1" applyFill="1" applyBorder="1" applyAlignment="1">
      <alignment horizontal="right" vertical="center" wrapText="1"/>
    </xf>
    <xf numFmtId="0" fontId="86" fillId="0" borderId="0" xfId="388" applyFont="1" applyBorder="1" applyAlignment="1">
      <alignment horizontal="center" vertical="center"/>
    </xf>
    <xf numFmtId="0" fontId="86" fillId="0" borderId="0" xfId="388" applyFont="1" applyBorder="1" applyAlignment="1">
      <alignment horizontal="center" vertical="center" wrapText="1"/>
    </xf>
    <xf numFmtId="49" fontId="94" fillId="0" borderId="22" xfId="388" applyNumberFormat="1" applyFont="1" applyFill="1" applyBorder="1" applyAlignment="1">
      <alignment horizontal="center" vertical="center"/>
    </xf>
    <xf numFmtId="0" fontId="95" fillId="0" borderId="22" xfId="388" applyFont="1" applyBorder="1" applyAlignment="1">
      <alignment horizontal="center" vertical="center"/>
    </xf>
    <xf numFmtId="0" fontId="95" fillId="0" borderId="29" xfId="388" applyFont="1" applyBorder="1" applyAlignment="1">
      <alignment horizontal="center" vertical="center"/>
    </xf>
    <xf numFmtId="0" fontId="95" fillId="0" borderId="0" xfId="388" applyFont="1" applyBorder="1" applyAlignment="1">
      <alignment horizontal="center"/>
    </xf>
    <xf numFmtId="49" fontId="87" fillId="6" borderId="2" xfId="388" applyNumberFormat="1" applyFont="1" applyFill="1" applyBorder="1" applyAlignment="1">
      <alignment horizontal="center" vertical="center" wrapText="1"/>
    </xf>
    <xf numFmtId="172" fontId="89" fillId="6" borderId="2" xfId="388" applyNumberFormat="1" applyFont="1" applyFill="1" applyBorder="1" applyAlignment="1">
      <alignment horizontal="justify" vertical="center" wrapText="1"/>
    </xf>
    <xf numFmtId="169" fontId="89" fillId="6" borderId="2" xfId="388" applyNumberFormat="1" applyFont="1" applyFill="1" applyBorder="1" applyAlignment="1">
      <alignment horizontal="center" vertical="center" wrapText="1"/>
    </xf>
    <xf numFmtId="173" fontId="89" fillId="6" borderId="31" xfId="388" applyNumberFormat="1" applyFont="1" applyFill="1" applyBorder="1" applyAlignment="1">
      <alignment horizontal="center" vertical="center" wrapText="1"/>
    </xf>
    <xf numFmtId="165" fontId="89" fillId="6" borderId="0" xfId="388" applyNumberFormat="1" applyFont="1" applyFill="1" applyBorder="1" applyAlignment="1">
      <alignment horizontal="right" wrapText="1"/>
    </xf>
    <xf numFmtId="49" fontId="96" fillId="67" borderId="2" xfId="388" applyNumberFormat="1" applyFont="1" applyFill="1" applyBorder="1" applyAlignment="1">
      <alignment horizontal="center" vertical="center" wrapText="1"/>
    </xf>
    <xf numFmtId="172" fontId="96" fillId="67" borderId="2" xfId="388" applyNumberFormat="1" applyFont="1" applyFill="1" applyBorder="1" applyAlignment="1">
      <alignment horizontal="justify" vertical="center" wrapText="1"/>
    </xf>
    <xf numFmtId="169" fontId="96" fillId="67" borderId="2" xfId="388" applyNumberFormat="1" applyFont="1" applyFill="1" applyBorder="1" applyAlignment="1">
      <alignment horizontal="center" vertical="center" wrapText="1"/>
    </xf>
    <xf numFmtId="173" fontId="96" fillId="67" borderId="31" xfId="388" applyNumberFormat="1" applyFont="1" applyFill="1" applyBorder="1" applyAlignment="1">
      <alignment horizontal="center" vertical="center" wrapText="1"/>
    </xf>
    <xf numFmtId="165" fontId="96" fillId="67" borderId="0" xfId="388" applyNumberFormat="1" applyFont="1" applyFill="1" applyBorder="1" applyAlignment="1">
      <alignment horizontal="right" wrapText="1"/>
    </xf>
    <xf numFmtId="49" fontId="89" fillId="0" borderId="2" xfId="388" applyNumberFormat="1" applyFont="1" applyFill="1" applyBorder="1" applyAlignment="1">
      <alignment horizontal="center" vertical="center" wrapText="1"/>
    </xf>
    <xf numFmtId="172" fontId="89" fillId="0" borderId="2" xfId="388" applyNumberFormat="1" applyFont="1" applyFill="1" applyBorder="1" applyAlignment="1">
      <alignment horizontal="justify" vertical="center" wrapText="1"/>
    </xf>
    <xf numFmtId="169" fontId="89" fillId="0" borderId="2" xfId="388" applyNumberFormat="1" applyFont="1" applyFill="1" applyBorder="1" applyAlignment="1">
      <alignment horizontal="center" vertical="center" wrapText="1"/>
    </xf>
    <xf numFmtId="173" fontId="89" fillId="0" borderId="31" xfId="388" applyNumberFormat="1" applyFont="1" applyFill="1" applyBorder="1" applyAlignment="1">
      <alignment horizontal="center" vertical="center" wrapText="1"/>
    </xf>
    <xf numFmtId="165" fontId="89" fillId="0" borderId="0" xfId="388" applyNumberFormat="1" applyFont="1" applyFill="1" applyBorder="1" applyAlignment="1">
      <alignment horizontal="right" wrapText="1"/>
    </xf>
    <xf numFmtId="49" fontId="96" fillId="0" borderId="2" xfId="388" applyNumberFormat="1" applyFont="1" applyFill="1" applyBorder="1" applyAlignment="1">
      <alignment horizontal="center" vertical="center" wrapText="1"/>
    </xf>
    <xf numFmtId="172" fontId="96" fillId="0" borderId="2" xfId="388" applyNumberFormat="1" applyFont="1" applyFill="1" applyBorder="1" applyAlignment="1">
      <alignment horizontal="justify" vertical="center" wrapText="1"/>
    </xf>
    <xf numFmtId="169" fontId="97" fillId="0" borderId="2" xfId="388" applyNumberFormat="1" applyFont="1" applyFill="1" applyBorder="1" applyAlignment="1">
      <alignment horizontal="center" vertical="center" wrapText="1"/>
    </xf>
    <xf numFmtId="173" fontId="97" fillId="0" borderId="31" xfId="388" applyNumberFormat="1" applyFont="1" applyFill="1" applyBorder="1" applyAlignment="1">
      <alignment horizontal="center" vertical="center" wrapText="1"/>
    </xf>
    <xf numFmtId="165" fontId="96" fillId="0" borderId="0" xfId="388" applyNumberFormat="1" applyFont="1" applyFill="1" applyBorder="1" applyAlignment="1">
      <alignment horizontal="right" wrapText="1"/>
    </xf>
    <xf numFmtId="169" fontId="96" fillId="0" borderId="2" xfId="388" applyNumberFormat="1" applyFont="1" applyFill="1" applyBorder="1" applyAlignment="1">
      <alignment horizontal="center" vertical="center" wrapText="1"/>
    </xf>
    <xf numFmtId="173" fontId="96" fillId="0" borderId="31" xfId="388" applyNumberFormat="1" applyFont="1" applyFill="1" applyBorder="1" applyAlignment="1">
      <alignment horizontal="center" vertical="center" wrapText="1"/>
    </xf>
    <xf numFmtId="49" fontId="96" fillId="0" borderId="32" xfId="388" applyNumberFormat="1" applyFont="1" applyFill="1" applyBorder="1" applyAlignment="1">
      <alignment horizontal="center" vertical="center" wrapText="1"/>
    </xf>
    <xf numFmtId="172" fontId="96" fillId="0" borderId="3" xfId="388" applyNumberFormat="1" applyFont="1" applyFill="1" applyBorder="1" applyAlignment="1">
      <alignment horizontal="justify" vertical="center" wrapText="1"/>
    </xf>
    <xf numFmtId="169" fontId="87" fillId="0" borderId="2" xfId="388" applyNumberFormat="1" applyFont="1" applyFill="1" applyBorder="1" applyAlignment="1">
      <alignment horizontal="center" vertical="center" wrapText="1"/>
    </xf>
    <xf numFmtId="173" fontId="87" fillId="0" borderId="30" xfId="388" applyNumberFormat="1" applyFont="1" applyFill="1" applyBorder="1" applyAlignment="1">
      <alignment horizontal="center" vertical="center" wrapText="1"/>
    </xf>
    <xf numFmtId="173" fontId="97" fillId="0" borderId="30" xfId="388" applyNumberFormat="1" applyFont="1" applyFill="1" applyBorder="1" applyAlignment="1">
      <alignment horizontal="center" vertical="center" wrapText="1"/>
    </xf>
    <xf numFmtId="169" fontId="88" fillId="0" borderId="2" xfId="388" applyNumberFormat="1" applyFont="1" applyFill="1" applyBorder="1" applyAlignment="1">
      <alignment horizontal="center" vertical="center" wrapText="1"/>
    </xf>
    <xf numFmtId="173" fontId="88" fillId="0" borderId="30" xfId="388" applyNumberFormat="1" applyFont="1" applyFill="1" applyBorder="1" applyAlignment="1">
      <alignment horizontal="center" vertical="center" wrapText="1"/>
    </xf>
    <xf numFmtId="172" fontId="96" fillId="0" borderId="2" xfId="388" applyNumberFormat="1" applyFont="1" applyFill="1" applyBorder="1" applyAlignment="1">
      <alignment horizontal="center" vertical="center" wrapText="1"/>
    </xf>
    <xf numFmtId="49" fontId="88" fillId="0" borderId="2" xfId="388" applyNumberFormat="1" applyFont="1" applyFill="1" applyBorder="1" applyAlignment="1">
      <alignment horizontal="center" vertical="center" wrapText="1"/>
    </xf>
    <xf numFmtId="172" fontId="88" fillId="0" borderId="2" xfId="388" applyNumberFormat="1" applyFont="1" applyFill="1" applyBorder="1" applyAlignment="1">
      <alignment horizontal="justify" vertical="center" wrapText="1"/>
    </xf>
    <xf numFmtId="0" fontId="0" fillId="0" borderId="0" xfId="0" applyFont="1"/>
    <xf numFmtId="173" fontId="88" fillId="0" borderId="31" xfId="388" applyNumberFormat="1" applyFont="1" applyFill="1" applyBorder="1" applyAlignment="1">
      <alignment horizontal="center" vertical="center" wrapText="1"/>
    </xf>
    <xf numFmtId="169" fontId="98" fillId="0" borderId="2" xfId="388" applyNumberFormat="1" applyFont="1" applyFill="1" applyBorder="1" applyAlignment="1">
      <alignment horizontal="center" vertical="center" wrapText="1"/>
    </xf>
    <xf numFmtId="165" fontId="88" fillId="0" borderId="0" xfId="388" applyNumberFormat="1" applyFont="1" applyFill="1" applyBorder="1" applyAlignment="1">
      <alignment horizontal="right" wrapText="1"/>
    </xf>
    <xf numFmtId="169" fontId="97" fillId="0" borderId="30" xfId="388" applyNumberFormat="1" applyFont="1" applyFill="1" applyBorder="1" applyAlignment="1">
      <alignment horizontal="center" vertical="center" wrapText="1"/>
    </xf>
    <xf numFmtId="173" fontId="87" fillId="0" borderId="31" xfId="388" applyNumberFormat="1" applyFont="1" applyFill="1" applyBorder="1" applyAlignment="1">
      <alignment horizontal="center" vertical="center" wrapText="1"/>
    </xf>
    <xf numFmtId="169" fontId="88" fillId="2" borderId="2" xfId="388" applyNumberFormat="1" applyFont="1" applyFill="1" applyBorder="1" applyAlignment="1">
      <alignment horizontal="center" vertical="center" wrapText="1"/>
    </xf>
    <xf numFmtId="165" fontId="88" fillId="2" borderId="0" xfId="388" applyNumberFormat="1" applyFont="1" applyFill="1" applyBorder="1" applyAlignment="1">
      <alignment horizontal="right" wrapText="1"/>
    </xf>
    <xf numFmtId="169" fontId="89" fillId="0" borderId="30" xfId="388" applyNumberFormat="1" applyFont="1" applyFill="1" applyBorder="1" applyAlignment="1">
      <alignment horizontal="center" vertical="center" wrapText="1"/>
    </xf>
    <xf numFmtId="173" fontId="96" fillId="0" borderId="2" xfId="388" applyNumberFormat="1" applyFont="1" applyFill="1" applyBorder="1" applyAlignment="1">
      <alignment horizontal="center" vertical="center" wrapText="1"/>
    </xf>
    <xf numFmtId="49" fontId="87" fillId="0" borderId="2" xfId="388" applyNumberFormat="1" applyFont="1" applyFill="1" applyBorder="1" applyAlignment="1">
      <alignment horizontal="center" vertical="center" wrapText="1"/>
    </xf>
    <xf numFmtId="172" fontId="87" fillId="0" borderId="2" xfId="388" applyNumberFormat="1" applyFont="1" applyFill="1" applyBorder="1" applyAlignment="1">
      <alignment horizontal="justify" vertical="center" wrapText="1"/>
    </xf>
    <xf numFmtId="173" fontId="87" fillId="0" borderId="2" xfId="388" applyNumberFormat="1" applyFont="1" applyFill="1" applyBorder="1" applyAlignment="1">
      <alignment horizontal="center" vertical="center" wrapText="1"/>
    </xf>
    <xf numFmtId="49" fontId="89" fillId="6" borderId="2" xfId="388" applyNumberFormat="1" applyFont="1" applyFill="1" applyBorder="1" applyAlignment="1">
      <alignment horizontal="center" vertical="center" wrapText="1"/>
    </xf>
    <xf numFmtId="168" fontId="89" fillId="6" borderId="2" xfId="388" applyNumberFormat="1" applyFont="1" applyFill="1" applyBorder="1" applyAlignment="1">
      <alignment horizontal="center" vertical="center" wrapText="1"/>
    </xf>
    <xf numFmtId="173" fontId="87" fillId="6" borderId="31" xfId="388" applyNumberFormat="1" applyFont="1" applyFill="1" applyBorder="1" applyAlignment="1">
      <alignment horizontal="center" vertical="center" wrapText="1"/>
    </xf>
    <xf numFmtId="49" fontId="89" fillId="66" borderId="2" xfId="388" applyNumberFormat="1" applyFont="1" applyFill="1" applyBorder="1" applyAlignment="1">
      <alignment horizontal="center" vertical="center" wrapText="1"/>
    </xf>
    <xf numFmtId="172" fontId="89" fillId="66" borderId="2" xfId="388" applyNumberFormat="1" applyFont="1" applyFill="1" applyBorder="1" applyAlignment="1">
      <alignment horizontal="justify" vertical="center" wrapText="1"/>
    </xf>
    <xf numFmtId="168" fontId="89" fillId="66" borderId="2" xfId="388" applyNumberFormat="1" applyFont="1" applyFill="1" applyBorder="1" applyAlignment="1">
      <alignment horizontal="center" vertical="center" wrapText="1"/>
    </xf>
    <xf numFmtId="173" fontId="87" fillId="66" borderId="31" xfId="388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96" fillId="67" borderId="2" xfId="0" applyNumberFormat="1" applyFont="1" applyFill="1" applyBorder="1" applyAlignment="1">
      <alignment horizontal="center" vertical="center" wrapText="1"/>
    </xf>
    <xf numFmtId="169" fontId="88" fillId="67" borderId="2" xfId="388" applyNumberFormat="1" applyFont="1" applyFill="1" applyBorder="1" applyAlignment="1">
      <alignment horizontal="center" vertical="center" wrapText="1"/>
    </xf>
    <xf numFmtId="169" fontId="87" fillId="2" borderId="2" xfId="3" applyNumberFormat="1" applyFont="1" applyFill="1" applyBorder="1" applyAlignment="1">
      <alignment horizontal="center" vertical="center" wrapText="1"/>
    </xf>
    <xf numFmtId="173" fontId="89" fillId="0" borderId="2" xfId="388" applyNumberFormat="1" applyFont="1" applyFill="1" applyBorder="1" applyAlignment="1">
      <alignment horizontal="center" vertical="center" wrapText="1"/>
    </xf>
    <xf numFmtId="169" fontId="88" fillId="2" borderId="2" xfId="3" applyNumberFormat="1" applyFont="1" applyFill="1" applyBorder="1" applyAlignment="1">
      <alignment horizontal="center" vertical="center" wrapText="1"/>
    </xf>
    <xf numFmtId="0" fontId="68" fillId="0" borderId="2" xfId="0" applyFont="1" applyBorder="1" applyAlignment="1">
      <alignment wrapText="1"/>
    </xf>
    <xf numFmtId="0" fontId="75" fillId="0" borderId="0" xfId="0" applyFont="1"/>
    <xf numFmtId="168" fontId="96" fillId="67" borderId="2" xfId="388" applyNumberFormat="1" applyFont="1" applyFill="1" applyBorder="1" applyAlignment="1">
      <alignment horizontal="center" vertical="center" wrapText="1"/>
    </xf>
    <xf numFmtId="173" fontId="96" fillId="67" borderId="2" xfId="388" applyNumberFormat="1" applyFont="1" applyFill="1" applyBorder="1" applyAlignment="1">
      <alignment horizontal="center" vertical="center" wrapText="1"/>
    </xf>
    <xf numFmtId="172" fontId="87" fillId="2" borderId="2" xfId="0" applyNumberFormat="1" applyFont="1" applyFill="1" applyBorder="1" applyAlignment="1">
      <alignment horizontal="justify" vertical="center" wrapText="1"/>
    </xf>
    <xf numFmtId="169" fontId="87" fillId="2" borderId="2" xfId="388" applyNumberFormat="1" applyFont="1" applyFill="1" applyBorder="1" applyAlignment="1">
      <alignment horizontal="center" vertical="center" wrapText="1"/>
    </xf>
    <xf numFmtId="172" fontId="57" fillId="2" borderId="2" xfId="0" applyNumberFormat="1" applyFont="1" applyFill="1" applyBorder="1" applyAlignment="1">
      <alignment horizontal="justify" vertical="center" wrapText="1"/>
    </xf>
    <xf numFmtId="0" fontId="99" fillId="2" borderId="2" xfId="0" applyFont="1" applyFill="1" applyBorder="1" applyAlignment="1">
      <alignment wrapText="1"/>
    </xf>
    <xf numFmtId="0" fontId="83" fillId="0" borderId="0" xfId="0" applyFont="1"/>
    <xf numFmtId="0" fontId="99" fillId="2" borderId="32" xfId="0" applyFont="1" applyFill="1" applyBorder="1" applyAlignment="1">
      <alignment horizontal="center" vertical="center" wrapText="1"/>
    </xf>
    <xf numFmtId="0" fontId="99" fillId="2" borderId="3" xfId="0" applyFont="1" applyFill="1" applyBorder="1" applyAlignment="1">
      <alignment vertical="center" wrapText="1"/>
    </xf>
    <xf numFmtId="0" fontId="100" fillId="2" borderId="32" xfId="0" applyFont="1" applyFill="1" applyBorder="1" applyAlignment="1">
      <alignment horizontal="center" vertical="center" wrapText="1"/>
    </xf>
    <xf numFmtId="0" fontId="100" fillId="2" borderId="3" xfId="0" applyFont="1" applyFill="1" applyBorder="1" applyAlignment="1">
      <alignment vertical="center" wrapText="1"/>
    </xf>
    <xf numFmtId="0" fontId="99" fillId="2" borderId="2" xfId="0" applyFont="1" applyFill="1" applyBorder="1" applyAlignment="1">
      <alignment horizontal="center" vertical="center" wrapText="1"/>
    </xf>
    <xf numFmtId="0" fontId="99" fillId="2" borderId="2" xfId="0" applyFont="1" applyFill="1" applyBorder="1" applyAlignment="1">
      <alignment vertical="center" wrapText="1"/>
    </xf>
    <xf numFmtId="169" fontId="89" fillId="2" borderId="2" xfId="388" applyNumberFormat="1" applyFont="1" applyFill="1" applyBorder="1" applyAlignment="1">
      <alignment horizontal="center" vertical="center" wrapText="1"/>
    </xf>
    <xf numFmtId="0" fontId="100" fillId="2" borderId="2" xfId="0" applyFont="1" applyFill="1" applyBorder="1" applyAlignment="1">
      <alignment horizontal="center" vertical="center" wrapText="1"/>
    </xf>
    <xf numFmtId="168" fontId="88" fillId="2" borderId="2" xfId="3" applyNumberFormat="1" applyFont="1" applyFill="1" applyBorder="1" applyAlignment="1">
      <alignment horizontal="center" vertical="center" wrapText="1"/>
    </xf>
    <xf numFmtId="169" fontId="96" fillId="2" borderId="2" xfId="388" applyNumberFormat="1" applyFont="1" applyFill="1" applyBorder="1" applyAlignment="1">
      <alignment horizontal="center" vertical="center" wrapText="1"/>
    </xf>
    <xf numFmtId="49" fontId="87" fillId="2" borderId="2" xfId="0" applyNumberFormat="1" applyFont="1" applyFill="1" applyBorder="1" applyAlignment="1">
      <alignment horizontal="center" vertical="center" wrapText="1"/>
    </xf>
    <xf numFmtId="168" fontId="87" fillId="2" borderId="2" xfId="388" applyNumberFormat="1" applyFont="1" applyFill="1" applyBorder="1" applyAlignment="1">
      <alignment horizontal="center" vertical="center" wrapText="1"/>
    </xf>
    <xf numFmtId="49" fontId="96" fillId="2" borderId="2" xfId="0" applyNumberFormat="1" applyFont="1" applyFill="1" applyBorder="1" applyAlignment="1">
      <alignment horizontal="center" vertical="center" wrapText="1"/>
    </xf>
    <xf numFmtId="172" fontId="96" fillId="2" borderId="2" xfId="0" applyNumberFormat="1" applyFont="1" applyFill="1" applyBorder="1" applyAlignment="1">
      <alignment horizontal="justify" vertical="center" wrapText="1"/>
    </xf>
    <xf numFmtId="172" fontId="90" fillId="2" borderId="2" xfId="0" applyNumberFormat="1" applyFont="1" applyFill="1" applyBorder="1" applyAlignment="1">
      <alignment horizontal="justify" vertical="center" wrapText="1"/>
    </xf>
    <xf numFmtId="49" fontId="96" fillId="2" borderId="2" xfId="388" applyNumberFormat="1" applyFont="1" applyFill="1" applyBorder="1" applyAlignment="1">
      <alignment horizontal="center" vertical="center" wrapText="1"/>
    </xf>
    <xf numFmtId="172" fontId="96" fillId="67" borderId="2" xfId="388" applyNumberFormat="1" applyFont="1" applyFill="1" applyBorder="1" applyAlignment="1">
      <alignment vertical="justify" wrapText="1"/>
    </xf>
    <xf numFmtId="49" fontId="87" fillId="2" borderId="2" xfId="388" applyNumberFormat="1" applyFont="1" applyFill="1" applyBorder="1" applyAlignment="1">
      <alignment horizontal="center" vertical="center" wrapText="1"/>
    </xf>
    <xf numFmtId="172" fontId="87" fillId="2" borderId="2" xfId="388" applyNumberFormat="1" applyFont="1" applyFill="1" applyBorder="1" applyAlignment="1">
      <alignment vertical="justify" wrapText="1"/>
    </xf>
    <xf numFmtId="172" fontId="96" fillId="2" borderId="2" xfId="388" applyNumberFormat="1" applyFont="1" applyFill="1" applyBorder="1" applyAlignment="1">
      <alignment horizontal="justify" vertical="center" wrapText="1"/>
    </xf>
    <xf numFmtId="49" fontId="89" fillId="2" borderId="2" xfId="388" applyNumberFormat="1" applyFont="1" applyFill="1" applyBorder="1" applyAlignment="1">
      <alignment horizontal="center" vertical="center" wrapText="1"/>
    </xf>
    <xf numFmtId="49" fontId="89" fillId="2" borderId="2" xfId="0" applyNumberFormat="1" applyFont="1" applyFill="1" applyBorder="1" applyAlignment="1">
      <alignment horizontal="center" vertical="center" wrapText="1"/>
    </xf>
    <xf numFmtId="172" fontId="96" fillId="67" borderId="2" xfId="0" applyNumberFormat="1" applyFont="1" applyFill="1" applyBorder="1" applyAlignment="1">
      <alignment horizontal="justify" vertical="center" wrapText="1"/>
    </xf>
    <xf numFmtId="172" fontId="63" fillId="2" borderId="2" xfId="0" applyNumberFormat="1" applyFont="1" applyFill="1" applyBorder="1" applyAlignment="1">
      <alignment horizontal="justify" vertical="center" wrapText="1"/>
    </xf>
    <xf numFmtId="173" fontId="88" fillId="2" borderId="2" xfId="3" applyNumberFormat="1" applyFont="1" applyFill="1" applyBorder="1" applyAlignment="1">
      <alignment horizontal="center" vertical="center" wrapText="1"/>
    </xf>
    <xf numFmtId="169" fontId="89" fillId="66" borderId="2" xfId="388" applyNumberFormat="1" applyFont="1" applyFill="1" applyBorder="1" applyAlignment="1">
      <alignment horizontal="center" vertical="center" wrapText="1"/>
    </xf>
    <xf numFmtId="173" fontId="89" fillId="66" borderId="2" xfId="388" applyNumberFormat="1" applyFont="1" applyFill="1" applyBorder="1" applyAlignment="1">
      <alignment horizontal="center" vertical="center" wrapText="1"/>
    </xf>
    <xf numFmtId="172" fontId="89" fillId="66" borderId="3" xfId="388" applyNumberFormat="1" applyFont="1" applyFill="1" applyBorder="1" applyAlignment="1">
      <alignment horizontal="justify" vertical="center" wrapText="1"/>
    </xf>
    <xf numFmtId="169" fontId="87" fillId="66" borderId="2" xfId="3" applyNumberFormat="1" applyFont="1" applyFill="1" applyBorder="1" applyAlignment="1">
      <alignment horizontal="center" vertical="center" wrapText="1"/>
    </xf>
    <xf numFmtId="172" fontId="87" fillId="2" borderId="2" xfId="388" applyNumberFormat="1" applyFont="1" applyFill="1" applyBorder="1" applyAlignment="1">
      <alignment horizontal="justify" vertical="center" wrapText="1"/>
    </xf>
    <xf numFmtId="0" fontId="49" fillId="0" borderId="0" xfId="388" applyAlignment="1">
      <alignment horizontal="center" vertical="center"/>
    </xf>
    <xf numFmtId="165" fontId="96" fillId="0" borderId="29" xfId="388" applyNumberFormat="1" applyFont="1" applyFill="1" applyBorder="1" applyAlignment="1">
      <alignment horizontal="center" vertical="center" wrapText="1"/>
    </xf>
    <xf numFmtId="165" fontId="96" fillId="0" borderId="31" xfId="38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4" fillId="0" borderId="0" xfId="584" applyFont="1" applyAlignment="1">
      <alignment horizontal="left"/>
    </xf>
    <xf numFmtId="0" fontId="57" fillId="0" borderId="0" xfId="584" applyFont="1" applyAlignment="1">
      <alignment horizontal="left"/>
    </xf>
    <xf numFmtId="0" fontId="71" fillId="0" borderId="0" xfId="584" applyFont="1"/>
    <xf numFmtId="0" fontId="57" fillId="0" borderId="0" xfId="584" applyFont="1" applyAlignment="1">
      <alignment horizontal="right"/>
    </xf>
    <xf numFmtId="0" fontId="71" fillId="0" borderId="1" xfId="584" applyFont="1" applyBorder="1" applyAlignment="1"/>
    <xf numFmtId="0" fontId="101" fillId="0" borderId="0" xfId="584" applyFont="1"/>
    <xf numFmtId="49" fontId="102" fillId="0" borderId="33" xfId="552" applyNumberFormat="1" applyFont="1" applyBorder="1" applyAlignment="1" applyProtection="1">
      <alignment horizontal="center" vertical="center" wrapText="1"/>
    </xf>
    <xf numFmtId="172" fontId="102" fillId="0" borderId="33" xfId="552" applyNumberFormat="1" applyFont="1" applyBorder="1" applyAlignment="1" applyProtection="1">
      <alignment horizontal="justify" vertical="center" wrapText="1"/>
    </xf>
    <xf numFmtId="168" fontId="102" fillId="0" borderId="33" xfId="552" applyNumberFormat="1" applyFont="1" applyBorder="1" applyAlignment="1" applyProtection="1">
      <alignment horizontal="center" wrapText="1"/>
    </xf>
    <xf numFmtId="165" fontId="98" fillId="0" borderId="33" xfId="552" applyNumberFormat="1" applyFont="1" applyBorder="1" applyAlignment="1" applyProtection="1">
      <alignment horizontal="center" wrapText="1"/>
    </xf>
    <xf numFmtId="49" fontId="98" fillId="0" borderId="33" xfId="552" applyNumberFormat="1" applyFont="1" applyBorder="1" applyAlignment="1" applyProtection="1">
      <alignment horizontal="center" vertical="center" wrapText="1"/>
    </xf>
    <xf numFmtId="172" fontId="98" fillId="0" borderId="33" xfId="552" applyNumberFormat="1" applyFont="1" applyBorder="1" applyAlignment="1" applyProtection="1">
      <alignment horizontal="justify" vertical="center" wrapText="1"/>
    </xf>
    <xf numFmtId="168" fontId="98" fillId="0" borderId="33" xfId="552" applyNumberFormat="1" applyFont="1" applyBorder="1" applyAlignment="1" applyProtection="1">
      <alignment horizontal="center" wrapText="1"/>
    </xf>
    <xf numFmtId="49" fontId="96" fillId="0" borderId="33" xfId="552" applyNumberFormat="1" applyFont="1" applyBorder="1" applyAlignment="1" applyProtection="1">
      <alignment horizontal="center" vertical="center" wrapText="1"/>
    </xf>
    <xf numFmtId="172" fontId="96" fillId="0" borderId="33" xfId="552" applyNumberFormat="1" applyFont="1" applyBorder="1" applyAlignment="1" applyProtection="1">
      <alignment horizontal="justify" vertical="center" wrapText="1"/>
    </xf>
    <xf numFmtId="168" fontId="96" fillId="0" borderId="33" xfId="552" applyNumberFormat="1" applyFont="1" applyBorder="1" applyAlignment="1" applyProtection="1">
      <alignment horizontal="center" wrapText="1"/>
    </xf>
    <xf numFmtId="49" fontId="103" fillId="0" borderId="2" xfId="552" applyNumberFormat="1" applyFont="1" applyBorder="1" applyAlignment="1" applyProtection="1">
      <alignment horizontal="center" vertical="center" wrapText="1"/>
    </xf>
    <xf numFmtId="172" fontId="103" fillId="0" borderId="2" xfId="552" applyNumberFormat="1" applyFont="1" applyBorder="1" applyAlignment="1" applyProtection="1">
      <alignment horizontal="justify" vertical="center" wrapText="1"/>
    </xf>
    <xf numFmtId="168" fontId="103" fillId="0" borderId="2" xfId="552" applyNumberFormat="1" applyFont="1" applyBorder="1" applyAlignment="1" applyProtection="1">
      <alignment horizontal="center" wrapText="1"/>
    </xf>
    <xf numFmtId="0" fontId="104" fillId="0" borderId="0" xfId="1" applyFont="1" applyFill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ill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horizontal="right" vertical="center"/>
    </xf>
    <xf numFmtId="0" fontId="106" fillId="0" borderId="2" xfId="1" applyFont="1" applyFill="1" applyBorder="1" applyAlignment="1">
      <alignment horizontal="center" vertical="center" wrapText="1"/>
    </xf>
    <xf numFmtId="0" fontId="104" fillId="0" borderId="22" xfId="1" applyFont="1" applyFill="1" applyBorder="1" applyAlignment="1">
      <alignment horizontal="center" vertical="center" wrapText="1"/>
    </xf>
    <xf numFmtId="0" fontId="104" fillId="0" borderId="2" xfId="1" applyFont="1" applyFill="1" applyBorder="1" applyAlignment="1">
      <alignment horizontal="justify" vertical="center" wrapText="1"/>
    </xf>
    <xf numFmtId="0" fontId="104" fillId="0" borderId="2" xfId="1" applyFont="1" applyFill="1" applyBorder="1" applyAlignment="1">
      <alignment horizontal="center" vertical="center" wrapText="1"/>
    </xf>
    <xf numFmtId="0" fontId="106" fillId="0" borderId="22" xfId="1" applyFont="1" applyFill="1" applyBorder="1" applyAlignment="1">
      <alignment horizontal="center" vertical="center" wrapText="1"/>
    </xf>
    <xf numFmtId="0" fontId="106" fillId="0" borderId="2" xfId="1" applyFont="1" applyFill="1" applyBorder="1" applyAlignment="1">
      <alignment horizontal="justify" vertical="center" wrapText="1"/>
    </xf>
    <xf numFmtId="0" fontId="107" fillId="0" borderId="0" xfId="1" applyFont="1" applyFill="1"/>
    <xf numFmtId="0" fontId="104" fillId="0" borderId="0" xfId="1" applyFont="1" applyFill="1" applyAlignment="1">
      <alignment horizontal="justify"/>
    </xf>
    <xf numFmtId="0" fontId="57" fillId="0" borderId="0" xfId="1" applyFont="1" applyFill="1"/>
    <xf numFmtId="0" fontId="57" fillId="0" borderId="2" xfId="1" applyFont="1" applyFill="1" applyBorder="1" applyAlignment="1">
      <alignment horizontal="center" vertical="center" wrapText="1"/>
    </xf>
    <xf numFmtId="0" fontId="57" fillId="0" borderId="2" xfId="1" applyFont="1" applyFill="1" applyBorder="1" applyAlignment="1">
      <alignment horizontal="justify" vertical="center" wrapText="1"/>
    </xf>
    <xf numFmtId="0" fontId="57" fillId="0" borderId="0" xfId="1" applyFont="1" applyFill="1" applyAlignment="1"/>
    <xf numFmtId="0" fontId="63" fillId="0" borderId="0" xfId="1" applyFont="1" applyFill="1" applyAlignment="1">
      <alignment horizontal="center" vertical="center"/>
    </xf>
    <xf numFmtId="0" fontId="57" fillId="0" borderId="0" xfId="1" applyFont="1" applyFill="1" applyAlignment="1">
      <alignment horizontal="center" vertical="center"/>
    </xf>
    <xf numFmtId="0" fontId="57" fillId="0" borderId="2" xfId="1" applyFont="1" applyFill="1" applyBorder="1" applyAlignment="1">
      <alignment vertical="center" wrapText="1"/>
    </xf>
    <xf numFmtId="0" fontId="57" fillId="0" borderId="0" xfId="1" applyFont="1" applyFill="1" applyAlignment="1">
      <alignment horizontal="center"/>
    </xf>
    <xf numFmtId="0" fontId="57" fillId="0" borderId="0" xfId="1" applyFont="1" applyFill="1" applyAlignment="1">
      <alignment horizontal="justify"/>
    </xf>
    <xf numFmtId="0" fontId="2" fillId="0" borderId="0" xfId="1"/>
    <xf numFmtId="0" fontId="57" fillId="0" borderId="0" xfId="1" applyFont="1" applyAlignment="1"/>
    <xf numFmtId="0" fontId="57" fillId="0" borderId="0" xfId="1" applyFont="1" applyAlignment="1">
      <alignment horizontal="right"/>
    </xf>
    <xf numFmtId="0" fontId="87" fillId="0" borderId="0" xfId="1" applyFont="1" applyBorder="1" applyAlignment="1">
      <alignment horizontal="center" vertical="center" wrapText="1"/>
    </xf>
    <xf numFmtId="0" fontId="87" fillId="0" borderId="1" xfId="1" applyFont="1" applyBorder="1" applyAlignment="1">
      <alignment horizontal="center" vertical="center" wrapText="1"/>
    </xf>
    <xf numFmtId="0" fontId="88" fillId="0" borderId="0" xfId="1" applyFont="1" applyBorder="1" applyAlignment="1">
      <alignment horizontal="right" vertical="center" wrapText="1"/>
    </xf>
    <xf numFmtId="0" fontId="88" fillId="0" borderId="2" xfId="1" applyFont="1" applyBorder="1" applyAlignment="1">
      <alignment horizontal="center" vertical="center" wrapText="1"/>
    </xf>
    <xf numFmtId="0" fontId="88" fillId="0" borderId="2" xfId="1" applyFont="1" applyFill="1" applyBorder="1" applyAlignment="1">
      <alignment horizontal="center" vertical="center" wrapText="1"/>
    </xf>
    <xf numFmtId="49" fontId="88" fillId="0" borderId="2" xfId="1" applyNumberFormat="1" applyFont="1" applyBorder="1" applyAlignment="1">
      <alignment horizontal="left" vertical="center" wrapText="1"/>
    </xf>
    <xf numFmtId="0" fontId="88" fillId="0" borderId="2" xfId="1" applyFont="1" applyBorder="1" applyAlignment="1">
      <alignment horizontal="center" vertical="center"/>
    </xf>
    <xf numFmtId="168" fontId="88" fillId="2" borderId="2" xfId="1" applyNumberFormat="1" applyFont="1" applyFill="1" applyBorder="1" applyAlignment="1">
      <alignment horizontal="center" vertical="center"/>
    </xf>
    <xf numFmtId="0" fontId="100" fillId="0" borderId="2" xfId="0" applyFont="1" applyFill="1" applyBorder="1" applyAlignment="1">
      <alignment horizontal="center" vertical="center" wrapText="1"/>
    </xf>
    <xf numFmtId="0" fontId="88" fillId="2" borderId="2" xfId="1" applyFont="1" applyFill="1" applyBorder="1" applyAlignment="1">
      <alignment horizontal="center" vertical="center" wrapText="1"/>
    </xf>
    <xf numFmtId="0" fontId="88" fillId="2" borderId="2" xfId="1" applyFont="1" applyFill="1" applyBorder="1" applyAlignment="1">
      <alignment horizontal="left" vertical="center" wrapText="1"/>
    </xf>
    <xf numFmtId="0" fontId="88" fillId="2" borderId="2" xfId="1" applyFont="1" applyFill="1" applyBorder="1" applyAlignment="1">
      <alignment horizontal="center" vertical="center"/>
    </xf>
    <xf numFmtId="165" fontId="88" fillId="2" borderId="2" xfId="1" applyNumberFormat="1" applyFont="1" applyFill="1" applyBorder="1" applyAlignment="1">
      <alignment horizontal="center" vertical="center"/>
    </xf>
    <xf numFmtId="0" fontId="88" fillId="0" borderId="3" xfId="1" applyFont="1" applyBorder="1" applyAlignment="1">
      <alignment horizontal="center" vertical="center" wrapText="1"/>
    </xf>
    <xf numFmtId="0" fontId="100" fillId="0" borderId="2" xfId="0" applyFont="1" applyFill="1" applyBorder="1" applyAlignment="1">
      <alignment horizontal="center" vertical="center"/>
    </xf>
    <xf numFmtId="0" fontId="108" fillId="0" borderId="2" xfId="1" applyFont="1" applyBorder="1" applyAlignment="1">
      <alignment horizontal="center" vertical="center"/>
    </xf>
    <xf numFmtId="168" fontId="87" fillId="0" borderId="2" xfId="1" applyNumberFormat="1" applyFont="1" applyBorder="1" applyAlignment="1">
      <alignment horizontal="center" vertical="center"/>
    </xf>
    <xf numFmtId="165" fontId="87" fillId="2" borderId="2" xfId="1" applyNumberFormat="1" applyFont="1" applyFill="1" applyBorder="1" applyAlignment="1">
      <alignment horizontal="center" vertical="center"/>
    </xf>
    <xf numFmtId="0" fontId="88" fillId="0" borderId="2" xfId="1" applyFont="1" applyBorder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74" fillId="0" borderId="0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165" fontId="6" fillId="3" borderId="2" xfId="1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top" wrapText="1"/>
    </xf>
    <xf numFmtId="165" fontId="5" fillId="2" borderId="2" xfId="1" applyNumberFormat="1" applyFont="1" applyFill="1" applyBorder="1" applyAlignment="1">
      <alignment horizontal="center" vertical="top" wrapText="1"/>
    </xf>
    <xf numFmtId="165" fontId="3" fillId="0" borderId="2" xfId="1" applyNumberFormat="1" applyFont="1" applyFill="1" applyBorder="1" applyAlignment="1">
      <alignment horizontal="center" vertical="top" wrapText="1"/>
    </xf>
    <xf numFmtId="165" fontId="6" fillId="5" borderId="2" xfId="1" applyNumberFormat="1" applyFont="1" applyFill="1" applyBorder="1" applyAlignment="1">
      <alignment horizontal="center" vertical="top" wrapText="1"/>
    </xf>
    <xf numFmtId="168" fontId="58" fillId="0" borderId="0" xfId="0" applyNumberFormat="1" applyFont="1"/>
    <xf numFmtId="49" fontId="3" fillId="2" borderId="0" xfId="1" applyNumberFormat="1" applyFont="1" applyFill="1"/>
    <xf numFmtId="0" fontId="3" fillId="2" borderId="0" xfId="1" applyFont="1" applyFill="1" applyAlignment="1">
      <alignment horizontal="center"/>
    </xf>
    <xf numFmtId="0" fontId="2" fillId="2" borderId="0" xfId="1" applyFont="1" applyFill="1"/>
    <xf numFmtId="49" fontId="109" fillId="2" borderId="0" xfId="1" applyNumberFormat="1" applyFont="1" applyFill="1" applyAlignment="1">
      <alignment horizontal="right"/>
    </xf>
    <xf numFmtId="0" fontId="57" fillId="2" borderId="0" xfId="1" applyFont="1" applyFill="1" applyAlignment="1">
      <alignment horizontal="right" vertical="top"/>
    </xf>
    <xf numFmtId="0" fontId="57" fillId="2" borderId="2" xfId="1" applyFont="1" applyFill="1" applyBorder="1" applyAlignment="1">
      <alignment horizontal="center" vertical="top"/>
    </xf>
    <xf numFmtId="49" fontId="63" fillId="2" borderId="2" xfId="1" applyNumberFormat="1" applyFont="1" applyFill="1" applyBorder="1" applyAlignment="1">
      <alignment horizontal="left" vertical="top" wrapText="1"/>
    </xf>
    <xf numFmtId="0" fontId="63" fillId="2" borderId="2" xfId="1" applyFont="1" applyFill="1" applyBorder="1" applyAlignment="1">
      <alignment horizontal="left" vertical="top" wrapText="1"/>
    </xf>
    <xf numFmtId="169" fontId="63" fillId="2" borderId="2" xfId="1" applyNumberFormat="1" applyFont="1" applyFill="1" applyBorder="1" applyAlignment="1">
      <alignment horizontal="center" vertical="center" wrapText="1"/>
    </xf>
    <xf numFmtId="171" fontId="63" fillId="2" borderId="2" xfId="1" applyNumberFormat="1" applyFont="1" applyFill="1" applyBorder="1" applyAlignment="1">
      <alignment horizontal="center" vertical="center" wrapText="1"/>
    </xf>
    <xf numFmtId="168" fontId="63" fillId="2" borderId="2" xfId="1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/>
    <xf numFmtId="165" fontId="63" fillId="2" borderId="2" xfId="1" applyNumberFormat="1" applyFont="1" applyFill="1" applyBorder="1" applyAlignment="1">
      <alignment horizontal="center" vertical="center" wrapText="1"/>
    </xf>
    <xf numFmtId="168" fontId="63" fillId="6" borderId="2" xfId="1" applyNumberFormat="1" applyFont="1" applyFill="1" applyBorder="1" applyAlignment="1">
      <alignment horizontal="center" vertical="center" wrapText="1"/>
    </xf>
    <xf numFmtId="169" fontId="63" fillId="6" borderId="2" xfId="1" applyNumberFormat="1" applyFont="1" applyFill="1" applyBorder="1" applyAlignment="1">
      <alignment horizontal="center" vertical="center" wrapText="1"/>
    </xf>
    <xf numFmtId="171" fontId="63" fillId="6" borderId="2" xfId="1" applyNumberFormat="1" applyFont="1" applyFill="1" applyBorder="1" applyAlignment="1">
      <alignment horizontal="center" vertical="center" wrapText="1"/>
    </xf>
    <xf numFmtId="171" fontId="63" fillId="6" borderId="2" xfId="1" applyNumberFormat="1" applyFont="1" applyFill="1" applyBorder="1" applyAlignment="1">
      <alignment horizontal="center" vertical="top"/>
    </xf>
    <xf numFmtId="49" fontId="57" fillId="2" borderId="2" xfId="1" applyNumberFormat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left" vertical="top" wrapText="1"/>
    </xf>
    <xf numFmtId="168" fontId="57" fillId="0" borderId="2" xfId="1" applyNumberFormat="1" applyFont="1" applyFill="1" applyBorder="1" applyAlignment="1">
      <alignment horizontal="center" vertical="center" wrapText="1"/>
    </xf>
    <xf numFmtId="168" fontId="57" fillId="2" borderId="2" xfId="1" applyNumberFormat="1" applyFont="1" applyFill="1" applyBorder="1" applyAlignment="1">
      <alignment horizontal="center" vertical="center" wrapText="1"/>
    </xf>
    <xf numFmtId="169" fontId="57" fillId="2" borderId="2" xfId="1" applyNumberFormat="1" applyFont="1" applyFill="1" applyBorder="1" applyAlignment="1">
      <alignment horizontal="center" vertical="center" wrapText="1"/>
    </xf>
    <xf numFmtId="171" fontId="57" fillId="2" borderId="2" xfId="1" applyNumberFormat="1" applyFont="1" applyFill="1" applyBorder="1" applyAlignment="1">
      <alignment horizontal="center" vertical="center" wrapText="1"/>
    </xf>
    <xf numFmtId="49" fontId="57" fillId="2" borderId="2" xfId="1" applyNumberFormat="1" applyFont="1" applyFill="1" applyBorder="1" applyAlignment="1">
      <alignment horizontal="left" vertical="top" wrapText="1"/>
    </xf>
    <xf numFmtId="169" fontId="57" fillId="0" borderId="2" xfId="1" applyNumberFormat="1" applyFont="1" applyFill="1" applyBorder="1" applyAlignment="1">
      <alignment horizontal="center" vertical="center" wrapText="1"/>
    </xf>
    <xf numFmtId="9" fontId="2" fillId="2" borderId="0" xfId="1" applyNumberFormat="1" applyFont="1" applyFill="1"/>
    <xf numFmtId="9" fontId="2" fillId="2" borderId="0" xfId="1" applyNumberFormat="1" applyFont="1" applyFill="1" applyAlignment="1">
      <alignment horizontal="center" vertical="center"/>
    </xf>
    <xf numFmtId="0" fontId="57" fillId="2" borderId="2" xfId="1" applyFont="1" applyFill="1" applyBorder="1" applyAlignment="1">
      <alignment vertical="top" wrapText="1"/>
    </xf>
    <xf numFmtId="49" fontId="57" fillId="2" borderId="24" xfId="1" applyNumberFormat="1" applyFont="1" applyFill="1" applyBorder="1" applyAlignment="1">
      <alignment horizontal="left" vertical="top" wrapText="1"/>
    </xf>
    <xf numFmtId="171" fontId="63" fillId="6" borderId="2" xfId="1" applyNumberFormat="1" applyFont="1" applyFill="1" applyBorder="1" applyAlignment="1">
      <alignment horizontal="center" vertical="center"/>
    </xf>
    <xf numFmtId="0" fontId="57" fillId="2" borderId="2" xfId="1" applyFont="1" applyFill="1" applyBorder="1" applyAlignment="1">
      <alignment horizontal="center" vertical="center"/>
    </xf>
    <xf numFmtId="49" fontId="2" fillId="2" borderId="0" xfId="1" applyNumberFormat="1" applyFont="1" applyFill="1"/>
    <xf numFmtId="0" fontId="2" fillId="2" borderId="0" xfId="1" applyFont="1" applyFill="1" applyAlignment="1">
      <alignment horizontal="center"/>
    </xf>
    <xf numFmtId="0" fontId="57" fillId="2" borderId="0" xfId="1" applyFont="1" applyFill="1" applyAlignment="1">
      <alignment horizontal="center" vertical="top"/>
    </xf>
    <xf numFmtId="0" fontId="2" fillId="0" borderId="0" xfId="1" applyFont="1"/>
    <xf numFmtId="0" fontId="3" fillId="2" borderId="0" xfId="1" applyFont="1" applyFill="1" applyAlignment="1">
      <alignment horizontal="right"/>
    </xf>
    <xf numFmtId="0" fontId="57" fillId="0" borderId="34" xfId="1" applyFont="1" applyBorder="1"/>
    <xf numFmtId="0" fontId="57" fillId="0" borderId="0" xfId="1" applyFont="1" applyBorder="1"/>
    <xf numFmtId="0" fontId="109" fillId="0" borderId="40" xfId="1" applyFont="1" applyBorder="1" applyAlignment="1">
      <alignment horizontal="center" vertical="center" wrapText="1"/>
    </xf>
    <xf numFmtId="4" fontId="109" fillId="2" borderId="2" xfId="1" applyNumberFormat="1" applyFont="1" applyFill="1" applyBorder="1" applyAlignment="1">
      <alignment horizontal="center" vertical="center" wrapText="1"/>
    </xf>
    <xf numFmtId="14" fontId="109" fillId="2" borderId="2" xfId="1" applyNumberFormat="1" applyFont="1" applyFill="1" applyBorder="1" applyAlignment="1">
      <alignment horizontal="center" vertical="center" wrapText="1"/>
    </xf>
    <xf numFmtId="0" fontId="109" fillId="2" borderId="2" xfId="1" applyFont="1" applyFill="1" applyBorder="1" applyAlignment="1">
      <alignment horizontal="center" vertical="center" wrapText="1"/>
    </xf>
    <xf numFmtId="0" fontId="109" fillId="2" borderId="2" xfId="1" applyFont="1" applyFill="1" applyBorder="1" applyAlignment="1">
      <alignment horizontal="left" vertical="top" wrapText="1"/>
    </xf>
    <xf numFmtId="168" fontId="111" fillId="0" borderId="0" xfId="0" applyNumberFormat="1" applyFont="1" applyBorder="1" applyAlignment="1">
      <alignment horizontal="center" vertical="center"/>
    </xf>
    <xf numFmtId="0" fontId="74" fillId="0" borderId="0" xfId="0" applyFont="1" applyBorder="1" applyAlignment="1">
      <alignment vertical="center"/>
    </xf>
    <xf numFmtId="168" fontId="74" fillId="0" borderId="0" xfId="0" applyNumberFormat="1" applyFont="1" applyBorder="1" applyAlignment="1">
      <alignment horizontal="center" vertical="center" wrapText="1"/>
    </xf>
    <xf numFmtId="168" fontId="57" fillId="0" borderId="2" xfId="0" applyNumberFormat="1" applyFont="1" applyBorder="1" applyAlignment="1">
      <alignment horizontal="right" vertical="center" wrapText="1"/>
    </xf>
    <xf numFmtId="168" fontId="68" fillId="0" borderId="2" xfId="0" applyNumberFormat="1" applyFont="1" applyBorder="1" applyAlignment="1">
      <alignment horizontal="center" vertical="center"/>
    </xf>
    <xf numFmtId="49" fontId="3" fillId="0" borderId="0" xfId="1" applyNumberFormat="1" applyFont="1"/>
    <xf numFmtId="0" fontId="3" fillId="0" borderId="0" xfId="1" applyFont="1" applyAlignment="1">
      <alignment wrapText="1"/>
    </xf>
    <xf numFmtId="0" fontId="112" fillId="0" borderId="0" xfId="678" applyFont="1" applyBorder="1" applyAlignment="1">
      <alignment horizontal="center" wrapText="1"/>
    </xf>
    <xf numFmtId="49" fontId="112" fillId="0" borderId="0" xfId="678" applyNumberFormat="1" applyFont="1" applyBorder="1" applyAlignment="1">
      <alignment horizontal="center" wrapText="1"/>
    </xf>
    <xf numFmtId="0" fontId="57" fillId="0" borderId="0" xfId="678" applyFont="1" applyBorder="1"/>
    <xf numFmtId="0" fontId="63" fillId="0" borderId="0" xfId="678" applyFont="1" applyBorder="1" applyAlignment="1">
      <alignment horizontal="center" wrapText="1"/>
    </xf>
    <xf numFmtId="0" fontId="3" fillId="0" borderId="0" xfId="1" applyFont="1" applyBorder="1"/>
    <xf numFmtId="0" fontId="6" fillId="0" borderId="0" xfId="678" applyFont="1" applyBorder="1" applyAlignment="1">
      <alignment wrapText="1"/>
    </xf>
    <xf numFmtId="0" fontId="3" fillId="0" borderId="3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2" xfId="678" applyNumberFormat="1" applyFont="1" applyFill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/>
    </xf>
    <xf numFmtId="4" fontId="3" fillId="0" borderId="2" xfId="678" applyNumberFormat="1" applyFont="1" applyBorder="1" applyAlignment="1">
      <alignment horizontal="center" vertical="center" wrapText="1"/>
    </xf>
    <xf numFmtId="0" fontId="6" fillId="2" borderId="2" xfId="678" applyFont="1" applyFill="1" applyBorder="1" applyAlignment="1">
      <alignment horizontal="center" vertical="center" wrapText="1"/>
    </xf>
    <xf numFmtId="4" fontId="3" fillId="0" borderId="30" xfId="678" applyNumberFormat="1" applyFont="1" applyBorder="1" applyAlignment="1">
      <alignment horizontal="center" vertical="center" wrapText="1"/>
    </xf>
    <xf numFmtId="0" fontId="6" fillId="0" borderId="58" xfId="678" applyFont="1" applyBorder="1" applyAlignment="1">
      <alignment horizontal="center" wrapText="1"/>
    </xf>
    <xf numFmtId="49" fontId="6" fillId="0" borderId="58" xfId="678" applyNumberFormat="1" applyFont="1" applyBorder="1" applyAlignment="1">
      <alignment horizontal="center" wrapText="1"/>
    </xf>
    <xf numFmtId="0" fontId="57" fillId="0" borderId="58" xfId="678" applyFont="1" applyBorder="1" applyAlignment="1">
      <alignment horizontal="center"/>
    </xf>
    <xf numFmtId="0" fontId="63" fillId="0" borderId="58" xfId="678" applyFont="1" applyBorder="1" applyAlignment="1">
      <alignment horizontal="center" wrapText="1"/>
    </xf>
    <xf numFmtId="0" fontId="3" fillId="0" borderId="58" xfId="1" applyFont="1" applyBorder="1" applyAlignment="1">
      <alignment horizontal="center"/>
    </xf>
    <xf numFmtId="0" fontId="6" fillId="0" borderId="59" xfId="678" applyFont="1" applyBorder="1" applyAlignment="1">
      <alignment horizontal="center" wrapText="1"/>
    </xf>
    <xf numFmtId="49" fontId="3" fillId="0" borderId="0" xfId="1" applyNumberFormat="1" applyFont="1" applyAlignment="1">
      <alignment horizontal="center"/>
    </xf>
    <xf numFmtId="4" fontId="3" fillId="0" borderId="0" xfId="1" applyNumberFormat="1" applyFont="1"/>
    <xf numFmtId="2" fontId="3" fillId="0" borderId="0" xfId="1" applyNumberFormat="1" applyFont="1" applyAlignment="1">
      <alignment horizontal="center"/>
    </xf>
    <xf numFmtId="165" fontId="6" fillId="5" borderId="2" xfId="1" applyNumberFormat="1" applyFont="1" applyFill="1" applyBorder="1" applyAlignment="1">
      <alignment horizontal="center" vertical="center" wrapText="1"/>
    </xf>
    <xf numFmtId="165" fontId="59" fillId="5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72" fontId="3" fillId="0" borderId="2" xfId="1" applyNumberFormat="1" applyFont="1" applyBorder="1" applyAlignment="1" applyProtection="1">
      <alignment horizontal="left" vertical="center" wrapText="1"/>
    </xf>
    <xf numFmtId="0" fontId="113" fillId="0" borderId="2" xfId="1" applyFont="1" applyBorder="1" applyAlignment="1">
      <alignment horizontal="center" vertical="center" wrapText="1"/>
    </xf>
    <xf numFmtId="49" fontId="3" fillId="0" borderId="2" xfId="1" applyNumberFormat="1" applyFont="1" applyBorder="1" applyAlignment="1" applyProtection="1">
      <alignment horizontal="left" vertical="center" wrapText="1"/>
    </xf>
    <xf numFmtId="0" fontId="3" fillId="0" borderId="2" xfId="1" applyFont="1" applyBorder="1" applyAlignment="1">
      <alignment horizontal="center" vertical="top" wrapText="1"/>
    </xf>
    <xf numFmtId="0" fontId="57" fillId="0" borderId="0" xfId="1" applyFont="1"/>
    <xf numFmtId="0" fontId="2" fillId="0" borderId="0" xfId="1" applyAlignment="1">
      <alignment horizontal="center"/>
    </xf>
    <xf numFmtId="4" fontId="66" fillId="0" borderId="2" xfId="1" applyNumberFormat="1" applyFont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2" fillId="2" borderId="0" xfId="1" applyFill="1"/>
    <xf numFmtId="0" fontId="57" fillId="72" borderId="0" xfId="1" applyFont="1" applyFill="1" applyAlignment="1">
      <alignment horizontal="right"/>
    </xf>
    <xf numFmtId="0" fontId="3" fillId="72" borderId="2" xfId="1" applyFont="1" applyFill="1" applyBorder="1" applyAlignment="1">
      <alignment horizontal="center" vertical="top" wrapText="1"/>
    </xf>
    <xf numFmtId="49" fontId="6" fillId="5" borderId="21" xfId="1" applyNumberFormat="1" applyFont="1" applyFill="1" applyBorder="1" applyAlignment="1">
      <alignment horizontal="center" vertical="top" wrapText="1"/>
    </xf>
    <xf numFmtId="0" fontId="6" fillId="5" borderId="2" xfId="1" applyFont="1" applyFill="1" applyBorder="1" applyAlignment="1">
      <alignment horizontal="center" vertical="top" wrapText="1"/>
    </xf>
    <xf numFmtId="174" fontId="6" fillId="5" borderId="2" xfId="1" applyNumberFormat="1" applyFont="1" applyFill="1" applyBorder="1" applyAlignment="1">
      <alignment horizontal="center" vertical="top" wrapText="1"/>
    </xf>
    <xf numFmtId="171" fontId="6" fillId="5" borderId="2" xfId="1" applyNumberFormat="1" applyFont="1" applyFill="1" applyBorder="1" applyAlignment="1">
      <alignment horizontal="center" vertical="top" wrapText="1"/>
    </xf>
    <xf numFmtId="0" fontId="107" fillId="2" borderId="0" xfId="1" applyFont="1" applyFill="1"/>
    <xf numFmtId="49" fontId="6" fillId="67" borderId="21" xfId="1" applyNumberFormat="1" applyFont="1" applyFill="1" applyBorder="1" applyAlignment="1">
      <alignment horizontal="center" vertical="top" wrapText="1"/>
    </xf>
    <xf numFmtId="0" fontId="6" fillId="67" borderId="2" xfId="1" applyFont="1" applyFill="1" applyBorder="1" applyAlignment="1">
      <alignment horizontal="center" vertical="center" wrapText="1"/>
    </xf>
    <xf numFmtId="174" fontId="6" fillId="67" borderId="2" xfId="1" applyNumberFormat="1" applyFont="1" applyFill="1" applyBorder="1" applyAlignment="1">
      <alignment horizontal="center" vertical="center" wrapText="1"/>
    </xf>
    <xf numFmtId="171" fontId="114" fillId="67" borderId="2" xfId="1" applyNumberFormat="1" applyFont="1" applyFill="1" applyBorder="1" applyAlignment="1">
      <alignment horizontal="center" vertical="center" wrapText="1"/>
    </xf>
    <xf numFmtId="165" fontId="6" fillId="67" borderId="2" xfId="1" applyNumberFormat="1" applyFont="1" applyFill="1" applyBorder="1" applyAlignment="1">
      <alignment horizontal="center" vertical="center" wrapText="1"/>
    </xf>
    <xf numFmtId="49" fontId="3" fillId="72" borderId="21" xfId="1" applyNumberFormat="1" applyFont="1" applyFill="1" applyBorder="1" applyAlignment="1">
      <alignment horizontal="center" vertical="top" wrapText="1"/>
    </xf>
    <xf numFmtId="174" fontId="6" fillId="2" borderId="2" xfId="1" applyNumberFormat="1" applyFont="1" applyFill="1" applyBorder="1" applyAlignment="1">
      <alignment horizontal="center" vertical="center" wrapText="1"/>
    </xf>
    <xf numFmtId="171" fontId="114" fillId="2" borderId="2" xfId="1" applyNumberFormat="1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horizontal="center" vertical="center" wrapText="1"/>
    </xf>
    <xf numFmtId="174" fontId="6" fillId="5" borderId="2" xfId="1" applyNumberFormat="1" applyFont="1" applyFill="1" applyBorder="1" applyAlignment="1">
      <alignment horizontal="center" vertical="center" wrapText="1"/>
    </xf>
    <xf numFmtId="171" fontId="114" fillId="5" borderId="2" xfId="1" applyNumberFormat="1" applyFont="1" applyFill="1" applyBorder="1" applyAlignment="1">
      <alignment horizontal="center" vertical="center" wrapText="1"/>
    </xf>
    <xf numFmtId="49" fontId="6" fillId="67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vertical="center" wrapText="1"/>
    </xf>
    <xf numFmtId="171" fontId="101" fillId="2" borderId="2" xfId="1" applyNumberFormat="1" applyFont="1" applyFill="1" applyBorder="1" applyAlignment="1">
      <alignment horizontal="center" vertical="center" wrapText="1"/>
    </xf>
    <xf numFmtId="49" fontId="6" fillId="0" borderId="21" xfId="1" applyNumberFormat="1" applyFont="1" applyFill="1" applyBorder="1" applyAlignment="1">
      <alignment vertical="center" wrapText="1"/>
    </xf>
    <xf numFmtId="171" fontId="3" fillId="2" borderId="2" xfId="1" applyNumberFormat="1" applyFont="1" applyFill="1" applyBorder="1" applyAlignment="1">
      <alignment horizontal="center" vertical="center" wrapText="1"/>
    </xf>
    <xf numFmtId="171" fontId="6" fillId="5" borderId="2" xfId="1" applyNumberFormat="1" applyFont="1" applyFill="1" applyBorder="1" applyAlignment="1">
      <alignment horizontal="center" vertical="center" wrapText="1"/>
    </xf>
    <xf numFmtId="174" fontId="6" fillId="2" borderId="2" xfId="1" applyNumberFormat="1" applyFont="1" applyFill="1" applyBorder="1" applyAlignment="1">
      <alignment horizontal="center" vertical="center"/>
    </xf>
    <xf numFmtId="0" fontId="6" fillId="72" borderId="2" xfId="1" applyFont="1" applyFill="1" applyBorder="1" applyAlignment="1">
      <alignment horizontal="center" vertical="center" wrapText="1"/>
    </xf>
    <xf numFmtId="2" fontId="6" fillId="5" borderId="2" xfId="1" applyNumberFormat="1" applyFont="1" applyFill="1" applyBorder="1" applyAlignment="1">
      <alignment horizontal="center" vertical="center" wrapText="1"/>
    </xf>
    <xf numFmtId="0" fontId="115" fillId="67" borderId="2" xfId="1" applyFont="1" applyFill="1" applyBorder="1" applyAlignment="1">
      <alignment horizontal="center" vertical="center" wrapText="1"/>
    </xf>
    <xf numFmtId="165" fontId="2" fillId="2" borderId="0" xfId="1" applyNumberFormat="1" applyFill="1"/>
    <xf numFmtId="0" fontId="114" fillId="72" borderId="2" xfId="1" applyFont="1" applyFill="1" applyBorder="1" applyAlignment="1">
      <alignment horizontal="center" vertical="center" wrapText="1"/>
    </xf>
    <xf numFmtId="171" fontId="6" fillId="2" borderId="2" xfId="1" applyNumberFormat="1" applyFont="1" applyFill="1" applyBorder="1" applyAlignment="1">
      <alignment horizontal="center" vertical="center"/>
    </xf>
    <xf numFmtId="165" fontId="6" fillId="72" borderId="2" xfId="1" applyNumberFormat="1" applyFont="1" applyFill="1" applyBorder="1" applyAlignment="1">
      <alignment horizontal="center" vertical="center"/>
    </xf>
    <xf numFmtId="174" fontId="6" fillId="72" borderId="2" xfId="1" applyNumberFormat="1" applyFont="1" applyFill="1" applyBorder="1" applyAlignment="1">
      <alignment horizontal="center" vertical="center"/>
    </xf>
    <xf numFmtId="171" fontId="6" fillId="72" borderId="2" xfId="1" applyNumberFormat="1" applyFont="1" applyFill="1" applyBorder="1" applyAlignment="1">
      <alignment horizontal="center" vertical="center"/>
    </xf>
    <xf numFmtId="49" fontId="6" fillId="2" borderId="21" xfId="1" applyNumberFormat="1" applyFont="1" applyFill="1" applyBorder="1" applyAlignment="1">
      <alignment horizontal="center" vertical="top" wrapText="1"/>
    </xf>
    <xf numFmtId="0" fontId="115" fillId="2" borderId="0" xfId="1" applyFont="1" applyFill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101" fillId="0" borderId="2" xfId="1" applyFont="1" applyFill="1" applyBorder="1" applyAlignment="1">
      <alignment horizontal="center" vertical="center" wrapText="1"/>
    </xf>
    <xf numFmtId="49" fontId="6" fillId="5" borderId="2" xfId="1" applyNumberFormat="1" applyFont="1" applyFill="1" applyBorder="1" applyAlignment="1">
      <alignment vertical="center" wrapText="1"/>
    </xf>
    <xf numFmtId="0" fontId="50" fillId="73" borderId="0" xfId="675" applyFont="1" applyFill="1" applyAlignment="1">
      <alignment horizontal="left"/>
    </xf>
    <xf numFmtId="0" fontId="50" fillId="0" borderId="0" xfId="675" applyFont="1" applyAlignment="1">
      <alignment horizontal="left"/>
    </xf>
    <xf numFmtId="0" fontId="50" fillId="0" borderId="0" xfId="675"/>
    <xf numFmtId="0" fontId="50" fillId="0" borderId="0" xfId="675" applyAlignment="1">
      <alignment horizontal="left"/>
    </xf>
    <xf numFmtId="0" fontId="116" fillId="0" borderId="0" xfId="675" applyFont="1"/>
    <xf numFmtId="0" fontId="84" fillId="0" borderId="0" xfId="675" applyFont="1" applyAlignment="1">
      <alignment horizontal="left"/>
    </xf>
    <xf numFmtId="0" fontId="84" fillId="0" borderId="0" xfId="675" applyFont="1"/>
    <xf numFmtId="0" fontId="84" fillId="73" borderId="0" xfId="675" applyFont="1" applyFill="1" applyAlignment="1">
      <alignment horizontal="left"/>
    </xf>
    <xf numFmtId="0" fontId="84" fillId="0" borderId="0" xfId="675" applyFont="1" applyAlignment="1">
      <alignment horizontal="left" wrapText="1"/>
    </xf>
    <xf numFmtId="0" fontId="118" fillId="0" borderId="0" xfId="675" applyFont="1"/>
    <xf numFmtId="168" fontId="2" fillId="2" borderId="0" xfId="1" applyNumberFormat="1" applyFont="1" applyFill="1"/>
    <xf numFmtId="49" fontId="58" fillId="2" borderId="2" xfId="0" applyNumberFormat="1" applyFont="1" applyFill="1" applyBorder="1"/>
    <xf numFmtId="0" fontId="88" fillId="0" borderId="2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right"/>
    </xf>
    <xf numFmtId="0" fontId="71" fillId="2" borderId="0" xfId="673" applyFont="1" applyFill="1"/>
    <xf numFmtId="0" fontId="1" fillId="2" borderId="0" xfId="673" applyFill="1"/>
    <xf numFmtId="0" fontId="109" fillId="2" borderId="0" xfId="673" applyFont="1" applyFill="1" applyAlignment="1">
      <alignment horizontal="right"/>
    </xf>
    <xf numFmtId="0" fontId="57" fillId="2" borderId="0" xfId="673" applyFont="1" applyFill="1" applyAlignment="1">
      <alignment horizontal="center" wrapText="1"/>
    </xf>
    <xf numFmtId="0" fontId="57" fillId="2" borderId="2" xfId="673" applyFont="1" applyFill="1" applyBorder="1" applyAlignment="1">
      <alignment horizontal="center" vertical="top" wrapText="1"/>
    </xf>
    <xf numFmtId="0" fontId="3" fillId="2" borderId="2" xfId="673" applyFont="1" applyFill="1" applyBorder="1" applyAlignment="1">
      <alignment horizontal="center" vertical="top" wrapText="1"/>
    </xf>
    <xf numFmtId="1" fontId="3" fillId="2" borderId="2" xfId="673" applyNumberFormat="1" applyFont="1" applyFill="1" applyBorder="1" applyAlignment="1">
      <alignment horizontal="center" vertical="center" wrapText="1"/>
    </xf>
    <xf numFmtId="171" fontId="3" fillId="2" borderId="2" xfId="673" applyNumberFormat="1" applyFont="1" applyFill="1" applyBorder="1" applyAlignment="1">
      <alignment horizontal="left" vertical="center" wrapText="1"/>
    </xf>
    <xf numFmtId="171" fontId="3" fillId="2" borderId="2" xfId="673" applyNumberFormat="1" applyFont="1" applyFill="1" applyBorder="1" applyAlignment="1">
      <alignment horizontal="center" vertical="center" wrapText="1"/>
    </xf>
    <xf numFmtId="165" fontId="3" fillId="2" borderId="2" xfId="673" applyNumberFormat="1" applyFont="1" applyFill="1" applyBorder="1" applyAlignment="1">
      <alignment horizontal="center" vertical="center" wrapText="1"/>
    </xf>
    <xf numFmtId="171" fontId="6" fillId="2" borderId="2" xfId="673" applyNumberFormat="1" applyFont="1" applyFill="1" applyBorder="1" applyAlignment="1">
      <alignment horizontal="center" vertical="center" wrapText="1"/>
    </xf>
    <xf numFmtId="165" fontId="6" fillId="2" borderId="2" xfId="673" applyNumberFormat="1" applyFont="1" applyFill="1" applyBorder="1" applyAlignment="1">
      <alignment horizontal="center" vertical="center" wrapText="1"/>
    </xf>
    <xf numFmtId="1" fontId="6" fillId="2" borderId="2" xfId="673" applyNumberFormat="1" applyFont="1" applyFill="1" applyBorder="1" applyAlignment="1">
      <alignment horizontal="center" vertical="center" wrapText="1"/>
    </xf>
    <xf numFmtId="0" fontId="3" fillId="2" borderId="2" xfId="673" applyFont="1" applyFill="1" applyBorder="1" applyAlignment="1">
      <alignment horizontal="center" vertical="center" wrapText="1"/>
    </xf>
    <xf numFmtId="0" fontId="3" fillId="2" borderId="2" xfId="673" applyFont="1" applyFill="1" applyBorder="1" applyAlignment="1">
      <alignment vertical="center" wrapText="1"/>
    </xf>
    <xf numFmtId="0" fontId="71" fillId="0" borderId="0" xfId="669" applyFont="1"/>
    <xf numFmtId="0" fontId="119" fillId="0" borderId="0" xfId="669" applyFont="1"/>
    <xf numFmtId="165" fontId="110" fillId="0" borderId="2" xfId="669" applyNumberFormat="1" applyFont="1" applyBorder="1" applyAlignment="1">
      <alignment horizontal="center" vertical="center" wrapText="1"/>
    </xf>
    <xf numFmtId="165" fontId="57" fillId="0" borderId="2" xfId="669" applyNumberFormat="1" applyFont="1" applyBorder="1" applyAlignment="1">
      <alignment horizontal="center" vertical="center" wrapText="1"/>
    </xf>
    <xf numFmtId="165" fontId="73" fillId="0" borderId="2" xfId="1" applyNumberFormat="1" applyFont="1" applyBorder="1" applyAlignment="1">
      <alignment horizontal="center" vertical="center" wrapText="1"/>
    </xf>
    <xf numFmtId="0" fontId="57" fillId="0" borderId="2" xfId="1" applyFont="1" applyBorder="1" applyAlignment="1">
      <alignment vertical="top" wrapText="1"/>
    </xf>
    <xf numFmtId="0" fontId="88" fillId="0" borderId="2" xfId="1" applyFont="1" applyBorder="1" applyAlignment="1">
      <alignment vertical="top" wrapText="1"/>
    </xf>
    <xf numFmtId="0" fontId="109" fillId="0" borderId="2" xfId="669" applyFont="1" applyBorder="1" applyAlignment="1">
      <alignment horizontal="center" vertical="center" wrapText="1"/>
    </xf>
    <xf numFmtId="0" fontId="88" fillId="0" borderId="3" xfId="1" applyFont="1" applyBorder="1" applyAlignment="1">
      <alignment vertical="top" wrapText="1"/>
    </xf>
    <xf numFmtId="165" fontId="73" fillId="0" borderId="2" xfId="1" applyNumberFormat="1" applyFont="1" applyBorder="1" applyAlignment="1">
      <alignment horizontal="center" vertical="center"/>
    </xf>
    <xf numFmtId="0" fontId="121" fillId="0" borderId="3" xfId="1" applyFont="1" applyBorder="1" applyAlignment="1">
      <alignment vertical="top" wrapText="1"/>
    </xf>
    <xf numFmtId="0" fontId="109" fillId="0" borderId="2" xfId="669" applyFont="1" applyBorder="1" applyAlignment="1">
      <alignment horizontal="center" vertical="top" wrapText="1"/>
    </xf>
    <xf numFmtId="0" fontId="71" fillId="0" borderId="0" xfId="669" applyFont="1" applyAlignment="1">
      <alignment horizontal="right" wrapText="1"/>
    </xf>
    <xf numFmtId="0" fontId="119" fillId="0" borderId="0" xfId="669" applyFont="1" applyAlignment="1">
      <alignment horizontal="center" wrapText="1"/>
    </xf>
    <xf numFmtId="0" fontId="71" fillId="0" borderId="0" xfId="669" applyFont="1" applyAlignment="1">
      <alignment horizontal="right"/>
    </xf>
    <xf numFmtId="165" fontId="71" fillId="0" borderId="0" xfId="669" applyNumberFormat="1" applyFont="1"/>
    <xf numFmtId="0" fontId="109" fillId="0" borderId="3" xfId="669" applyFont="1" applyBorder="1" applyAlignment="1">
      <alignment horizontal="center" vertical="center" wrapText="1"/>
    </xf>
    <xf numFmtId="168" fontId="89" fillId="6" borderId="30" xfId="388" applyNumberFormat="1" applyFont="1" applyFill="1" applyBorder="1" applyAlignment="1">
      <alignment horizontal="center" vertical="center" wrapText="1"/>
    </xf>
    <xf numFmtId="168" fontId="96" fillId="67" borderId="30" xfId="388" applyNumberFormat="1" applyFont="1" applyFill="1" applyBorder="1" applyAlignment="1">
      <alignment horizontal="center" vertical="center" wrapText="1"/>
    </xf>
    <xf numFmtId="4" fontId="110" fillId="0" borderId="39" xfId="1" applyNumberFormat="1" applyFont="1" applyBorder="1" applyAlignment="1">
      <alignment horizontal="center" vertical="top" wrapText="1"/>
    </xf>
    <xf numFmtId="4" fontId="109" fillId="2" borderId="30" xfId="1" applyNumberFormat="1" applyFont="1" applyFill="1" applyBorder="1" applyAlignment="1">
      <alignment horizontal="center" vertical="center" wrapText="1"/>
    </xf>
    <xf numFmtId="14" fontId="109" fillId="2" borderId="58" xfId="1" applyNumberFormat="1" applyFont="1" applyFill="1" applyBorder="1" applyAlignment="1">
      <alignment horizontal="center" vertical="center" wrapText="1"/>
    </xf>
    <xf numFmtId="0" fontId="109" fillId="2" borderId="58" xfId="1" applyFont="1" applyFill="1" applyBorder="1" applyAlignment="1">
      <alignment horizontal="center" vertical="center" wrapText="1"/>
    </xf>
    <xf numFmtId="0" fontId="109" fillId="2" borderId="58" xfId="1" applyFont="1" applyFill="1" applyBorder="1" applyAlignment="1">
      <alignment horizontal="left" vertical="top" wrapText="1"/>
    </xf>
    <xf numFmtId="4" fontId="109" fillId="2" borderId="58" xfId="1" applyNumberFormat="1" applyFont="1" applyFill="1" applyBorder="1" applyAlignment="1">
      <alignment horizontal="center" vertical="center" wrapText="1"/>
    </xf>
    <xf numFmtId="4" fontId="109" fillId="2" borderId="59" xfId="1" applyNumberFormat="1" applyFont="1" applyFill="1" applyBorder="1" applyAlignment="1">
      <alignment horizontal="center" vertical="center" wrapText="1"/>
    </xf>
    <xf numFmtId="0" fontId="93" fillId="0" borderId="2" xfId="388" applyFont="1" applyBorder="1" applyAlignment="1">
      <alignment horizontal="center" vertical="center" wrapText="1"/>
    </xf>
    <xf numFmtId="0" fontId="87" fillId="0" borderId="0" xfId="388" applyFont="1" applyAlignment="1">
      <alignment horizontal="right"/>
    </xf>
    <xf numFmtId="0" fontId="88" fillId="2" borderId="0" xfId="1" applyFont="1" applyFill="1" applyAlignment="1">
      <alignment horizontal="right" vertical="center" wrapText="1"/>
    </xf>
    <xf numFmtId="0" fontId="85" fillId="0" borderId="0" xfId="388" applyNumberFormat="1" applyFont="1" applyFill="1" applyBorder="1" applyAlignment="1">
      <alignment horizontal="right" vertical="center"/>
    </xf>
    <xf numFmtId="0" fontId="89" fillId="0" borderId="0" xfId="388" applyNumberFormat="1" applyFont="1" applyFill="1" applyBorder="1" applyAlignment="1">
      <alignment horizontal="center" vertical="center" wrapText="1"/>
    </xf>
    <xf numFmtId="49" fontId="91" fillId="0" borderId="2" xfId="388" applyNumberFormat="1" applyFont="1" applyFill="1" applyBorder="1" applyAlignment="1">
      <alignment horizontal="center" vertical="center" wrapText="1"/>
    </xf>
    <xf numFmtId="0" fontId="92" fillId="0" borderId="21" xfId="388" applyFont="1" applyBorder="1" applyAlignment="1">
      <alignment horizontal="center" vertical="center" wrapText="1"/>
    </xf>
    <xf numFmtId="0" fontId="92" fillId="0" borderId="28" xfId="388" applyFont="1" applyBorder="1" applyAlignment="1">
      <alignment horizontal="center" vertical="center" wrapText="1"/>
    </xf>
    <xf numFmtId="0" fontId="92" fillId="0" borderId="22" xfId="388" applyFont="1" applyBorder="1" applyAlignment="1">
      <alignment horizontal="center" vertical="center" wrapText="1"/>
    </xf>
    <xf numFmtId="0" fontId="68" fillId="0" borderId="0" xfId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49" fontId="6" fillId="0" borderId="3" xfId="664" applyNumberFormat="1" applyFont="1" applyBorder="1" applyAlignment="1" applyProtection="1">
      <alignment horizontal="center" vertical="center" wrapText="1"/>
    </xf>
    <xf numFmtId="49" fontId="6" fillId="0" borderId="24" xfId="664" applyNumberFormat="1" applyFont="1" applyBorder="1" applyAlignment="1" applyProtection="1">
      <alignment horizontal="center" vertical="center" wrapText="1"/>
    </xf>
    <xf numFmtId="49" fontId="6" fillId="0" borderId="3" xfId="664" applyNumberFormat="1" applyFont="1" applyBorder="1" applyAlignment="1" applyProtection="1">
      <alignment horizontal="center"/>
    </xf>
    <xf numFmtId="49" fontId="6" fillId="0" borderId="24" xfId="664" applyNumberFormat="1" applyFont="1" applyBorder="1" applyAlignment="1" applyProtection="1">
      <alignment horizontal="center"/>
    </xf>
    <xf numFmtId="0" fontId="3" fillId="2" borderId="0" xfId="664" applyFont="1" applyFill="1" applyBorder="1" applyAlignment="1" applyProtection="1">
      <alignment horizontal="right"/>
    </xf>
    <xf numFmtId="0" fontId="3" fillId="2" borderId="0" xfId="664" applyFont="1" applyFill="1" applyBorder="1" applyAlignment="1" applyProtection="1">
      <alignment horizontal="right" vertical="top" wrapText="1"/>
    </xf>
    <xf numFmtId="0" fontId="63" fillId="0" borderId="0" xfId="664" applyFont="1" applyBorder="1" applyAlignment="1" applyProtection="1">
      <alignment horizontal="center" vertical="center" wrapText="1"/>
    </xf>
    <xf numFmtId="49" fontId="6" fillId="0" borderId="23" xfId="664" applyNumberFormat="1" applyFont="1" applyBorder="1" applyAlignment="1" applyProtection="1">
      <alignment horizontal="center" vertical="center" wrapText="1"/>
    </xf>
    <xf numFmtId="49" fontId="57" fillId="0" borderId="0" xfId="584" applyNumberFormat="1" applyFont="1" applyAlignment="1">
      <alignment horizontal="right"/>
    </xf>
    <xf numFmtId="0" fontId="57" fillId="0" borderId="0" xfId="584" applyFont="1" applyAlignment="1">
      <alignment horizontal="right"/>
    </xf>
    <xf numFmtId="0" fontId="87" fillId="0" borderId="0" xfId="584" applyFont="1" applyBorder="1" applyAlignment="1">
      <alignment horizontal="center" vertical="center" wrapText="1"/>
    </xf>
    <xf numFmtId="49" fontId="71" fillId="0" borderId="1" xfId="584" applyNumberFormat="1" applyFont="1" applyBorder="1" applyAlignment="1">
      <alignment horizontal="right"/>
    </xf>
    <xf numFmtId="172" fontId="91" fillId="0" borderId="21" xfId="552" applyNumberFormat="1" applyFont="1" applyBorder="1" applyAlignment="1" applyProtection="1">
      <alignment horizontal="center" vertical="center" wrapText="1"/>
    </xf>
    <xf numFmtId="172" fontId="91" fillId="0" borderId="22" xfId="552" applyNumberFormat="1" applyFont="1" applyBorder="1" applyAlignment="1" applyProtection="1">
      <alignment horizontal="center" vertical="center" wrapText="1"/>
    </xf>
    <xf numFmtId="172" fontId="91" fillId="0" borderId="2" xfId="552" applyNumberFormat="1" applyFont="1" applyBorder="1" applyAlignment="1" applyProtection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105" fillId="0" borderId="0" xfId="1" applyFont="1" applyFill="1" applyAlignment="1">
      <alignment horizontal="center" vertical="center"/>
    </xf>
    <xf numFmtId="0" fontId="105" fillId="0" borderId="0" xfId="1" applyFont="1" applyFill="1" applyAlignment="1">
      <alignment horizontal="center" vertical="center" wrapText="1"/>
    </xf>
    <xf numFmtId="0" fontId="104" fillId="0" borderId="1" xfId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horizontal="right" vertical="center"/>
    </xf>
    <xf numFmtId="0" fontId="57" fillId="0" borderId="0" xfId="1" applyFont="1" applyFill="1" applyBorder="1" applyAlignment="1">
      <alignment horizontal="right"/>
    </xf>
    <xf numFmtId="0" fontId="57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/>
    </xf>
    <xf numFmtId="0" fontId="63" fillId="0" borderId="0" xfId="1" applyFont="1" applyFill="1" applyAlignment="1">
      <alignment horizontal="center"/>
    </xf>
    <xf numFmtId="0" fontId="63" fillId="0" borderId="0" xfId="1" applyFont="1" applyFill="1" applyAlignment="1">
      <alignment horizontal="center" wrapText="1"/>
    </xf>
    <xf numFmtId="0" fontId="63" fillId="0" borderId="0" xfId="1" applyFont="1" applyFill="1" applyAlignment="1">
      <alignment horizontal="center" vertical="center" wrapText="1"/>
    </xf>
    <xf numFmtId="0" fontId="63" fillId="0" borderId="0" xfId="1" applyFont="1" applyFill="1" applyAlignment="1">
      <alignment horizontal="center" vertical="center"/>
    </xf>
    <xf numFmtId="0" fontId="87" fillId="0" borderId="3" xfId="1" applyFont="1" applyBorder="1" applyAlignment="1">
      <alignment horizontal="center" vertical="center"/>
    </xf>
    <xf numFmtId="0" fontId="87" fillId="0" borderId="24" xfId="1" applyFont="1" applyBorder="1" applyAlignment="1">
      <alignment horizontal="center" vertical="center"/>
    </xf>
    <xf numFmtId="0" fontId="57" fillId="2" borderId="0" xfId="1" applyFont="1" applyFill="1" applyAlignment="1">
      <alignment horizontal="right"/>
    </xf>
    <xf numFmtId="0" fontId="87" fillId="0" borderId="0" xfId="1" applyFont="1" applyBorder="1" applyAlignment="1">
      <alignment horizontal="center" vertical="center" wrapText="1"/>
    </xf>
    <xf numFmtId="0" fontId="88" fillId="0" borderId="21" xfId="1" applyFont="1" applyBorder="1" applyAlignment="1">
      <alignment horizontal="center" vertical="center" wrapText="1"/>
    </xf>
    <xf numFmtId="0" fontId="88" fillId="0" borderId="28" xfId="1" applyFont="1" applyBorder="1" applyAlignment="1">
      <alignment horizontal="center" vertical="center" wrapText="1"/>
    </xf>
    <xf numFmtId="0" fontId="88" fillId="0" borderId="22" xfId="1" applyFont="1" applyBorder="1" applyAlignment="1">
      <alignment horizontal="center" vertical="center" wrapText="1"/>
    </xf>
    <xf numFmtId="0" fontId="88" fillId="0" borderId="2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88" fillId="0" borderId="23" xfId="1" applyFont="1" applyBorder="1" applyAlignment="1">
      <alignment horizontal="center" vertical="center" wrapText="1"/>
    </xf>
    <xf numFmtId="0" fontId="88" fillId="0" borderId="26" xfId="1" applyFont="1" applyBorder="1" applyAlignment="1">
      <alignment horizontal="center" vertical="center" wrapText="1"/>
    </xf>
    <xf numFmtId="0" fontId="88" fillId="0" borderId="27" xfId="1" applyFont="1" applyBorder="1" applyAlignment="1">
      <alignment horizontal="center" vertical="center" wrapText="1"/>
    </xf>
    <xf numFmtId="0" fontId="63" fillId="2" borderId="0" xfId="1" applyFont="1" applyFill="1" applyAlignment="1">
      <alignment horizontal="center" wrapText="1"/>
    </xf>
    <xf numFmtId="0" fontId="109" fillId="2" borderId="0" xfId="1" applyFont="1" applyFill="1" applyAlignment="1">
      <alignment horizontal="right"/>
    </xf>
    <xf numFmtId="49" fontId="109" fillId="2" borderId="0" xfId="1" applyNumberFormat="1" applyFont="1" applyFill="1" applyAlignment="1">
      <alignment horizontal="right"/>
    </xf>
    <xf numFmtId="0" fontId="3" fillId="2" borderId="0" xfId="1" applyFont="1" applyFill="1" applyAlignment="1">
      <alignment horizontal="right"/>
    </xf>
    <xf numFmtId="0" fontId="63" fillId="2" borderId="0" xfId="1" applyFont="1" applyFill="1" applyAlignment="1">
      <alignment horizontal="center"/>
    </xf>
    <xf numFmtId="49" fontId="57" fillId="2" borderId="2" xfId="1" applyNumberFormat="1" applyFont="1" applyFill="1" applyBorder="1" applyAlignment="1">
      <alignment horizontal="center" vertical="top" wrapText="1"/>
    </xf>
    <xf numFmtId="0" fontId="57" fillId="2" borderId="2" xfId="1" applyFont="1" applyFill="1" applyBorder="1" applyAlignment="1">
      <alignment horizontal="center" vertical="top" wrapText="1"/>
    </xf>
    <xf numFmtId="0" fontId="57" fillId="2" borderId="21" xfId="1" applyFont="1" applyFill="1" applyBorder="1" applyAlignment="1">
      <alignment horizontal="center" vertical="top" wrapText="1"/>
    </xf>
    <xf numFmtId="0" fontId="57" fillId="2" borderId="22" xfId="1" applyFont="1" applyFill="1" applyBorder="1" applyAlignment="1">
      <alignment horizontal="center" vertical="top" wrapText="1"/>
    </xf>
    <xf numFmtId="0" fontId="63" fillId="6" borderId="2" xfId="1" applyFont="1" applyFill="1" applyBorder="1" applyAlignment="1">
      <alignment horizontal="left" vertical="top" wrapText="1"/>
    </xf>
    <xf numFmtId="0" fontId="63" fillId="6" borderId="3" xfId="1" applyFont="1" applyFill="1" applyBorder="1" applyAlignment="1">
      <alignment horizontal="left" vertical="top" wrapText="1"/>
    </xf>
    <xf numFmtId="0" fontId="63" fillId="6" borderId="23" xfId="1" applyFont="1" applyFill="1" applyBorder="1" applyAlignment="1">
      <alignment horizontal="left" vertical="top" wrapText="1"/>
    </xf>
    <xf numFmtId="0" fontId="63" fillId="6" borderId="24" xfId="1" applyFont="1" applyFill="1" applyBorder="1" applyAlignment="1">
      <alignment horizontal="left" vertical="top" wrapText="1"/>
    </xf>
    <xf numFmtId="49" fontId="63" fillId="6" borderId="3" xfId="1" applyNumberFormat="1" applyFont="1" applyFill="1" applyBorder="1" applyAlignment="1">
      <alignment horizontal="left" vertical="top" wrapText="1"/>
    </xf>
    <xf numFmtId="49" fontId="63" fillId="6" borderId="23" xfId="1" applyNumberFormat="1" applyFont="1" applyFill="1" applyBorder="1" applyAlignment="1">
      <alignment horizontal="left" vertical="top" wrapText="1"/>
    </xf>
    <xf numFmtId="49" fontId="63" fillId="6" borderId="24" xfId="1" applyNumberFormat="1" applyFont="1" applyFill="1" applyBorder="1" applyAlignment="1">
      <alignment horizontal="left" vertical="top" wrapText="1"/>
    </xf>
    <xf numFmtId="0" fontId="109" fillId="0" borderId="36" xfId="1" applyFont="1" applyBorder="1" applyAlignment="1">
      <alignment horizontal="center" vertical="top" wrapText="1"/>
    </xf>
    <xf numFmtId="0" fontId="109" fillId="0" borderId="39" xfId="1" applyFont="1" applyBorder="1" applyAlignment="1">
      <alignment horizontal="center" vertical="top" wrapText="1"/>
    </xf>
    <xf numFmtId="0" fontId="109" fillId="0" borderId="37" xfId="1" applyFont="1" applyBorder="1" applyAlignment="1">
      <alignment horizontal="center" vertical="top" wrapText="1"/>
    </xf>
    <xf numFmtId="0" fontId="109" fillId="0" borderId="38" xfId="1" applyFont="1" applyBorder="1" applyAlignment="1">
      <alignment horizontal="center" vertical="top" wrapText="1"/>
    </xf>
    <xf numFmtId="0" fontId="109" fillId="0" borderId="36" xfId="1" applyFont="1" applyBorder="1" applyAlignment="1">
      <alignment horizontal="center" vertical="center" wrapText="1"/>
    </xf>
    <xf numFmtId="0" fontId="109" fillId="0" borderId="39" xfId="1" applyFont="1" applyBorder="1" applyAlignment="1">
      <alignment horizontal="center" vertical="center" wrapText="1"/>
    </xf>
    <xf numFmtId="0" fontId="64" fillId="2" borderId="0" xfId="1" applyFont="1" applyFill="1" applyAlignment="1">
      <alignment horizontal="right" wrapText="1"/>
    </xf>
    <xf numFmtId="0" fontId="87" fillId="0" borderId="0" xfId="1" applyFont="1" applyAlignment="1">
      <alignment horizontal="center" vertical="center" wrapText="1"/>
    </xf>
    <xf numFmtId="0" fontId="57" fillId="0" borderId="0" xfId="1" applyFont="1" applyBorder="1" applyAlignment="1">
      <alignment horizontal="right"/>
    </xf>
    <xf numFmtId="0" fontId="57" fillId="0" borderId="35" xfId="1" applyFont="1" applyBorder="1" applyAlignment="1">
      <alignment horizontal="right"/>
    </xf>
    <xf numFmtId="0" fontId="110" fillId="0" borderId="41" xfId="1" applyFont="1" applyBorder="1" applyAlignment="1">
      <alignment horizontal="center" vertical="top" wrapText="1"/>
    </xf>
    <xf numFmtId="0" fontId="110" fillId="0" borderId="42" xfId="1" applyFont="1" applyBorder="1" applyAlignment="1">
      <alignment horizontal="center" vertical="top" wrapText="1"/>
    </xf>
    <xf numFmtId="0" fontId="110" fillId="0" borderId="43" xfId="1" applyFont="1" applyBorder="1" applyAlignment="1">
      <alignment horizontal="center" vertical="top" wrapText="1"/>
    </xf>
    <xf numFmtId="4" fontId="110" fillId="0" borderId="41" xfId="1" applyNumberFormat="1" applyFont="1" applyBorder="1" applyAlignment="1">
      <alignment horizontal="center" vertical="top" wrapText="1"/>
    </xf>
    <xf numFmtId="4" fontId="110" fillId="0" borderId="43" xfId="1" applyNumberFormat="1" applyFont="1" applyBorder="1" applyAlignment="1">
      <alignment horizontal="center" vertical="top" wrapText="1"/>
    </xf>
    <xf numFmtId="0" fontId="110" fillId="0" borderId="78" xfId="1" applyFont="1" applyBorder="1" applyAlignment="1">
      <alignment horizontal="center" vertical="top" wrapText="1"/>
    </xf>
    <xf numFmtId="0" fontId="110" fillId="0" borderId="79" xfId="1" applyFont="1" applyBorder="1" applyAlignment="1">
      <alignment horizontal="center" vertical="top" wrapText="1"/>
    </xf>
    <xf numFmtId="0" fontId="110" fillId="0" borderId="40" xfId="1" applyFont="1" applyBorder="1" applyAlignment="1">
      <alignment horizontal="center" vertical="top" wrapText="1"/>
    </xf>
    <xf numFmtId="0" fontId="110" fillId="0" borderId="37" xfId="1" applyFont="1" applyBorder="1" applyAlignment="1">
      <alignment horizontal="center" vertical="top" wrapText="1"/>
    </xf>
    <xf numFmtId="0" fontId="110" fillId="0" borderId="44" xfId="1" applyFont="1" applyBorder="1" applyAlignment="1">
      <alignment horizontal="center" vertical="top" wrapText="1"/>
    </xf>
    <xf numFmtId="0" fontId="110" fillId="0" borderId="38" xfId="1" applyFont="1" applyBorder="1" applyAlignment="1">
      <alignment horizontal="center" vertical="top" wrapText="1"/>
    </xf>
    <xf numFmtId="4" fontId="110" fillId="0" borderId="37" xfId="1" applyNumberFormat="1" applyFont="1" applyBorder="1" applyAlignment="1">
      <alignment horizontal="center" vertical="top" wrapText="1"/>
    </xf>
    <xf numFmtId="4" fontId="110" fillId="0" borderId="38" xfId="1" applyNumberFormat="1" applyFont="1" applyBorder="1" applyAlignment="1">
      <alignment horizontal="center" vertical="top" wrapText="1"/>
    </xf>
    <xf numFmtId="0" fontId="109" fillId="0" borderId="32" xfId="1" applyFont="1" applyBorder="1" applyAlignment="1">
      <alignment horizontal="center" vertical="center" wrapText="1"/>
    </xf>
    <xf numFmtId="0" fontId="109" fillId="0" borderId="80" xfId="1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0" borderId="0" xfId="663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0" fontId="63" fillId="0" borderId="25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74" fillId="0" borderId="0" xfId="0" applyFont="1" applyBorder="1" applyAlignment="1">
      <alignment horizontal="left" vertical="center" wrapText="1"/>
    </xf>
    <xf numFmtId="0" fontId="74" fillId="0" borderId="0" xfId="0" applyFont="1" applyBorder="1" applyAlignment="1">
      <alignment horizontal="center" vertical="center" wrapText="1"/>
    </xf>
    <xf numFmtId="0" fontId="57" fillId="0" borderId="0" xfId="0" applyFont="1" applyAlignment="1">
      <alignment horizontal="right"/>
    </xf>
    <xf numFmtId="0" fontId="68" fillId="0" borderId="0" xfId="0" applyFont="1" applyAlignment="1">
      <alignment horizontal="left"/>
    </xf>
    <xf numFmtId="0" fontId="57" fillId="0" borderId="0" xfId="0" applyFont="1" applyAlignment="1">
      <alignment horizontal="right" wrapText="1"/>
    </xf>
    <xf numFmtId="0" fontId="68" fillId="0" borderId="0" xfId="0" applyFont="1" applyAlignment="1">
      <alignment horizontal="right"/>
    </xf>
    <xf numFmtId="0" fontId="6" fillId="0" borderId="56" xfId="678" applyFont="1" applyBorder="1" applyAlignment="1">
      <alignment horizontal="center" wrapText="1"/>
    </xf>
    <xf numFmtId="0" fontId="6" fillId="0" borderId="57" xfId="678" applyFont="1" applyBorder="1" applyAlignment="1">
      <alignment horizontal="center" wrapText="1"/>
    </xf>
    <xf numFmtId="0" fontId="113" fillId="2" borderId="21" xfId="1" applyFont="1" applyFill="1" applyBorder="1" applyAlignment="1">
      <alignment horizontal="center" vertical="center" wrapText="1"/>
    </xf>
    <xf numFmtId="0" fontId="0" fillId="2" borderId="22" xfId="0" applyFill="1" applyBorder="1"/>
    <xf numFmtId="0" fontId="113" fillId="2" borderId="22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0" fillId="2" borderId="28" xfId="0" applyFill="1" applyBorder="1"/>
    <xf numFmtId="0" fontId="3" fillId="2" borderId="51" xfId="1" applyFont="1" applyFill="1" applyBorder="1" applyAlignment="1">
      <alignment horizontal="center" vertical="center" wrapText="1"/>
    </xf>
    <xf numFmtId="0" fontId="0" fillId="2" borderId="53" xfId="0" applyFill="1" applyBorder="1"/>
    <xf numFmtId="0" fontId="0" fillId="2" borderId="55" xfId="0" applyFill="1" applyBorder="1"/>
    <xf numFmtId="0" fontId="3" fillId="0" borderId="2" xfId="1" applyFont="1" applyBorder="1" applyAlignment="1">
      <alignment horizontal="center" vertical="center" wrapText="1"/>
    </xf>
    <xf numFmtId="0" fontId="113" fillId="2" borderId="46" xfId="1" applyFont="1" applyFill="1" applyBorder="1" applyAlignment="1">
      <alignment horizontal="center" vertical="center" wrapText="1"/>
    </xf>
    <xf numFmtId="0" fontId="113" fillId="2" borderId="28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63" fillId="0" borderId="0" xfId="678" applyFont="1" applyBorder="1" applyAlignment="1">
      <alignment horizontal="center"/>
    </xf>
    <xf numFmtId="0" fontId="112" fillId="0" borderId="0" xfId="678" applyFont="1" applyBorder="1" applyAlignment="1">
      <alignment horizont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 wrapText="1"/>
    </xf>
    <xf numFmtId="0" fontId="3" fillId="0" borderId="54" xfId="1" applyFont="1" applyBorder="1" applyAlignment="1">
      <alignment horizontal="center" vertical="center" wrapText="1"/>
    </xf>
    <xf numFmtId="0" fontId="3" fillId="0" borderId="46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47" xfId="1" applyFont="1" applyBorder="1" applyAlignment="1">
      <alignment horizontal="center" vertical="center" wrapText="1"/>
    </xf>
    <xf numFmtId="0" fontId="0" fillId="2" borderId="49" xfId="0" applyFill="1" applyBorder="1"/>
    <xf numFmtId="0" fontId="63" fillId="0" borderId="0" xfId="678" applyFont="1" applyBorder="1" applyAlignment="1">
      <alignment horizontal="center" wrapText="1"/>
    </xf>
    <xf numFmtId="0" fontId="59" fillId="5" borderId="2" xfId="1" applyFont="1" applyFill="1" applyBorder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57" fillId="0" borderId="2" xfId="1" applyFont="1" applyBorder="1" applyAlignment="1">
      <alignment horizontal="center" vertical="top" wrapText="1"/>
    </xf>
    <xf numFmtId="0" fontId="57" fillId="0" borderId="3" xfId="1" applyFont="1" applyBorder="1" applyAlignment="1">
      <alignment horizontal="center" vertical="top" wrapText="1"/>
    </xf>
    <xf numFmtId="0" fontId="57" fillId="0" borderId="23" xfId="1" applyFont="1" applyBorder="1" applyAlignment="1">
      <alignment horizontal="center" vertical="top" wrapText="1"/>
    </xf>
    <xf numFmtId="0" fontId="57" fillId="0" borderId="24" xfId="1" applyFont="1" applyBorder="1" applyAlignment="1">
      <alignment horizontal="center" vertical="top" wrapText="1"/>
    </xf>
    <xf numFmtId="0" fontId="57" fillId="72" borderId="0" xfId="1" applyFont="1" applyFill="1" applyBorder="1" applyAlignment="1">
      <alignment horizontal="right"/>
    </xf>
    <xf numFmtId="0" fontId="57" fillId="72" borderId="2" xfId="1" applyFont="1" applyFill="1" applyBorder="1" applyAlignment="1">
      <alignment horizontal="center" vertical="top" wrapText="1"/>
    </xf>
    <xf numFmtId="0" fontId="87" fillId="72" borderId="0" xfId="1" applyFont="1" applyFill="1" applyAlignment="1">
      <alignment horizontal="center"/>
    </xf>
    <xf numFmtId="0" fontId="3" fillId="72" borderId="0" xfId="1" applyFont="1" applyFill="1" applyAlignment="1">
      <alignment horizontal="right"/>
    </xf>
    <xf numFmtId="0" fontId="3" fillId="0" borderId="0" xfId="675" applyFont="1" applyAlignment="1">
      <alignment horizontal="right"/>
    </xf>
    <xf numFmtId="4" fontId="118" fillId="73" borderId="62" xfId="675" applyNumberFormat="1" applyFont="1" applyFill="1" applyBorder="1" applyAlignment="1">
      <alignment horizontal="right" wrapText="1"/>
    </xf>
    <xf numFmtId="4" fontId="118" fillId="73" borderId="71" xfId="675" applyNumberFormat="1" applyFont="1" applyFill="1" applyBorder="1" applyAlignment="1">
      <alignment horizontal="right" wrapText="1"/>
    </xf>
    <xf numFmtId="4" fontId="118" fillId="73" borderId="74" xfId="675" applyNumberFormat="1" applyFont="1" applyFill="1" applyBorder="1" applyAlignment="1">
      <alignment horizontal="right" wrapText="1"/>
    </xf>
    <xf numFmtId="4" fontId="118" fillId="73" borderId="62" xfId="675" applyNumberFormat="1" applyFont="1" applyFill="1" applyBorder="1" applyAlignment="1">
      <alignment horizontal="right"/>
    </xf>
    <xf numFmtId="4" fontId="118" fillId="73" borderId="71" xfId="675" applyNumberFormat="1" applyFont="1" applyFill="1" applyBorder="1" applyAlignment="1">
      <alignment horizontal="right"/>
    </xf>
    <xf numFmtId="4" fontId="118" fillId="73" borderId="74" xfId="675" applyNumberFormat="1" applyFont="1" applyFill="1" applyBorder="1" applyAlignment="1">
      <alignment horizontal="right"/>
    </xf>
    <xf numFmtId="4" fontId="84" fillId="73" borderId="65" xfId="675" applyNumberFormat="1" applyFont="1" applyFill="1" applyBorder="1" applyAlignment="1">
      <alignment horizontal="right" wrapText="1"/>
    </xf>
    <xf numFmtId="175" fontId="84" fillId="73" borderId="65" xfId="675" applyNumberFormat="1" applyFont="1" applyFill="1" applyBorder="1" applyAlignment="1">
      <alignment horizontal="right" wrapText="1"/>
    </xf>
    <xf numFmtId="0" fontId="84" fillId="73" borderId="0" xfId="675" applyFont="1" applyFill="1" applyAlignment="1">
      <alignment horizontal="left"/>
    </xf>
    <xf numFmtId="0" fontId="118" fillId="73" borderId="72" xfId="675" applyFont="1" applyFill="1" applyBorder="1" applyAlignment="1">
      <alignment horizontal="left" wrapText="1"/>
    </xf>
    <xf numFmtId="0" fontId="118" fillId="73" borderId="73" xfId="675" applyFont="1" applyFill="1" applyBorder="1" applyAlignment="1">
      <alignment horizontal="left" wrapText="1"/>
    </xf>
    <xf numFmtId="4" fontId="118" fillId="76" borderId="69" xfId="675" applyNumberFormat="1" applyFont="1" applyFill="1" applyBorder="1" applyAlignment="1">
      <alignment horizontal="right" vertical="top"/>
    </xf>
    <xf numFmtId="0" fontId="118" fillId="73" borderId="76" xfId="675" applyFont="1" applyFill="1" applyBorder="1" applyAlignment="1">
      <alignment horizontal="right"/>
    </xf>
    <xf numFmtId="4" fontId="118" fillId="76" borderId="77" xfId="675" applyNumberFormat="1" applyFont="1" applyFill="1" applyBorder="1" applyAlignment="1">
      <alignment horizontal="right" vertical="top"/>
    </xf>
    <xf numFmtId="0" fontId="118" fillId="73" borderId="72" xfId="675" applyFont="1" applyFill="1" applyBorder="1" applyAlignment="1">
      <alignment horizontal="left"/>
    </xf>
    <xf numFmtId="0" fontId="118" fillId="73" borderId="75" xfId="675" applyFont="1" applyFill="1" applyBorder="1" applyAlignment="1">
      <alignment horizontal="left"/>
    </xf>
    <xf numFmtId="0" fontId="84" fillId="73" borderId="72" xfId="675" applyFont="1" applyFill="1" applyBorder="1" applyAlignment="1">
      <alignment horizontal="left"/>
    </xf>
    <xf numFmtId="0" fontId="118" fillId="73" borderId="73" xfId="675" applyFont="1" applyFill="1" applyBorder="1" applyAlignment="1">
      <alignment horizontal="left"/>
    </xf>
    <xf numFmtId="2" fontId="84" fillId="73" borderId="65" xfId="675" applyNumberFormat="1" applyFont="1" applyFill="1" applyBorder="1" applyAlignment="1">
      <alignment horizontal="right" wrapText="1"/>
    </xf>
    <xf numFmtId="0" fontId="84" fillId="73" borderId="2" xfId="675" applyFont="1" applyFill="1" applyBorder="1" applyAlignment="1">
      <alignment horizontal="left" wrapText="1"/>
    </xf>
    <xf numFmtId="0" fontId="84" fillId="73" borderId="74" xfId="675" applyFont="1" applyFill="1" applyBorder="1" applyAlignment="1">
      <alignment horizontal="center" wrapText="1"/>
    </xf>
    <xf numFmtId="0" fontId="84" fillId="73" borderId="2" xfId="675" applyFont="1" applyFill="1" applyBorder="1" applyAlignment="1">
      <alignment horizontal="left" vertical="center" wrapText="1"/>
    </xf>
    <xf numFmtId="0" fontId="84" fillId="73" borderId="2" xfId="675" applyFont="1" applyFill="1" applyBorder="1" applyAlignment="1">
      <alignment horizontal="left" vertical="top" wrapText="1"/>
    </xf>
    <xf numFmtId="0" fontId="84" fillId="74" borderId="70" xfId="675" applyFont="1" applyFill="1" applyBorder="1" applyAlignment="1">
      <alignment horizontal="center" vertical="center"/>
    </xf>
    <xf numFmtId="0" fontId="84" fillId="74" borderId="69" xfId="675" applyFont="1" applyFill="1" applyBorder="1" applyAlignment="1">
      <alignment horizontal="center" vertical="center"/>
    </xf>
    <xf numFmtId="0" fontId="84" fillId="74" borderId="65" xfId="675" applyFont="1" applyFill="1" applyBorder="1" applyAlignment="1">
      <alignment horizontal="center" vertical="center" wrapText="1"/>
    </xf>
    <xf numFmtId="0" fontId="84" fillId="74" borderId="61" xfId="675" applyFont="1" applyFill="1" applyBorder="1" applyAlignment="1">
      <alignment horizontal="center" vertical="center"/>
    </xf>
    <xf numFmtId="0" fontId="84" fillId="74" borderId="66" xfId="675" applyFont="1" applyFill="1" applyBorder="1" applyAlignment="1">
      <alignment horizontal="center" vertical="center"/>
    </xf>
    <xf numFmtId="0" fontId="84" fillId="74" borderId="67" xfId="675" applyFont="1" applyFill="1" applyBorder="1" applyAlignment="1">
      <alignment horizontal="center" vertical="center"/>
    </xf>
    <xf numFmtId="0" fontId="84" fillId="74" borderId="68" xfId="675" applyFont="1" applyFill="1" applyBorder="1" applyAlignment="1">
      <alignment horizontal="center" vertical="center"/>
    </xf>
    <xf numFmtId="0" fontId="59" fillId="73" borderId="67" xfId="675" applyFont="1" applyFill="1" applyBorder="1" applyAlignment="1">
      <alignment horizontal="center"/>
    </xf>
    <xf numFmtId="0" fontId="84" fillId="74" borderId="61" xfId="675" applyFont="1" applyFill="1" applyBorder="1" applyAlignment="1">
      <alignment horizontal="center" vertical="center" wrapText="1"/>
    </xf>
    <xf numFmtId="0" fontId="84" fillId="74" borderId="63" xfId="675" applyFont="1" applyFill="1" applyBorder="1" applyAlignment="1">
      <alignment horizontal="center" vertical="center" wrapText="1"/>
    </xf>
    <xf numFmtId="0" fontId="84" fillId="74" borderId="0" xfId="675" applyFont="1" applyFill="1" applyAlignment="1">
      <alignment horizontal="center" vertical="center" wrapText="1"/>
    </xf>
    <xf numFmtId="0" fontId="84" fillId="74" borderId="64" xfId="675" applyFont="1" applyFill="1" applyBorder="1" applyAlignment="1">
      <alignment horizontal="center" vertical="center" wrapText="1"/>
    </xf>
    <xf numFmtId="0" fontId="84" fillId="74" borderId="66" xfId="675" applyFont="1" applyFill="1" applyBorder="1" applyAlignment="1">
      <alignment horizontal="center" vertical="center" wrapText="1"/>
    </xf>
    <xf numFmtId="0" fontId="84" fillId="74" borderId="67" xfId="675" applyFont="1" applyFill="1" applyBorder="1" applyAlignment="1">
      <alignment horizontal="center" vertical="center" wrapText="1"/>
    </xf>
    <xf numFmtId="0" fontId="84" fillId="74" borderId="68" xfId="675" applyFont="1" applyFill="1" applyBorder="1" applyAlignment="1">
      <alignment horizontal="center" vertical="center" wrapText="1"/>
    </xf>
    <xf numFmtId="0" fontId="84" fillId="74" borderId="62" xfId="675" applyFont="1" applyFill="1" applyBorder="1" applyAlignment="1">
      <alignment horizontal="center" vertical="center"/>
    </xf>
    <xf numFmtId="0" fontId="84" fillId="74" borderId="65" xfId="675" applyFont="1" applyFill="1" applyBorder="1" applyAlignment="1">
      <alignment horizontal="center" vertical="center"/>
    </xf>
    <xf numFmtId="0" fontId="50" fillId="73" borderId="0" xfId="675" applyFill="1" applyAlignment="1">
      <alignment horizontal="left"/>
    </xf>
    <xf numFmtId="4" fontId="116" fillId="76" borderId="63" xfId="675" applyNumberFormat="1" applyFont="1" applyFill="1" applyBorder="1" applyAlignment="1">
      <alignment horizontal="left" vertical="top"/>
    </xf>
    <xf numFmtId="4" fontId="116" fillId="76" borderId="0" xfId="675" applyNumberFormat="1" applyFont="1" applyFill="1" applyBorder="1" applyAlignment="1">
      <alignment horizontal="left" vertical="top"/>
    </xf>
    <xf numFmtId="4" fontId="116" fillId="76" borderId="64" xfId="675" applyNumberFormat="1" applyFont="1" applyFill="1" applyBorder="1" applyAlignment="1">
      <alignment horizontal="left" vertical="top"/>
    </xf>
    <xf numFmtId="175" fontId="116" fillId="76" borderId="69" xfId="675" applyNumberFormat="1" applyFont="1" applyFill="1" applyBorder="1" applyAlignment="1">
      <alignment horizontal="right" vertical="top"/>
    </xf>
    <xf numFmtId="4" fontId="116" fillId="76" borderId="69" xfId="675" applyNumberFormat="1" applyFont="1" applyFill="1" applyBorder="1" applyAlignment="1">
      <alignment horizontal="right" vertical="top"/>
    </xf>
    <xf numFmtId="0" fontId="116" fillId="73" borderId="76" xfId="675" applyFont="1" applyFill="1" applyBorder="1" applyAlignment="1">
      <alignment horizontal="right"/>
    </xf>
    <xf numFmtId="4" fontId="116" fillId="76" borderId="77" xfId="675" applyNumberFormat="1" applyFont="1" applyFill="1" applyBorder="1" applyAlignment="1">
      <alignment horizontal="right" vertical="top"/>
    </xf>
    <xf numFmtId="175" fontId="50" fillId="73" borderId="65" xfId="675" applyNumberFormat="1" applyFill="1" applyBorder="1" applyAlignment="1">
      <alignment horizontal="right"/>
    </xf>
    <xf numFmtId="0" fontId="50" fillId="73" borderId="2" xfId="675" applyFill="1" applyBorder="1" applyAlignment="1">
      <alignment horizontal="left" wrapText="1"/>
    </xf>
    <xf numFmtId="0" fontId="50" fillId="73" borderId="74" xfId="675" applyFill="1" applyBorder="1" applyAlignment="1">
      <alignment horizontal="center"/>
    </xf>
    <xf numFmtId="4" fontId="50" fillId="73" borderId="65" xfId="675" applyNumberFormat="1" applyFill="1" applyBorder="1" applyAlignment="1">
      <alignment horizontal="right"/>
    </xf>
    <xf numFmtId="2" fontId="50" fillId="73" borderId="65" xfId="675" applyNumberFormat="1" applyFill="1" applyBorder="1" applyAlignment="1">
      <alignment horizontal="right"/>
    </xf>
    <xf numFmtId="4" fontId="116" fillId="76" borderId="65" xfId="675" applyNumberFormat="1" applyFont="1" applyFill="1" applyBorder="1" applyAlignment="1">
      <alignment horizontal="right" vertical="top"/>
    </xf>
    <xf numFmtId="0" fontId="50" fillId="74" borderId="70" xfId="675" applyFont="1" applyFill="1" applyBorder="1" applyAlignment="1">
      <alignment horizontal="center" vertical="center"/>
    </xf>
    <xf numFmtId="0" fontId="50" fillId="74" borderId="69" xfId="675" applyFont="1" applyFill="1" applyBorder="1" applyAlignment="1">
      <alignment horizontal="center" vertical="center"/>
    </xf>
    <xf numFmtId="0" fontId="50" fillId="75" borderId="70" xfId="675" applyFont="1" applyFill="1" applyBorder="1" applyAlignment="1">
      <alignment horizontal="center" vertical="center"/>
    </xf>
    <xf numFmtId="0" fontId="50" fillId="73" borderId="0" xfId="675" applyFont="1" applyFill="1" applyAlignment="1">
      <alignment horizontal="left"/>
    </xf>
    <xf numFmtId="0" fontId="50" fillId="73" borderId="60" xfId="675" applyFont="1" applyFill="1" applyBorder="1" applyAlignment="1">
      <alignment horizontal="center"/>
    </xf>
    <xf numFmtId="0" fontId="50" fillId="74" borderId="65" xfId="675" applyFont="1" applyFill="1" applyBorder="1" applyAlignment="1">
      <alignment horizontal="center" vertical="center" wrapText="1"/>
    </xf>
    <xf numFmtId="0" fontId="50" fillId="74" borderId="61" xfId="675" applyFont="1" applyFill="1" applyBorder="1" applyAlignment="1">
      <alignment horizontal="center" vertical="center"/>
    </xf>
    <xf numFmtId="0" fontId="50" fillId="74" borderId="66" xfId="675" applyFont="1" applyFill="1" applyBorder="1" applyAlignment="1">
      <alignment horizontal="center" vertical="center"/>
    </xf>
    <xf numFmtId="0" fontId="50" fillId="74" borderId="67" xfId="675" applyFont="1" applyFill="1" applyBorder="1" applyAlignment="1">
      <alignment horizontal="center" vertical="center"/>
    </xf>
    <xf numFmtId="0" fontId="50" fillId="74" borderId="68" xfId="675" applyFont="1" applyFill="1" applyBorder="1" applyAlignment="1">
      <alignment horizontal="center" vertical="center"/>
    </xf>
    <xf numFmtId="0" fontId="117" fillId="73" borderId="67" xfId="675" applyFont="1" applyFill="1" applyBorder="1" applyAlignment="1">
      <alignment horizontal="center"/>
    </xf>
    <xf numFmtId="0" fontId="50" fillId="74" borderId="61" xfId="675" applyFont="1" applyFill="1" applyBorder="1" applyAlignment="1">
      <alignment horizontal="center" vertical="center" wrapText="1"/>
    </xf>
    <xf numFmtId="0" fontId="50" fillId="74" borderId="63" xfId="675" applyFont="1" applyFill="1" applyBorder="1" applyAlignment="1">
      <alignment horizontal="center" vertical="center" wrapText="1"/>
    </xf>
    <xf numFmtId="0" fontId="50" fillId="74" borderId="0" xfId="675" applyFont="1" applyFill="1" applyAlignment="1">
      <alignment horizontal="center" vertical="center" wrapText="1"/>
    </xf>
    <xf numFmtId="0" fontId="50" fillId="74" borderId="66" xfId="675" applyFont="1" applyFill="1" applyBorder="1" applyAlignment="1">
      <alignment horizontal="center" vertical="center" wrapText="1"/>
    </xf>
    <xf numFmtId="0" fontId="50" fillId="74" borderId="67" xfId="675" applyFont="1" applyFill="1" applyBorder="1" applyAlignment="1">
      <alignment horizontal="center" vertical="center" wrapText="1"/>
    </xf>
    <xf numFmtId="0" fontId="50" fillId="74" borderId="62" xfId="675" applyFont="1" applyFill="1" applyBorder="1" applyAlignment="1">
      <alignment horizontal="center" vertical="center"/>
    </xf>
    <xf numFmtId="0" fontId="50" fillId="74" borderId="65" xfId="675" applyFont="1" applyFill="1" applyBorder="1" applyAlignment="1">
      <alignment horizontal="center" vertical="center"/>
    </xf>
    <xf numFmtId="0" fontId="50" fillId="75" borderId="61" xfId="675" applyFont="1" applyFill="1" applyBorder="1" applyAlignment="1">
      <alignment horizontal="center" vertical="center" wrapText="1"/>
    </xf>
    <xf numFmtId="0" fontId="50" fillId="75" borderId="66" xfId="675" applyFont="1" applyFill="1" applyBorder="1" applyAlignment="1">
      <alignment horizontal="center" vertical="center" wrapText="1"/>
    </xf>
    <xf numFmtId="0" fontId="50" fillId="75" borderId="67" xfId="675" applyFont="1" applyFill="1" applyBorder="1" applyAlignment="1">
      <alignment horizontal="center" vertical="center" wrapText="1"/>
    </xf>
    <xf numFmtId="0" fontId="50" fillId="75" borderId="68" xfId="675" applyFont="1" applyFill="1" applyBorder="1" applyAlignment="1">
      <alignment horizontal="center" vertical="center" wrapText="1"/>
    </xf>
    <xf numFmtId="171" fontId="6" fillId="2" borderId="3" xfId="673" applyNumberFormat="1" applyFont="1" applyFill="1" applyBorder="1" applyAlignment="1">
      <alignment horizontal="center" vertical="center" wrapText="1"/>
    </xf>
    <xf numFmtId="171" fontId="6" fillId="2" borderId="24" xfId="673" applyNumberFormat="1" applyFont="1" applyFill="1" applyBorder="1" applyAlignment="1">
      <alignment horizontal="center" vertical="center" wrapText="1"/>
    </xf>
    <xf numFmtId="0" fontId="71" fillId="2" borderId="0" xfId="673" applyFont="1" applyFill="1" applyAlignment="1">
      <alignment horizontal="right" wrapText="1"/>
    </xf>
    <xf numFmtId="0" fontId="109" fillId="2" borderId="0" xfId="673" applyFont="1" applyFill="1" applyAlignment="1">
      <alignment horizontal="right"/>
    </xf>
    <xf numFmtId="0" fontId="87" fillId="2" borderId="0" xfId="673" applyFont="1" applyFill="1" applyAlignment="1">
      <alignment horizontal="center"/>
    </xf>
    <xf numFmtId="0" fontId="87" fillId="2" borderId="0" xfId="673" applyFont="1" applyFill="1" applyAlignment="1">
      <alignment horizontal="center" wrapText="1"/>
    </xf>
    <xf numFmtId="0" fontId="109" fillId="2" borderId="0" xfId="673" applyFont="1" applyFill="1" applyBorder="1" applyAlignment="1">
      <alignment horizontal="right"/>
    </xf>
    <xf numFmtId="0" fontId="57" fillId="2" borderId="2" xfId="673" applyFont="1" applyFill="1" applyBorder="1" applyAlignment="1">
      <alignment horizontal="center" vertical="top" wrapText="1"/>
    </xf>
    <xf numFmtId="0" fontId="6" fillId="2" borderId="2" xfId="673" applyFont="1" applyFill="1" applyBorder="1" applyAlignment="1">
      <alignment horizontal="center" vertical="center" wrapText="1"/>
    </xf>
    <xf numFmtId="0" fontId="6" fillId="2" borderId="3" xfId="673" applyFont="1" applyFill="1" applyBorder="1" applyAlignment="1">
      <alignment horizontal="center" vertical="center" wrapText="1"/>
    </xf>
    <xf numFmtId="0" fontId="6" fillId="2" borderId="23" xfId="673" applyFont="1" applyFill="1" applyBorder="1" applyAlignment="1">
      <alignment horizontal="center" vertical="center" wrapText="1"/>
    </xf>
    <xf numFmtId="0" fontId="6" fillId="2" borderId="24" xfId="673" applyFont="1" applyFill="1" applyBorder="1" applyAlignment="1">
      <alignment horizontal="center" vertical="center" wrapText="1"/>
    </xf>
    <xf numFmtId="171" fontId="6" fillId="2" borderId="23" xfId="673" applyNumberFormat="1" applyFont="1" applyFill="1" applyBorder="1" applyAlignment="1">
      <alignment horizontal="center" vertical="center" wrapText="1"/>
    </xf>
    <xf numFmtId="0" fontId="120" fillId="0" borderId="3" xfId="669" applyFont="1" applyFill="1" applyBorder="1" applyAlignment="1">
      <alignment horizontal="center" vertical="center" wrapText="1"/>
    </xf>
    <xf numFmtId="0" fontId="120" fillId="0" borderId="23" xfId="669" applyFont="1" applyFill="1" applyBorder="1" applyAlignment="1">
      <alignment horizontal="center" vertical="center" wrapText="1"/>
    </xf>
    <xf numFmtId="0" fontId="120" fillId="0" borderId="24" xfId="669" applyFont="1" applyFill="1" applyBorder="1" applyAlignment="1">
      <alignment horizontal="center" vertical="center" wrapText="1"/>
    </xf>
    <xf numFmtId="0" fontId="71" fillId="0" borderId="0" xfId="669" applyFont="1" applyAlignment="1">
      <alignment horizontal="right"/>
    </xf>
    <xf numFmtId="0" fontId="119" fillId="0" borderId="0" xfId="669" applyFont="1" applyAlignment="1">
      <alignment horizontal="center"/>
    </xf>
    <xf numFmtId="0" fontId="119" fillId="0" borderId="0" xfId="669" applyFont="1" applyAlignment="1">
      <alignment horizontal="center" vertical="center" wrapText="1"/>
    </xf>
  </cellXfs>
  <cellStyles count="67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 3" xfId="665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3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" xfId="666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19 6" xfId="66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2 5" xfId="668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2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2 5" xfId="669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0 6" xfId="670"/>
    <cellStyle name="Обычный 20 6 2" xfId="671"/>
    <cellStyle name="Обычный 20 7" xfId="672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1 6" xfId="673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663"/>
    <cellStyle name="Обычный 30" xfId="561"/>
    <cellStyle name="Обычный 30 2" xfId="562"/>
    <cellStyle name="Обычный 31" xfId="563"/>
    <cellStyle name="Обычный 32" xfId="564"/>
    <cellStyle name="Обычный 33" xfId="674"/>
    <cellStyle name="Обычный 34" xfId="675"/>
    <cellStyle name="Обычный 4" xfId="565"/>
    <cellStyle name="Обычный 4 2" xfId="566"/>
    <cellStyle name="Обычный 4 3" xfId="567"/>
    <cellStyle name="Обычный 4 3 2" xfId="568"/>
    <cellStyle name="Обычный 4 3 2 2" xfId="569"/>
    <cellStyle name="Обычный 4 3 2 2 2" xfId="570"/>
    <cellStyle name="Обычный 4 3 2 2 2 2" xfId="571"/>
    <cellStyle name="Обычный 4 3 2 2 2 2 2" xfId="572"/>
    <cellStyle name="Обычный 4 3 2 2 2 2 2 2" xfId="573"/>
    <cellStyle name="Обычный 4 3 2 2 2 2 3" xfId="574"/>
    <cellStyle name="Обычный 4 3 2 2 2 3" xfId="575"/>
    <cellStyle name="Обычный 4 3 2 2 2 3 2" xfId="576"/>
    <cellStyle name="Обычный 4 3 2 2 2 4" xfId="577"/>
    <cellStyle name="Обычный 4 3 2 2 3" xfId="578"/>
    <cellStyle name="Обычный 4 3 2 2 3 2" xfId="579"/>
    <cellStyle name="Обычный 4 3 2 2 3 2 2" xfId="580"/>
    <cellStyle name="Обычный 4 3 2 2 3 3" xfId="581"/>
    <cellStyle name="Обычный 4 3 2 2 4" xfId="582"/>
    <cellStyle name="Обычный 4 3 2 2 4 2" xfId="583"/>
    <cellStyle name="Обычный 4 3 2 2 5" xfId="584"/>
    <cellStyle name="Обычный 4 3 2 2 5 2" xfId="585"/>
    <cellStyle name="Обычный 4 3 2 2 6" xfId="586"/>
    <cellStyle name="Обычный 4 3 2 3" xfId="587"/>
    <cellStyle name="Обычный 4 3 2 3 2" xfId="588"/>
    <cellStyle name="Обычный 4 3 2 3 2 2" xfId="589"/>
    <cellStyle name="Обычный 4 3 2 3 2 2 2" xfId="590"/>
    <cellStyle name="Обычный 4 3 2 3 2 3" xfId="591"/>
    <cellStyle name="Обычный 4 3 2 3 3" xfId="592"/>
    <cellStyle name="Обычный 4 3 2 3 3 2" xfId="593"/>
    <cellStyle name="Обычный 4 3 2 3 4" xfId="594"/>
    <cellStyle name="Обычный 4 3 2 4" xfId="595"/>
    <cellStyle name="Обычный 4 3 2 4 2" xfId="596"/>
    <cellStyle name="Обычный 4 3 2 4 2 2" xfId="597"/>
    <cellStyle name="Обычный 4 3 2 4 3" xfId="598"/>
    <cellStyle name="Обычный 4 3 2 5" xfId="599"/>
    <cellStyle name="Обычный 4 3 2 5 2" xfId="600"/>
    <cellStyle name="Обычный 4 3 2 6" xfId="601"/>
    <cellStyle name="Обычный 4 3 3" xfId="602"/>
    <cellStyle name="Обычный 4 3 3 2" xfId="603"/>
    <cellStyle name="Обычный 4 3 3 2 2" xfId="604"/>
    <cellStyle name="Обычный 4 3 3 2 2 2" xfId="605"/>
    <cellStyle name="Обычный 4 3 3 2 3" xfId="606"/>
    <cellStyle name="Обычный 4 3 3 3" xfId="607"/>
    <cellStyle name="Обычный 4 3 3 3 2" xfId="608"/>
    <cellStyle name="Обычный 4 3 3 4" xfId="609"/>
    <cellStyle name="Обычный 4 3 4" xfId="610"/>
    <cellStyle name="Обычный 4 3 4 2" xfId="611"/>
    <cellStyle name="Обычный 4 3 4 2 2" xfId="612"/>
    <cellStyle name="Обычный 4 3 4 3" xfId="613"/>
    <cellStyle name="Обычный 4 3 5" xfId="614"/>
    <cellStyle name="Обычный 4 3 5 2" xfId="615"/>
    <cellStyle name="Обычный 4 3 6" xfId="616"/>
    <cellStyle name="Обычный 5" xfId="617"/>
    <cellStyle name="Обычный 5 2" xfId="618"/>
    <cellStyle name="Обычный 5 3" xfId="676"/>
    <cellStyle name="Обычный 6" xfId="619"/>
    <cellStyle name="Обычный 7" xfId="620"/>
    <cellStyle name="Обычный 7 2" xfId="621"/>
    <cellStyle name="Обычный 7 2 2" xfId="622"/>
    <cellStyle name="Обычный 7 2 2 2" xfId="623"/>
    <cellStyle name="Обычный 7 2 2 2 2" xfId="624"/>
    <cellStyle name="Обычный 7 2 2 2 2 2" xfId="625"/>
    <cellStyle name="Обычный 7 2 2 2 3" xfId="626"/>
    <cellStyle name="Обычный 7 2 2 3" xfId="627"/>
    <cellStyle name="Обычный 7 2 2 3 2" xfId="628"/>
    <cellStyle name="Обычный 7 2 2 4" xfId="629"/>
    <cellStyle name="Обычный 7 2 3" xfId="630"/>
    <cellStyle name="Обычный 7 2 3 2" xfId="631"/>
    <cellStyle name="Обычный 7 2 3 2 2" xfId="632"/>
    <cellStyle name="Обычный 7 2 3 3" xfId="633"/>
    <cellStyle name="Обычный 7 2 4" xfId="634"/>
    <cellStyle name="Обычный 7 2 4 2" xfId="635"/>
    <cellStyle name="Обычный 7 2 5" xfId="636"/>
    <cellStyle name="Обычный 7 3" xfId="637"/>
    <cellStyle name="Обычный 8" xfId="638"/>
    <cellStyle name="Обычный 8 2" xfId="639"/>
    <cellStyle name="Обычный 9" xfId="640"/>
    <cellStyle name="Обычный 9 2" xfId="641"/>
    <cellStyle name="Обычный_Лист2 2" xfId="664"/>
    <cellStyle name="Обычный_приложения ОФПСиИ по год отчету за 2008 год 2" xfId="678"/>
    <cellStyle name="Плохой 2" xfId="642"/>
    <cellStyle name="Пояснение 2" xfId="643"/>
    <cellStyle name="Примечание 2" xfId="644"/>
    <cellStyle name="Процентный 2" xfId="645"/>
    <cellStyle name="Процентный 2 2" xfId="646"/>
    <cellStyle name="Процентный 3" xfId="647"/>
    <cellStyle name="Процентный 3 2" xfId="648"/>
    <cellStyle name="Процентный 3 3" xfId="649"/>
    <cellStyle name="Процентный 4" xfId="650"/>
    <cellStyle name="Процентный 5" xfId="651"/>
    <cellStyle name="Процентный 6" xfId="652"/>
    <cellStyle name="Связанная ячейка 2" xfId="653"/>
    <cellStyle name="Стиль 1" xfId="654"/>
    <cellStyle name="Текст предупреждения 2" xfId="655"/>
    <cellStyle name="Финансовый 2" xfId="656"/>
    <cellStyle name="Финансовый 3" xfId="657"/>
    <cellStyle name="Финансовый 4" xfId="658"/>
    <cellStyle name="Финансовый 5" xfId="659"/>
    <cellStyle name="Финансовый 5 2" xfId="660"/>
    <cellStyle name="Финансовый 6" xfId="661"/>
    <cellStyle name="Финансовый 7" xfId="677"/>
    <cellStyle name="Хороший 2" xfId="6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AppData/Roaming/Microsoft/Excel/&#1055;&#1088;&#1080;&#1083;&#1086;&#1078;&#1077;&#1085;&#1080;&#1103;_2021_&#1091;&#1090;&#1086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3;&#1080;&#1085;&#1072;/Desktop/&#1054;&#1057;&#1053;&#1054;&#1042;&#1053;&#1054;&#1045;/&#1043;&#1086;&#1076;&#1086;&#1074;&#1086;&#1081;%20&#1086;&#1090;&#1095;&#1077;&#1090;%20&#1079;&#1072;%202020%20&#1075;&#1086;&#1076;/&#1043;&#1054;&#1044;&#1054;&#1042;&#1054;&#1049;%20&#1054;&#1058;&#1063;&#1045;&#1058;_2020_&#1042;%20&#1044;&#1059;&#1052;&#1059;/&#1074;%20&#1050;&#1057;&#1055;/&#1055;&#1088;&#1080;&#1083;&#1086;&#1078;&#1077;&#1085;&#1080;&#1103;%20(2020%20&#1075;&#1086;&#1076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80;&#1085;&#1072;&#1085;&#1089;&#1086;&#1074;&#1086;&#1077;%20&#1091;&#1087;&#1088;&#1072;&#1074;&#1083;&#1077;&#1085;&#1080;&#1077;/&#1041;&#1102;&#1076;&#1078;&#1077;&#1090;%20&#1085;&#1072;%202024-2026%20&#1075;&#1086;&#1076;&#1099;/&#1087;&#1088;&#1077;&#1076;&#1083;&#1086;&#1078;&#1077;&#1085;&#1080;&#1103;%20&#1074;%20&#1088;&#1072;&#1073;&#1086;&#1095;&#1091;&#1102;%20&#1075;&#1088;&#1091;&#1087;&#1087;&#1091;%20&#1082;&#1086;%20&#1074;&#1090;&#1086;&#1088;&#1086;&#1084;&#1091;%20&#1095;&#1090;&#1077;&#1085;&#1080;&#1102;/&#1055;&#1088;&#1080;&#1083;&#1086;&#1078;&#1077;&#1085;&#1080;&#1077;%204%20&#1082;&#1086;%202%20&#1095;&#1090;&#1077;&#1085;&#1080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оходы"/>
      <sheetName val="2. Расходы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  <sheetName val="Выполнение МП"/>
      <sheetName val="Исполнение по ГП"/>
      <sheetName val="Содержание ОМСУ"/>
      <sheetName val="Доходы от использ. имущества"/>
      <sheetName val="Доходы от продажи имущества"/>
      <sheetName val="Дорожный фонд "/>
      <sheetName val="Бюджетные инвестиции"/>
      <sheetName val="Резервный фонд"/>
      <sheetName val="Дебиторская"/>
      <sheetName val="Кредиторская"/>
      <sheetName val="инвест.проекты"/>
    </sheetNames>
    <sheetDataSet>
      <sheetData sheetId="0" refreshError="1"/>
      <sheetData sheetId="1">
        <row r="16">
          <cell r="G16">
            <v>1776.6</v>
          </cell>
        </row>
        <row r="922">
          <cell r="H922">
            <v>0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>
        <row r="10">
          <cell r="E10">
            <v>63348.3</v>
          </cell>
        </row>
      </sheetData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Доходы"/>
      <sheetName val="2.Расходы по вед.структуре"/>
      <sheetName val="3.Расходы по РзПр"/>
      <sheetName val="4.Приложение по источникам"/>
      <sheetName val="5. Размер и структура мун.долга"/>
      <sheetName val="6. Программа мун.заим."/>
      <sheetName val="7. Программа мун.гарантий"/>
      <sheetName val="справочно по Ц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 t="str">
            <v>Муниципальная программа "Совершенствование муниципального управления в Юсьвинском муниципальном округе Пермского края"</v>
          </cell>
        </row>
        <row r="525">
          <cell r="C525" t="str">
    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приложений"/>
      <sheetName val="Приложение к ПЗ"/>
      <sheetName val="Приложение 1"/>
      <sheetName val="Приложение 2"/>
      <sheetName val="Приложение 3"/>
      <sheetName val="Приложение 5"/>
      <sheetName val="Приложение 6"/>
      <sheetName val="Приложение 7"/>
      <sheetName val="Справочно 1"/>
      <sheetName val="Справочно 3"/>
    </sheetNames>
    <sheetDataSet>
      <sheetData sheetId="0" refreshError="1"/>
      <sheetData sheetId="1" refreshError="1"/>
      <sheetData sheetId="2" refreshError="1"/>
      <sheetData sheetId="3">
        <row r="218">
          <cell r="F218">
            <v>39572.673840000003</v>
          </cell>
        </row>
        <row r="219">
          <cell r="F219">
            <v>2082.7723099999998</v>
          </cell>
        </row>
        <row r="220">
          <cell r="F220">
            <v>209.32384999999999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91"/>
  <sheetViews>
    <sheetView view="pageBreakPreview" topLeftCell="B1" zoomScale="60" workbookViewId="0">
      <selection activeCell="G12" sqref="G12"/>
    </sheetView>
  </sheetViews>
  <sheetFormatPr defaultRowHeight="15" x14ac:dyDescent="0.25"/>
  <cols>
    <col min="1" max="1" width="30.85546875" style="296" customWidth="1"/>
    <col min="2" max="2" width="92.28515625" style="296" customWidth="1"/>
    <col min="3" max="3" width="21.85546875" style="403" customWidth="1"/>
    <col min="4" max="4" width="21.42578125" style="403" customWidth="1"/>
    <col min="5" max="5" width="22.7109375" style="403" customWidth="1"/>
    <col min="6" max="6" width="17.42578125" style="406" customWidth="1"/>
    <col min="7" max="7" width="19" customWidth="1"/>
    <col min="8" max="8" width="18.140625" customWidth="1"/>
    <col min="9" max="9" width="11.28515625" customWidth="1"/>
  </cols>
  <sheetData>
    <row r="1" spans="1:8" ht="18.75" x14ac:dyDescent="0.3">
      <c r="A1" s="292"/>
      <c r="B1" s="293"/>
      <c r="C1" s="294" t="s">
        <v>887</v>
      </c>
      <c r="D1" s="670" t="s">
        <v>452</v>
      </c>
      <c r="E1" s="670"/>
      <c r="F1" s="670"/>
    </row>
    <row r="2" spans="1:8" ht="18.75" customHeight="1" x14ac:dyDescent="0.25">
      <c r="A2" s="671" t="s">
        <v>863</v>
      </c>
      <c r="B2" s="671"/>
      <c r="C2" s="671"/>
      <c r="D2" s="671"/>
      <c r="E2" s="671"/>
      <c r="F2" s="671"/>
    </row>
    <row r="3" spans="1:8" ht="18.75" customHeight="1" x14ac:dyDescent="0.25">
      <c r="A3" s="672" t="s">
        <v>888</v>
      </c>
      <c r="B3" s="672"/>
      <c r="C3" s="672"/>
      <c r="D3" s="672"/>
      <c r="E3" s="672"/>
      <c r="F3" s="672"/>
    </row>
    <row r="4" spans="1:8" ht="18.75" customHeight="1" x14ac:dyDescent="0.25">
      <c r="A4" s="292"/>
      <c r="B4" s="292"/>
      <c r="C4" s="292"/>
      <c r="D4" s="672" t="s">
        <v>889</v>
      </c>
      <c r="E4" s="672"/>
      <c r="F4" s="672"/>
    </row>
    <row r="5" spans="1:8" ht="32.25" customHeight="1" x14ac:dyDescent="0.25">
      <c r="A5" s="673" t="s">
        <v>890</v>
      </c>
      <c r="B5" s="673"/>
      <c r="C5" s="673"/>
      <c r="D5" s="673"/>
      <c r="E5" s="673"/>
      <c r="F5" s="673"/>
      <c r="G5" s="295"/>
      <c r="H5" s="295"/>
    </row>
    <row r="6" spans="1:8" ht="15.75" x14ac:dyDescent="0.25">
      <c r="C6" s="296"/>
      <c r="D6" s="296"/>
      <c r="E6" s="297"/>
      <c r="F6" s="298" t="s">
        <v>891</v>
      </c>
      <c r="G6" s="299"/>
      <c r="H6" s="164"/>
    </row>
    <row r="7" spans="1:8" ht="37.5" customHeight="1" x14ac:dyDescent="0.25">
      <c r="A7" s="674" t="s">
        <v>892</v>
      </c>
      <c r="B7" s="674" t="s">
        <v>893</v>
      </c>
      <c r="C7" s="675" t="s">
        <v>828</v>
      </c>
      <c r="D7" s="675" t="s">
        <v>829</v>
      </c>
      <c r="E7" s="669" t="s">
        <v>830</v>
      </c>
      <c r="F7" s="669" t="s">
        <v>831</v>
      </c>
      <c r="G7" s="300"/>
      <c r="H7" s="300"/>
    </row>
    <row r="8" spans="1:8" ht="18.75" x14ac:dyDescent="0.25">
      <c r="A8" s="674"/>
      <c r="B8" s="674"/>
      <c r="C8" s="676"/>
      <c r="D8" s="676"/>
      <c r="E8" s="669"/>
      <c r="F8" s="669"/>
      <c r="G8" s="301"/>
      <c r="H8" s="301"/>
    </row>
    <row r="9" spans="1:8" ht="15" customHeight="1" x14ac:dyDescent="0.25">
      <c r="A9" s="674"/>
      <c r="B9" s="674"/>
      <c r="C9" s="677"/>
      <c r="D9" s="677"/>
      <c r="E9" s="669"/>
      <c r="F9" s="669"/>
      <c r="G9" s="301"/>
      <c r="H9" s="301"/>
    </row>
    <row r="10" spans="1:8" ht="15" customHeight="1" x14ac:dyDescent="0.25">
      <c r="A10" s="302" t="s">
        <v>894</v>
      </c>
      <c r="B10" s="302" t="s">
        <v>895</v>
      </c>
      <c r="C10" s="303">
        <v>3</v>
      </c>
      <c r="D10" s="303">
        <v>3</v>
      </c>
      <c r="E10" s="303">
        <v>4</v>
      </c>
      <c r="F10" s="304">
        <v>5</v>
      </c>
      <c r="G10" s="305"/>
      <c r="H10" s="305"/>
    </row>
    <row r="11" spans="1:8" ht="18.75" x14ac:dyDescent="0.3">
      <c r="A11" s="306" t="s">
        <v>896</v>
      </c>
      <c r="B11" s="307" t="s">
        <v>897</v>
      </c>
      <c r="C11" s="308">
        <f>C12+C48</f>
        <v>109660.64908</v>
      </c>
      <c r="D11" s="308">
        <f>D12+D48</f>
        <v>110260.64908</v>
      </c>
      <c r="E11" s="660">
        <f>E12+E48</f>
        <v>124110.47344999999</v>
      </c>
      <c r="F11" s="309">
        <f>E11/D11*100</f>
        <v>112.56098570574457</v>
      </c>
      <c r="G11" s="310">
        <f>E11-E21-(E14/33.5*3.5)</f>
        <v>92192.958528059695</v>
      </c>
      <c r="H11" s="310"/>
    </row>
    <row r="12" spans="1:8" ht="18.75" x14ac:dyDescent="0.3">
      <c r="A12" s="311"/>
      <c r="B12" s="312" t="s">
        <v>898</v>
      </c>
      <c r="C12" s="313">
        <f>C13+C21+C27+C37+C43</f>
        <v>84942.1</v>
      </c>
      <c r="D12" s="313">
        <f>D13+D21+D27+D37+D43</f>
        <v>84942.1</v>
      </c>
      <c r="E12" s="661">
        <f>E13+E21+E27+E37+E43</f>
        <v>86947.47133</v>
      </c>
      <c r="F12" s="314">
        <f>E12/D12*100</f>
        <v>102.36086855634603</v>
      </c>
      <c r="G12" s="315"/>
      <c r="H12" s="315"/>
    </row>
    <row r="13" spans="1:8" ht="18.75" x14ac:dyDescent="0.3">
      <c r="A13" s="316" t="s">
        <v>899</v>
      </c>
      <c r="B13" s="317" t="s">
        <v>900</v>
      </c>
      <c r="C13" s="318">
        <f>C14</f>
        <v>48525</v>
      </c>
      <c r="D13" s="318">
        <f>D14</f>
        <v>48525</v>
      </c>
      <c r="E13" s="318">
        <f>E14</f>
        <v>49638.246660000004</v>
      </c>
      <c r="F13" s="319">
        <f>E13/D13*100</f>
        <v>102.29417137557961</v>
      </c>
      <c r="G13" s="320"/>
      <c r="H13" s="320"/>
    </row>
    <row r="14" spans="1:8" ht="18.75" x14ac:dyDescent="0.3">
      <c r="A14" s="321" t="s">
        <v>901</v>
      </c>
      <c r="B14" s="322" t="s">
        <v>902</v>
      </c>
      <c r="C14" s="323">
        <f>C15+C16+C17+C18+C20+C19</f>
        <v>48525</v>
      </c>
      <c r="D14" s="323">
        <f t="shared" ref="D14:E14" si="0">D15+D16+D17+D18+D20+D19</f>
        <v>48525</v>
      </c>
      <c r="E14" s="323">
        <f t="shared" si="0"/>
        <v>49638.246660000004</v>
      </c>
      <c r="F14" s="324">
        <f>E14/D14*100</f>
        <v>102.29417137557961</v>
      </c>
      <c r="G14" s="325"/>
      <c r="H14" s="325"/>
    </row>
    <row r="15" spans="1:8" ht="75" x14ac:dyDescent="0.3">
      <c r="A15" s="321" t="s">
        <v>903</v>
      </c>
      <c r="B15" s="322" t="s">
        <v>904</v>
      </c>
      <c r="C15" s="326">
        <v>48075</v>
      </c>
      <c r="D15" s="326">
        <v>48075</v>
      </c>
      <c r="E15" s="326">
        <v>49175.470540000002</v>
      </c>
      <c r="F15" s="327">
        <f t="shared" ref="F15:F19" si="1">E15/D15*100</f>
        <v>102.28907028601144</v>
      </c>
      <c r="G15" s="325"/>
      <c r="H15" s="325"/>
    </row>
    <row r="16" spans="1:8" ht="112.5" x14ac:dyDescent="0.3">
      <c r="A16" s="321" t="s">
        <v>905</v>
      </c>
      <c r="B16" s="322" t="s">
        <v>906</v>
      </c>
      <c r="C16" s="326">
        <v>14</v>
      </c>
      <c r="D16" s="326">
        <v>14</v>
      </c>
      <c r="E16" s="326">
        <v>18.713180000000001</v>
      </c>
      <c r="F16" s="327">
        <f t="shared" si="1"/>
        <v>133.66557142857144</v>
      </c>
      <c r="G16" s="325"/>
      <c r="H16" s="325"/>
    </row>
    <row r="17" spans="1:8" ht="56.25" x14ac:dyDescent="0.3">
      <c r="A17" s="321" t="s">
        <v>907</v>
      </c>
      <c r="B17" s="322" t="s">
        <v>908</v>
      </c>
      <c r="C17" s="326">
        <v>368</v>
      </c>
      <c r="D17" s="326">
        <v>368</v>
      </c>
      <c r="E17" s="326">
        <v>380.85744999999997</v>
      </c>
      <c r="F17" s="327">
        <f t="shared" si="1"/>
        <v>103.49387228260869</v>
      </c>
      <c r="G17" s="325"/>
      <c r="H17" s="325"/>
    </row>
    <row r="18" spans="1:8" ht="93.75" x14ac:dyDescent="0.3">
      <c r="A18" s="321" t="s">
        <v>909</v>
      </c>
      <c r="B18" s="322" t="s">
        <v>910</v>
      </c>
      <c r="C18" s="326">
        <v>44</v>
      </c>
      <c r="D18" s="326">
        <v>44</v>
      </c>
      <c r="E18" s="326">
        <v>40.44</v>
      </c>
      <c r="F18" s="327">
        <f t="shared" si="1"/>
        <v>91.909090909090907</v>
      </c>
      <c r="G18" s="325"/>
      <c r="H18" s="325"/>
    </row>
    <row r="19" spans="1:8" ht="150" x14ac:dyDescent="0.3">
      <c r="A19" s="328" t="s">
        <v>911</v>
      </c>
      <c r="B19" s="329" t="s">
        <v>912</v>
      </c>
      <c r="C19" s="326">
        <v>8</v>
      </c>
      <c r="D19" s="326">
        <v>8</v>
      </c>
      <c r="E19" s="326">
        <v>7.7162800000000002</v>
      </c>
      <c r="F19" s="327">
        <f t="shared" si="1"/>
        <v>96.453500000000005</v>
      </c>
      <c r="G19" s="325"/>
      <c r="H19" s="325"/>
    </row>
    <row r="20" spans="1:8" ht="75" x14ac:dyDescent="0.3">
      <c r="A20" s="321" t="s">
        <v>913</v>
      </c>
      <c r="B20" s="322" t="s">
        <v>914</v>
      </c>
      <c r="C20" s="326">
        <v>16</v>
      </c>
      <c r="D20" s="326">
        <v>16</v>
      </c>
      <c r="E20" s="326">
        <v>15.04921</v>
      </c>
      <c r="F20" s="327">
        <v>0</v>
      </c>
      <c r="G20" s="325"/>
      <c r="H20" s="325"/>
    </row>
    <row r="21" spans="1:8" ht="37.5" x14ac:dyDescent="0.3">
      <c r="A21" s="316" t="s">
        <v>915</v>
      </c>
      <c r="B21" s="317" t="s">
        <v>916</v>
      </c>
      <c r="C21" s="318">
        <f>C22</f>
        <v>26774</v>
      </c>
      <c r="D21" s="318">
        <f>D22</f>
        <v>26774</v>
      </c>
      <c r="E21" s="330">
        <f t="shared" ref="E21:F21" si="2">E22</f>
        <v>26731.429450000003</v>
      </c>
      <c r="F21" s="331">
        <f t="shared" si="2"/>
        <v>99.841000410846362</v>
      </c>
      <c r="G21" s="320"/>
      <c r="H21" s="320"/>
    </row>
    <row r="22" spans="1:8" ht="37.5" x14ac:dyDescent="0.3">
      <c r="A22" s="321" t="s">
        <v>917</v>
      </c>
      <c r="B22" s="322" t="s">
        <v>918</v>
      </c>
      <c r="C22" s="323">
        <f>C23+C24+C25+C26</f>
        <v>26774</v>
      </c>
      <c r="D22" s="323">
        <f>D23+D24+D25+D26</f>
        <v>26774</v>
      </c>
      <c r="E22" s="323">
        <f>E23+E24+E25+E26</f>
        <v>26731.429450000003</v>
      </c>
      <c r="F22" s="332">
        <f>E22/D22*100</f>
        <v>99.841000410846362</v>
      </c>
      <c r="G22" s="325"/>
      <c r="H22" s="325"/>
    </row>
    <row r="23" spans="1:8" ht="112.5" x14ac:dyDescent="0.3">
      <c r="A23" s="321" t="s">
        <v>919</v>
      </c>
      <c r="B23" s="322" t="s">
        <v>920</v>
      </c>
      <c r="C23" s="326">
        <v>13863</v>
      </c>
      <c r="D23" s="326">
        <v>13863</v>
      </c>
      <c r="E23" s="333">
        <v>13810.41164</v>
      </c>
      <c r="F23" s="334">
        <f t="shared" ref="F23:F26" si="3">E23/D23*100</f>
        <v>99.620656712111384</v>
      </c>
      <c r="G23" s="325"/>
      <c r="H23" s="325"/>
    </row>
    <row r="24" spans="1:8" ht="131.25" x14ac:dyDescent="0.3">
      <c r="A24" s="321" t="s">
        <v>921</v>
      </c>
      <c r="B24" s="322" t="s">
        <v>922</v>
      </c>
      <c r="C24" s="326">
        <v>80</v>
      </c>
      <c r="D24" s="326">
        <v>80</v>
      </c>
      <c r="E24" s="333">
        <v>79.794690000000003</v>
      </c>
      <c r="F24" s="334">
        <f t="shared" si="3"/>
        <v>99.743362500000003</v>
      </c>
      <c r="G24" s="325"/>
      <c r="H24" s="325"/>
    </row>
    <row r="25" spans="1:8" ht="112.5" x14ac:dyDescent="0.3">
      <c r="A25" s="321" t="s">
        <v>923</v>
      </c>
      <c r="B25" s="322" t="s">
        <v>924</v>
      </c>
      <c r="C25" s="326">
        <v>14374</v>
      </c>
      <c r="D25" s="326">
        <v>14374</v>
      </c>
      <c r="E25" s="333">
        <v>14344.46839</v>
      </c>
      <c r="F25" s="334">
        <f t="shared" si="3"/>
        <v>99.79454842075971</v>
      </c>
      <c r="G25" s="325"/>
      <c r="H25" s="325"/>
    </row>
    <row r="26" spans="1:8" ht="112.5" x14ac:dyDescent="0.3">
      <c r="A26" s="321" t="s">
        <v>925</v>
      </c>
      <c r="B26" s="322" t="s">
        <v>926</v>
      </c>
      <c r="C26" s="326">
        <v>-1543</v>
      </c>
      <c r="D26" s="326">
        <v>-1543</v>
      </c>
      <c r="E26" s="333">
        <v>-1503.2452699999999</v>
      </c>
      <c r="F26" s="334">
        <f t="shared" si="3"/>
        <v>97.423543097861298</v>
      </c>
      <c r="G26" s="325"/>
      <c r="H26" s="325"/>
    </row>
    <row r="27" spans="1:8" ht="18.75" x14ac:dyDescent="0.3">
      <c r="A27" s="316" t="s">
        <v>927</v>
      </c>
      <c r="B27" s="317" t="s">
        <v>928</v>
      </c>
      <c r="C27" s="318">
        <f>C33+C35+C31+C28</f>
        <v>1990</v>
      </c>
      <c r="D27" s="318">
        <f t="shared" ref="D27:E27" si="4">D33+D35+D31+D28</f>
        <v>1990</v>
      </c>
      <c r="E27" s="318">
        <f t="shared" si="4"/>
        <v>2304.5268700000001</v>
      </c>
      <c r="F27" s="319">
        <f>E27/D27*100</f>
        <v>115.8053703517588</v>
      </c>
      <c r="G27" s="320"/>
      <c r="H27" s="320"/>
    </row>
    <row r="28" spans="1:8" ht="37.5" x14ac:dyDescent="0.3">
      <c r="A28" s="335" t="s">
        <v>929</v>
      </c>
      <c r="B28" s="322" t="s">
        <v>930</v>
      </c>
      <c r="C28" s="326">
        <f>C29+C30</f>
        <v>1141</v>
      </c>
      <c r="D28" s="326">
        <f t="shared" ref="D28:E28" si="5">D29+D30</f>
        <v>1141</v>
      </c>
      <c r="E28" s="326">
        <f t="shared" si="5"/>
        <v>1247.5830700000001</v>
      </c>
      <c r="F28" s="327">
        <f t="shared" ref="F28:F32" si="6">E28/D28*100</f>
        <v>109.3411980718668</v>
      </c>
      <c r="G28" s="320"/>
      <c r="H28" s="320"/>
    </row>
    <row r="29" spans="1:8" ht="37.5" x14ac:dyDescent="0.3">
      <c r="A29" s="335" t="s">
        <v>931</v>
      </c>
      <c r="B29" s="322" t="s">
        <v>932</v>
      </c>
      <c r="C29" s="326">
        <v>683</v>
      </c>
      <c r="D29" s="326">
        <v>683</v>
      </c>
      <c r="E29" s="326">
        <v>743.95293000000004</v>
      </c>
      <c r="F29" s="327">
        <f t="shared" si="6"/>
        <v>108.92429428989752</v>
      </c>
      <c r="G29" s="320"/>
      <c r="H29" s="320"/>
    </row>
    <row r="30" spans="1:8" ht="37.5" x14ac:dyDescent="0.3">
      <c r="A30" s="336" t="s">
        <v>933</v>
      </c>
      <c r="B30" s="337" t="s">
        <v>934</v>
      </c>
      <c r="C30" s="326">
        <v>458</v>
      </c>
      <c r="D30" s="326">
        <v>458</v>
      </c>
      <c r="E30" s="326">
        <v>503.63013999999998</v>
      </c>
      <c r="F30" s="327">
        <f t="shared" si="6"/>
        <v>109.96291266375546</v>
      </c>
      <c r="G30" s="320"/>
      <c r="H30" s="320"/>
    </row>
    <row r="31" spans="1:8" s="338" customFormat="1" ht="18.75" x14ac:dyDescent="0.3">
      <c r="A31" s="335" t="s">
        <v>935</v>
      </c>
      <c r="B31" s="322" t="s">
        <v>936</v>
      </c>
      <c r="C31" s="326">
        <f>C32</f>
        <v>0</v>
      </c>
      <c r="D31" s="326">
        <f>D32</f>
        <v>0</v>
      </c>
      <c r="E31" s="326">
        <f>E32</f>
        <v>0</v>
      </c>
      <c r="F31" s="327" t="e">
        <f t="shared" si="6"/>
        <v>#DIV/0!</v>
      </c>
      <c r="G31" s="320"/>
      <c r="H31" s="320"/>
    </row>
    <row r="32" spans="1:8" ht="18.75" x14ac:dyDescent="0.3">
      <c r="A32" s="335" t="s">
        <v>937</v>
      </c>
      <c r="B32" s="322" t="s">
        <v>936</v>
      </c>
      <c r="C32" s="333">
        <v>0</v>
      </c>
      <c r="D32" s="326">
        <v>0</v>
      </c>
      <c r="E32" s="333">
        <v>0</v>
      </c>
      <c r="F32" s="339" t="e">
        <f t="shared" si="6"/>
        <v>#DIV/0!</v>
      </c>
      <c r="G32" s="320"/>
      <c r="H32" s="320"/>
    </row>
    <row r="33" spans="1:8" ht="18.75" x14ac:dyDescent="0.3">
      <c r="A33" s="321" t="s">
        <v>938</v>
      </c>
      <c r="B33" s="322" t="s">
        <v>939</v>
      </c>
      <c r="C33" s="340">
        <f>C34</f>
        <v>60</v>
      </c>
      <c r="D33" s="323">
        <f>D34</f>
        <v>60</v>
      </c>
      <c r="E33" s="323">
        <f>E34</f>
        <v>60.183329999999998</v>
      </c>
      <c r="F33" s="324">
        <f>E33/D33*100</f>
        <v>100.30554999999998</v>
      </c>
      <c r="G33" s="325"/>
      <c r="H33" s="325"/>
    </row>
    <row r="34" spans="1:8" ht="18.75" x14ac:dyDescent="0.3">
      <c r="A34" s="321" t="s">
        <v>940</v>
      </c>
      <c r="B34" s="322" t="s">
        <v>939</v>
      </c>
      <c r="C34" s="326">
        <v>60</v>
      </c>
      <c r="D34" s="326">
        <v>60</v>
      </c>
      <c r="E34" s="326">
        <v>60.183329999999998</v>
      </c>
      <c r="F34" s="327">
        <f>E34/D34*100</f>
        <v>100.30554999999998</v>
      </c>
      <c r="G34" s="325"/>
      <c r="H34" s="325"/>
    </row>
    <row r="35" spans="1:8" ht="37.5" x14ac:dyDescent="0.3">
      <c r="A35" s="321" t="s">
        <v>941</v>
      </c>
      <c r="B35" s="322" t="s">
        <v>942</v>
      </c>
      <c r="C35" s="340">
        <f>C36</f>
        <v>789</v>
      </c>
      <c r="D35" s="323">
        <f>D36</f>
        <v>789</v>
      </c>
      <c r="E35" s="323">
        <f>E36</f>
        <v>996.76047000000005</v>
      </c>
      <c r="F35" s="324">
        <f>F36</f>
        <v>126.33212547528518</v>
      </c>
      <c r="G35" s="325"/>
      <c r="H35" s="325"/>
    </row>
    <row r="36" spans="1:8" ht="37.5" x14ac:dyDescent="0.3">
      <c r="A36" s="321" t="s">
        <v>943</v>
      </c>
      <c r="B36" s="322" t="s">
        <v>944</v>
      </c>
      <c r="C36" s="326">
        <v>789</v>
      </c>
      <c r="D36" s="326">
        <v>789</v>
      </c>
      <c r="E36" s="326">
        <v>996.76047000000005</v>
      </c>
      <c r="F36" s="327">
        <f>E36/D36*100</f>
        <v>126.33212547528518</v>
      </c>
      <c r="G36" s="325"/>
      <c r="H36" s="325"/>
    </row>
    <row r="37" spans="1:8" ht="18.75" x14ac:dyDescent="0.3">
      <c r="A37" s="316" t="s">
        <v>945</v>
      </c>
      <c r="B37" s="317" t="s">
        <v>946</v>
      </c>
      <c r="C37" s="318">
        <f>C39+C40</f>
        <v>5489</v>
      </c>
      <c r="D37" s="318">
        <f t="shared" ref="D37:E37" si="7">D39+D40</f>
        <v>5489</v>
      </c>
      <c r="E37" s="318">
        <f t="shared" si="7"/>
        <v>5606.7240999999995</v>
      </c>
      <c r="F37" s="319">
        <f>E37/D37*100</f>
        <v>102.14472763709234</v>
      </c>
      <c r="G37" s="320"/>
      <c r="H37" s="320"/>
    </row>
    <row r="38" spans="1:8" ht="18.75" x14ac:dyDescent="0.3">
      <c r="A38" s="336" t="s">
        <v>947</v>
      </c>
      <c r="B38" s="337" t="s">
        <v>948</v>
      </c>
      <c r="C38" s="323">
        <f>C39</f>
        <v>1680</v>
      </c>
      <c r="D38" s="323">
        <f>D39</f>
        <v>1680</v>
      </c>
      <c r="E38" s="323">
        <f t="shared" ref="E38" si="8">E39</f>
        <v>1560.53343</v>
      </c>
      <c r="F38" s="324">
        <f>E38/D38*100</f>
        <v>92.888894642857139</v>
      </c>
      <c r="G38" s="341"/>
      <c r="H38" s="341"/>
    </row>
    <row r="39" spans="1:8" ht="56.25" x14ac:dyDescent="0.3">
      <c r="A39" s="336" t="s">
        <v>949</v>
      </c>
      <c r="B39" s="337" t="s">
        <v>950</v>
      </c>
      <c r="C39" s="333">
        <v>1680</v>
      </c>
      <c r="D39" s="326">
        <v>1680</v>
      </c>
      <c r="E39" s="333">
        <v>1560.53343</v>
      </c>
      <c r="F39" s="339">
        <f t="shared" ref="F39:F42" si="9">E39/D39*100</f>
        <v>92.888894642857139</v>
      </c>
      <c r="G39" s="341"/>
      <c r="H39" s="341"/>
    </row>
    <row r="40" spans="1:8" ht="18.75" x14ac:dyDescent="0.3">
      <c r="A40" s="321" t="s">
        <v>951</v>
      </c>
      <c r="B40" s="322" t="s">
        <v>952</v>
      </c>
      <c r="C40" s="340">
        <f>SUM(C41:C42)</f>
        <v>3809</v>
      </c>
      <c r="D40" s="323">
        <f>D41+D42</f>
        <v>3809</v>
      </c>
      <c r="E40" s="340">
        <f>SUM(E41:E42)</f>
        <v>4046.19067</v>
      </c>
      <c r="F40" s="324">
        <f t="shared" si="9"/>
        <v>106.22711131530585</v>
      </c>
      <c r="G40" s="325"/>
      <c r="H40" s="325"/>
    </row>
    <row r="41" spans="1:8" ht="37.5" x14ac:dyDescent="0.3">
      <c r="A41" s="321" t="s">
        <v>953</v>
      </c>
      <c r="B41" s="322" t="s">
        <v>954</v>
      </c>
      <c r="C41" s="326">
        <v>1947</v>
      </c>
      <c r="D41" s="326">
        <v>1947</v>
      </c>
      <c r="E41" s="326">
        <v>1972.2478100000001</v>
      </c>
      <c r="F41" s="339">
        <f t="shared" si="9"/>
        <v>101.29675449409348</v>
      </c>
      <c r="G41" s="325"/>
      <c r="H41" s="325"/>
    </row>
    <row r="42" spans="1:8" ht="37.5" x14ac:dyDescent="0.3">
      <c r="A42" s="321" t="s">
        <v>955</v>
      </c>
      <c r="B42" s="322" t="s">
        <v>956</v>
      </c>
      <c r="C42" s="326">
        <v>1862</v>
      </c>
      <c r="D42" s="326">
        <v>1862</v>
      </c>
      <c r="E42" s="326">
        <v>2073.9428600000001</v>
      </c>
      <c r="F42" s="339">
        <f t="shared" si="9"/>
        <v>111.38253813104188</v>
      </c>
      <c r="G42" s="325"/>
      <c r="H42" s="325"/>
    </row>
    <row r="43" spans="1:8" ht="18.75" x14ac:dyDescent="0.3">
      <c r="A43" s="316" t="s">
        <v>957</v>
      </c>
      <c r="B43" s="317" t="s">
        <v>958</v>
      </c>
      <c r="C43" s="318">
        <f>C44+C46</f>
        <v>2164.1</v>
      </c>
      <c r="D43" s="318">
        <f t="shared" ref="D43:E43" si="10">D44+D46</f>
        <v>2164.1</v>
      </c>
      <c r="E43" s="318">
        <f t="shared" si="10"/>
        <v>2666.5442499999999</v>
      </c>
      <c r="F43" s="319">
        <f>E43/D43*100</f>
        <v>123.21723811284137</v>
      </c>
      <c r="G43" s="320"/>
      <c r="H43" s="320"/>
    </row>
    <row r="44" spans="1:8" ht="37.5" x14ac:dyDescent="0.3">
      <c r="A44" s="321" t="s">
        <v>959</v>
      </c>
      <c r="B44" s="322" t="s">
        <v>960</v>
      </c>
      <c r="C44" s="323">
        <f>C45</f>
        <v>2135</v>
      </c>
      <c r="D44" s="323">
        <f>D45</f>
        <v>2135</v>
      </c>
      <c r="E44" s="323">
        <f>E45</f>
        <v>2634.98425</v>
      </c>
      <c r="F44" s="324">
        <f>E44/D44*100</f>
        <v>123.41846604215456</v>
      </c>
      <c r="G44" s="325"/>
      <c r="H44" s="325"/>
    </row>
    <row r="45" spans="1:8" ht="56.25" x14ac:dyDescent="0.3">
      <c r="A45" s="321" t="s">
        <v>961</v>
      </c>
      <c r="B45" s="322" t="s">
        <v>962</v>
      </c>
      <c r="C45" s="326">
        <v>2135</v>
      </c>
      <c r="D45" s="326">
        <v>2135</v>
      </c>
      <c r="E45" s="326">
        <v>2634.98425</v>
      </c>
      <c r="F45" s="327">
        <f t="shared" ref="F45:F47" si="11">E45/D45*100</f>
        <v>123.41846604215456</v>
      </c>
      <c r="G45" s="325"/>
      <c r="H45" s="325"/>
    </row>
    <row r="46" spans="1:8" ht="56.25" x14ac:dyDescent="0.3">
      <c r="A46" s="321" t="s">
        <v>963</v>
      </c>
      <c r="B46" s="322" t="s">
        <v>964</v>
      </c>
      <c r="C46" s="323">
        <f>C47</f>
        <v>29.1</v>
      </c>
      <c r="D46" s="323">
        <f>D47</f>
        <v>29.1</v>
      </c>
      <c r="E46" s="323">
        <f>E47</f>
        <v>31.56</v>
      </c>
      <c r="F46" s="324">
        <f t="shared" si="11"/>
        <v>108.45360824742268</v>
      </c>
      <c r="G46" s="325"/>
      <c r="H46" s="325"/>
    </row>
    <row r="47" spans="1:8" ht="75" x14ac:dyDescent="0.3">
      <c r="A47" s="321" t="s">
        <v>965</v>
      </c>
      <c r="B47" s="322" t="s">
        <v>966</v>
      </c>
      <c r="C47" s="326">
        <v>29.1</v>
      </c>
      <c r="D47" s="326">
        <v>29.1</v>
      </c>
      <c r="E47" s="326">
        <v>31.56</v>
      </c>
      <c r="F47" s="327">
        <f t="shared" si="11"/>
        <v>108.45360824742268</v>
      </c>
      <c r="G47" s="325"/>
      <c r="H47" s="325"/>
    </row>
    <row r="48" spans="1:8" ht="18.75" x14ac:dyDescent="0.3">
      <c r="A48" s="311"/>
      <c r="B48" s="312" t="s">
        <v>967</v>
      </c>
      <c r="C48" s="313">
        <f>C49+C57+C63+C69+C76+C99+C95</f>
        <v>24718.549080000004</v>
      </c>
      <c r="D48" s="313">
        <f>D49+D57+D63+D69+D76+D99+D95</f>
        <v>25318.549080000004</v>
      </c>
      <c r="E48" s="366">
        <f>E49+E57+E63+E69+E76+E99+E95+E97</f>
        <v>37163.002119999997</v>
      </c>
      <c r="F48" s="314">
        <f>E48/D48*100</f>
        <v>146.78172119016227</v>
      </c>
      <c r="G48" s="315"/>
      <c r="H48" s="315"/>
    </row>
    <row r="49" spans="1:8" ht="56.25" x14ac:dyDescent="0.3">
      <c r="A49" s="316" t="s">
        <v>968</v>
      </c>
      <c r="B49" s="317" t="s">
        <v>969</v>
      </c>
      <c r="C49" s="318">
        <f>C50+C56</f>
        <v>7819.4000000000005</v>
      </c>
      <c r="D49" s="318">
        <f>D50+D56</f>
        <v>7819.4000000000005</v>
      </c>
      <c r="E49" s="318">
        <f t="shared" ref="E49" si="12">E50+E56</f>
        <v>7973.6199799999995</v>
      </c>
      <c r="F49" s="319">
        <f>E49/D49*100</f>
        <v>101.97227383175178</v>
      </c>
      <c r="G49" s="320"/>
      <c r="H49" s="320"/>
    </row>
    <row r="50" spans="1:8" ht="93.75" x14ac:dyDescent="0.3">
      <c r="A50" s="321" t="s">
        <v>970</v>
      </c>
      <c r="B50" s="322" t="s">
        <v>971</v>
      </c>
      <c r="C50" s="323">
        <f>C51+C52+C53+C54</f>
        <v>6057.4000000000005</v>
      </c>
      <c r="D50" s="323">
        <f t="shared" ref="D50:E50" si="13">D51+D52+D53+D54</f>
        <v>6057.4000000000005</v>
      </c>
      <c r="E50" s="323">
        <f t="shared" si="13"/>
        <v>6154.6139599999997</v>
      </c>
      <c r="F50" s="324">
        <f>E50/D50*100</f>
        <v>101.60487932116089</v>
      </c>
      <c r="G50" s="325"/>
      <c r="H50" s="325"/>
    </row>
    <row r="51" spans="1:8" ht="93.75" x14ac:dyDescent="0.3">
      <c r="A51" s="321" t="s">
        <v>972</v>
      </c>
      <c r="B51" s="322" t="s">
        <v>973</v>
      </c>
      <c r="C51" s="326">
        <v>5340</v>
      </c>
      <c r="D51" s="326">
        <v>5340</v>
      </c>
      <c r="E51" s="326">
        <v>5434.7120400000003</v>
      </c>
      <c r="F51" s="327">
        <f t="shared" ref="F51:F56" si="14">E51/D51*100</f>
        <v>101.77363370786519</v>
      </c>
      <c r="G51" s="325"/>
      <c r="H51" s="325"/>
    </row>
    <row r="52" spans="1:8" ht="75" x14ac:dyDescent="0.3">
      <c r="A52" s="321" t="s">
        <v>974</v>
      </c>
      <c r="B52" s="322" t="s">
        <v>975</v>
      </c>
      <c r="C52" s="326">
        <v>235</v>
      </c>
      <c r="D52" s="326">
        <v>235</v>
      </c>
      <c r="E52" s="326">
        <v>233.98097000000001</v>
      </c>
      <c r="F52" s="327">
        <f t="shared" si="14"/>
        <v>99.56637021276596</v>
      </c>
      <c r="G52" s="325"/>
      <c r="H52" s="325"/>
    </row>
    <row r="53" spans="1:8" ht="75" x14ac:dyDescent="0.3">
      <c r="A53" s="321" t="s">
        <v>976</v>
      </c>
      <c r="B53" s="322" t="s">
        <v>977</v>
      </c>
      <c r="C53" s="326">
        <v>338.8</v>
      </c>
      <c r="D53" s="326">
        <v>338.8</v>
      </c>
      <c r="E53" s="326">
        <v>356.47739999999999</v>
      </c>
      <c r="F53" s="327">
        <f t="shared" si="14"/>
        <v>105.21765053128689</v>
      </c>
      <c r="G53" s="325"/>
      <c r="H53" s="325"/>
    </row>
    <row r="54" spans="1:8" ht="37.5" x14ac:dyDescent="0.3">
      <c r="A54" s="321" t="s">
        <v>978</v>
      </c>
      <c r="B54" s="322" t="s">
        <v>979</v>
      </c>
      <c r="C54" s="326">
        <v>143.6</v>
      </c>
      <c r="D54" s="326">
        <v>143.6</v>
      </c>
      <c r="E54" s="326">
        <v>129.44354999999999</v>
      </c>
      <c r="F54" s="327">
        <f t="shared" si="14"/>
        <v>90.141747910863501</v>
      </c>
      <c r="G54" s="325"/>
      <c r="H54" s="325"/>
    </row>
    <row r="55" spans="1:8" ht="93.75" x14ac:dyDescent="0.3">
      <c r="A55" s="321" t="s">
        <v>980</v>
      </c>
      <c r="B55" s="322" t="s">
        <v>981</v>
      </c>
      <c r="C55" s="323">
        <f>C56</f>
        <v>1762</v>
      </c>
      <c r="D55" s="323">
        <f>D56</f>
        <v>1762</v>
      </c>
      <c r="E55" s="323">
        <f>E56</f>
        <v>1819.00602</v>
      </c>
      <c r="F55" s="324">
        <f t="shared" si="14"/>
        <v>103.23530192962542</v>
      </c>
      <c r="G55" s="325"/>
      <c r="H55" s="325"/>
    </row>
    <row r="56" spans="1:8" ht="93.75" x14ac:dyDescent="0.3">
      <c r="A56" s="321" t="s">
        <v>982</v>
      </c>
      <c r="B56" s="322" t="s">
        <v>983</v>
      </c>
      <c r="C56" s="326">
        <v>1762</v>
      </c>
      <c r="D56" s="326">
        <v>1762</v>
      </c>
      <c r="E56" s="326">
        <v>1819.00602</v>
      </c>
      <c r="F56" s="327">
        <f t="shared" si="14"/>
        <v>103.23530192962542</v>
      </c>
      <c r="G56" s="325"/>
      <c r="H56" s="325"/>
    </row>
    <row r="57" spans="1:8" ht="18.75" x14ac:dyDescent="0.3">
      <c r="A57" s="316" t="s">
        <v>984</v>
      </c>
      <c r="B57" s="317" t="s">
        <v>985</v>
      </c>
      <c r="C57" s="318">
        <f>C58</f>
        <v>215.79999999999998</v>
      </c>
      <c r="D57" s="318">
        <f>D58</f>
        <v>215.79999999999998</v>
      </c>
      <c r="E57" s="318">
        <f>E58</f>
        <v>216.27515</v>
      </c>
      <c r="F57" s="319">
        <f>F58</f>
        <v>100.22018072289158</v>
      </c>
      <c r="G57" s="320"/>
      <c r="H57" s="320"/>
    </row>
    <row r="58" spans="1:8" ht="18.75" x14ac:dyDescent="0.3">
      <c r="A58" s="321" t="s">
        <v>986</v>
      </c>
      <c r="B58" s="322" t="s">
        <v>987</v>
      </c>
      <c r="C58" s="323">
        <f>C59+C60+C61</f>
        <v>215.79999999999998</v>
      </c>
      <c r="D58" s="323">
        <f>D59+D60+D61</f>
        <v>215.79999999999998</v>
      </c>
      <c r="E58" s="342">
        <f>E59+E60+E61+E62</f>
        <v>216.27515</v>
      </c>
      <c r="F58" s="324">
        <f>E58/D58*100</f>
        <v>100.22018072289158</v>
      </c>
      <c r="G58" s="325"/>
      <c r="H58" s="325"/>
    </row>
    <row r="59" spans="1:8" ht="37.5" x14ac:dyDescent="0.3">
      <c r="A59" s="321" t="s">
        <v>988</v>
      </c>
      <c r="B59" s="322" t="s">
        <v>989</v>
      </c>
      <c r="C59" s="326">
        <v>190.2</v>
      </c>
      <c r="D59" s="326">
        <v>190.2</v>
      </c>
      <c r="E59" s="326">
        <v>190.65403000000001</v>
      </c>
      <c r="F59" s="327">
        <f t="shared" ref="F59:F121" si="15">E59/D59*100</f>
        <v>100.23871188222924</v>
      </c>
      <c r="G59" s="325"/>
      <c r="H59" s="325"/>
    </row>
    <row r="60" spans="1:8" ht="18.75" x14ac:dyDescent="0.3">
      <c r="A60" s="321" t="s">
        <v>990</v>
      </c>
      <c r="B60" s="322" t="s">
        <v>991</v>
      </c>
      <c r="C60" s="326">
        <v>0.7</v>
      </c>
      <c r="D60" s="326">
        <v>0.7</v>
      </c>
      <c r="E60" s="326">
        <v>0.69062000000000001</v>
      </c>
      <c r="F60" s="327">
        <f t="shared" si="15"/>
        <v>98.66</v>
      </c>
      <c r="G60" s="325"/>
      <c r="H60" s="325"/>
    </row>
    <row r="61" spans="1:8" ht="18.75" x14ac:dyDescent="0.3">
      <c r="A61" s="321" t="s">
        <v>992</v>
      </c>
      <c r="B61" s="322" t="s">
        <v>993</v>
      </c>
      <c r="C61" s="326">
        <v>24.9</v>
      </c>
      <c r="D61" s="326">
        <v>24.9</v>
      </c>
      <c r="E61" s="326">
        <v>24.870370000000001</v>
      </c>
      <c r="F61" s="327">
        <v>0</v>
      </c>
      <c r="G61" s="325"/>
      <c r="H61" s="325"/>
    </row>
    <row r="62" spans="1:8" ht="37.5" x14ac:dyDescent="0.3">
      <c r="A62" s="321" t="s">
        <v>994</v>
      </c>
      <c r="B62" s="322" t="s">
        <v>995</v>
      </c>
      <c r="C62" s="326">
        <v>0</v>
      </c>
      <c r="D62" s="326">
        <v>0</v>
      </c>
      <c r="E62" s="326">
        <v>6.0130000000000003E-2</v>
      </c>
      <c r="F62" s="327">
        <v>0</v>
      </c>
      <c r="G62" s="325"/>
      <c r="H62" s="325"/>
    </row>
    <row r="63" spans="1:8" ht="37.5" x14ac:dyDescent="0.3">
      <c r="A63" s="316" t="s">
        <v>996</v>
      </c>
      <c r="B63" s="317" t="s">
        <v>997</v>
      </c>
      <c r="C63" s="318">
        <f>C64+C66</f>
        <v>14660</v>
      </c>
      <c r="D63" s="318">
        <f>D64+D66</f>
        <v>14660</v>
      </c>
      <c r="E63" s="318">
        <f t="shared" ref="E63" si="16">E64+E66</f>
        <v>14862.42553</v>
      </c>
      <c r="F63" s="343">
        <f t="shared" si="15"/>
        <v>101.38080170532061</v>
      </c>
      <c r="G63" s="320"/>
      <c r="H63" s="320"/>
    </row>
    <row r="64" spans="1:8" ht="18.75" x14ac:dyDescent="0.3">
      <c r="A64" s="321" t="s">
        <v>998</v>
      </c>
      <c r="B64" s="322" t="s">
        <v>999</v>
      </c>
      <c r="C64" s="323">
        <f>C65</f>
        <v>13460.8</v>
      </c>
      <c r="D64" s="323">
        <f>D65</f>
        <v>13460.8</v>
      </c>
      <c r="E64" s="323">
        <f>E65</f>
        <v>13647.94659</v>
      </c>
      <c r="F64" s="324">
        <f t="shared" si="15"/>
        <v>101.39030807975753</v>
      </c>
      <c r="G64" s="325"/>
      <c r="H64" s="325"/>
    </row>
    <row r="65" spans="1:8" ht="37.5" x14ac:dyDescent="0.3">
      <c r="A65" s="321" t="s">
        <v>1000</v>
      </c>
      <c r="B65" s="322" t="s">
        <v>1001</v>
      </c>
      <c r="C65" s="326">
        <v>13460.8</v>
      </c>
      <c r="D65" s="326">
        <v>13460.8</v>
      </c>
      <c r="E65" s="333">
        <v>13647.94659</v>
      </c>
      <c r="F65" s="327">
        <f t="shared" si="15"/>
        <v>101.39030807975753</v>
      </c>
      <c r="G65" s="325"/>
      <c r="H65" s="325"/>
    </row>
    <row r="66" spans="1:8" ht="18.75" x14ac:dyDescent="0.3">
      <c r="A66" s="321" t="s">
        <v>1002</v>
      </c>
      <c r="B66" s="322" t="s">
        <v>1003</v>
      </c>
      <c r="C66" s="323">
        <f>C67+C68</f>
        <v>1199.2</v>
      </c>
      <c r="D66" s="323">
        <f>D67+D68</f>
        <v>1199.2</v>
      </c>
      <c r="E66" s="323">
        <f>E67+E68</f>
        <v>1214.47894</v>
      </c>
      <c r="F66" s="324">
        <f t="shared" si="15"/>
        <v>101.27409439626418</v>
      </c>
      <c r="G66" s="325"/>
      <c r="H66" s="325"/>
    </row>
    <row r="67" spans="1:8" ht="37.5" x14ac:dyDescent="0.3">
      <c r="A67" s="321" t="s">
        <v>1004</v>
      </c>
      <c r="B67" s="322" t="s">
        <v>1005</v>
      </c>
      <c r="C67" s="326">
        <v>987</v>
      </c>
      <c r="D67" s="326">
        <v>987</v>
      </c>
      <c r="E67" s="333">
        <v>1002.25001</v>
      </c>
      <c r="F67" s="327">
        <f t="shared" si="15"/>
        <v>101.54508713272543</v>
      </c>
      <c r="G67" s="325"/>
      <c r="H67" s="325"/>
    </row>
    <row r="68" spans="1:8" ht="18.75" x14ac:dyDescent="0.3">
      <c r="A68" s="321" t="s">
        <v>1006</v>
      </c>
      <c r="B68" s="322" t="s">
        <v>1007</v>
      </c>
      <c r="C68" s="326">
        <v>212.2</v>
      </c>
      <c r="D68" s="326">
        <v>212.2</v>
      </c>
      <c r="E68" s="326">
        <v>212.22892999999999</v>
      </c>
      <c r="F68" s="327">
        <f t="shared" si="15"/>
        <v>100.01363336475025</v>
      </c>
      <c r="G68" s="325"/>
      <c r="H68" s="325"/>
    </row>
    <row r="69" spans="1:8" ht="37.5" x14ac:dyDescent="0.3">
      <c r="A69" s="316" t="s">
        <v>1008</v>
      </c>
      <c r="B69" s="317" t="s">
        <v>1009</v>
      </c>
      <c r="C69" s="318">
        <f>C73+C70</f>
        <v>857.7</v>
      </c>
      <c r="D69" s="318">
        <f>D73+D70</f>
        <v>857.7</v>
      </c>
      <c r="E69" s="318">
        <f>E70+E73</f>
        <v>12338.35319</v>
      </c>
      <c r="F69" s="343">
        <f t="shared" si="15"/>
        <v>1438.5394881660254</v>
      </c>
      <c r="G69" s="320"/>
      <c r="H69" s="320"/>
    </row>
    <row r="70" spans="1:8" ht="112.5" x14ac:dyDescent="0.3">
      <c r="A70" s="336" t="s">
        <v>1010</v>
      </c>
      <c r="B70" s="337" t="s">
        <v>1011</v>
      </c>
      <c r="C70" s="323">
        <f>C71+C72</f>
        <v>30.4</v>
      </c>
      <c r="D70" s="323">
        <f t="shared" ref="D70:E70" si="17">D71+D72</f>
        <v>30.4</v>
      </c>
      <c r="E70" s="323">
        <f t="shared" si="17"/>
        <v>11019.87932</v>
      </c>
      <c r="F70" s="324">
        <f t="shared" si="15"/>
        <v>36249.603026315795</v>
      </c>
      <c r="G70" s="341"/>
      <c r="H70" s="341"/>
    </row>
    <row r="71" spans="1:8" ht="112.5" x14ac:dyDescent="0.3">
      <c r="A71" s="336" t="s">
        <v>1012</v>
      </c>
      <c r="B71" s="337" t="s">
        <v>1013</v>
      </c>
      <c r="C71" s="344">
        <v>0.9</v>
      </c>
      <c r="D71" s="326">
        <v>0.9</v>
      </c>
      <c r="E71" s="333">
        <v>10990.392</v>
      </c>
      <c r="F71" s="327">
        <f t="shared" si="15"/>
        <v>1221154.6666666667</v>
      </c>
      <c r="G71" s="345"/>
      <c r="H71" s="345"/>
    </row>
    <row r="72" spans="1:8" ht="93.75" x14ac:dyDescent="0.3">
      <c r="A72" s="336" t="s">
        <v>1014</v>
      </c>
      <c r="B72" s="337" t="s">
        <v>1015</v>
      </c>
      <c r="C72" s="344">
        <v>29.5</v>
      </c>
      <c r="D72" s="326">
        <v>29.5</v>
      </c>
      <c r="E72" s="333">
        <v>29.48732</v>
      </c>
      <c r="F72" s="327">
        <f t="shared" si="15"/>
        <v>99.957016949152546</v>
      </c>
      <c r="G72" s="345"/>
      <c r="H72" s="345"/>
    </row>
    <row r="73" spans="1:8" ht="37.5" x14ac:dyDescent="0.3">
      <c r="A73" s="321" t="s">
        <v>1016</v>
      </c>
      <c r="B73" s="322" t="s">
        <v>1017</v>
      </c>
      <c r="C73" s="340">
        <f>C74+C75</f>
        <v>827.30000000000007</v>
      </c>
      <c r="D73" s="323">
        <f>D74+D75</f>
        <v>827.30000000000007</v>
      </c>
      <c r="E73" s="323">
        <f>E74+E75</f>
        <v>1318.47387</v>
      </c>
      <c r="F73" s="324">
        <f t="shared" si="15"/>
        <v>159.37070832829684</v>
      </c>
      <c r="G73" s="325"/>
      <c r="H73" s="325"/>
    </row>
    <row r="74" spans="1:8" ht="56.25" x14ac:dyDescent="0.3">
      <c r="A74" s="321" t="s">
        <v>1018</v>
      </c>
      <c r="B74" s="322" t="s">
        <v>1019</v>
      </c>
      <c r="C74" s="326">
        <v>667.7</v>
      </c>
      <c r="D74" s="326">
        <v>667.7</v>
      </c>
      <c r="E74" s="326">
        <v>1159.6384</v>
      </c>
      <c r="F74" s="327">
        <f t="shared" si="15"/>
        <v>173.67656132993858</v>
      </c>
      <c r="G74" s="325"/>
      <c r="H74" s="325"/>
    </row>
    <row r="75" spans="1:8" ht="56.25" x14ac:dyDescent="0.3">
      <c r="A75" s="321" t="s">
        <v>1020</v>
      </c>
      <c r="B75" s="322" t="s">
        <v>1021</v>
      </c>
      <c r="C75" s="326">
        <v>159.6</v>
      </c>
      <c r="D75" s="326">
        <v>159.6</v>
      </c>
      <c r="E75" s="326">
        <v>158.83546999999999</v>
      </c>
      <c r="F75" s="327">
        <f t="shared" si="15"/>
        <v>99.520971177944858</v>
      </c>
      <c r="G75" s="325"/>
      <c r="H75" s="325"/>
    </row>
    <row r="76" spans="1:8" ht="18.75" x14ac:dyDescent="0.3">
      <c r="A76" s="316" t="s">
        <v>1022</v>
      </c>
      <c r="B76" s="317" t="s">
        <v>1023</v>
      </c>
      <c r="C76" s="318">
        <f>SUM(C77:C94)</f>
        <v>1040.4000000000001</v>
      </c>
      <c r="D76" s="318">
        <f>SUM(D77:D94)</f>
        <v>1040.4000000000001</v>
      </c>
      <c r="E76" s="346">
        <f>SUM(E77:E94)</f>
        <v>1041.7090899999998</v>
      </c>
      <c r="F76" s="343">
        <f t="shared" si="15"/>
        <v>100.12582564398306</v>
      </c>
      <c r="G76" s="320"/>
      <c r="H76" s="320"/>
    </row>
    <row r="77" spans="1:8" ht="75" x14ac:dyDescent="0.3">
      <c r="A77" s="321" t="s">
        <v>1024</v>
      </c>
      <c r="B77" s="322" t="s">
        <v>1025</v>
      </c>
      <c r="C77" s="326">
        <v>50.8</v>
      </c>
      <c r="D77" s="326">
        <v>50.8</v>
      </c>
      <c r="E77" s="326">
        <v>43.050750000000001</v>
      </c>
      <c r="F77" s="327">
        <f t="shared" si="15"/>
        <v>84.745570866141733</v>
      </c>
      <c r="G77" s="325"/>
      <c r="H77" s="325"/>
    </row>
    <row r="78" spans="1:8" ht="112.5" x14ac:dyDescent="0.3">
      <c r="A78" s="321" t="s">
        <v>1026</v>
      </c>
      <c r="B78" s="322" t="s">
        <v>1027</v>
      </c>
      <c r="C78" s="326">
        <v>211.7</v>
      </c>
      <c r="D78" s="326">
        <v>211.7</v>
      </c>
      <c r="E78" s="326">
        <v>202.93394000000001</v>
      </c>
      <c r="F78" s="327">
        <f t="shared" si="15"/>
        <v>95.859206424185174</v>
      </c>
      <c r="G78" s="325"/>
      <c r="H78" s="325"/>
    </row>
    <row r="79" spans="1:8" ht="75" x14ac:dyDescent="0.3">
      <c r="A79" s="321" t="s">
        <v>1028</v>
      </c>
      <c r="B79" s="322" t="s">
        <v>1029</v>
      </c>
      <c r="C79" s="326">
        <v>56.4</v>
      </c>
      <c r="D79" s="326">
        <v>56.4</v>
      </c>
      <c r="E79" s="326">
        <v>80.313969999999998</v>
      </c>
      <c r="F79" s="327">
        <f t="shared" si="15"/>
        <v>142.40065602836879</v>
      </c>
      <c r="G79" s="325"/>
      <c r="H79" s="325"/>
    </row>
    <row r="80" spans="1:8" ht="93.75" x14ac:dyDescent="0.3">
      <c r="A80" s="321" t="s">
        <v>1030</v>
      </c>
      <c r="B80" s="322" t="s">
        <v>1031</v>
      </c>
      <c r="C80" s="326">
        <v>69.8</v>
      </c>
      <c r="D80" s="326">
        <v>69.8</v>
      </c>
      <c r="E80" s="326">
        <v>71.387090000000001</v>
      </c>
      <c r="F80" s="327">
        <f t="shared" si="15"/>
        <v>102.27376790830947</v>
      </c>
      <c r="G80" s="325"/>
      <c r="H80" s="325"/>
    </row>
    <row r="81" spans="1:8" ht="75" x14ac:dyDescent="0.3">
      <c r="A81" s="328" t="s">
        <v>1032</v>
      </c>
      <c r="B81" s="329" t="s">
        <v>1033</v>
      </c>
      <c r="C81" s="326">
        <v>1.5</v>
      </c>
      <c r="D81" s="326">
        <v>1.5</v>
      </c>
      <c r="E81" s="326">
        <v>1.5</v>
      </c>
      <c r="F81" s="327">
        <f t="shared" si="15"/>
        <v>100</v>
      </c>
      <c r="G81" s="325"/>
      <c r="H81" s="325"/>
    </row>
    <row r="82" spans="1:8" ht="93.75" x14ac:dyDescent="0.3">
      <c r="A82" s="321" t="s">
        <v>1034</v>
      </c>
      <c r="B82" s="322" t="s">
        <v>1035</v>
      </c>
      <c r="C82" s="326">
        <v>9.3000000000000007</v>
      </c>
      <c r="D82" s="326">
        <v>9.3000000000000007</v>
      </c>
      <c r="E82" s="326">
        <v>9.5228099999999998</v>
      </c>
      <c r="F82" s="327">
        <f t="shared" si="15"/>
        <v>102.3958064516129</v>
      </c>
      <c r="G82" s="325"/>
      <c r="H82" s="325"/>
    </row>
    <row r="83" spans="1:8" ht="131.25" x14ac:dyDescent="0.3">
      <c r="A83" s="321" t="s">
        <v>1036</v>
      </c>
      <c r="B83" s="322" t="s">
        <v>1037</v>
      </c>
      <c r="C83" s="326">
        <v>0.9</v>
      </c>
      <c r="D83" s="326">
        <v>0.9</v>
      </c>
      <c r="E83" s="326">
        <v>1.2</v>
      </c>
      <c r="F83" s="327">
        <f t="shared" si="15"/>
        <v>133.33333333333331</v>
      </c>
      <c r="G83" s="325"/>
      <c r="H83" s="325"/>
    </row>
    <row r="84" spans="1:8" ht="206.25" x14ac:dyDescent="0.3">
      <c r="A84" s="321" t="s">
        <v>1038</v>
      </c>
      <c r="B84" s="322" t="s">
        <v>1039</v>
      </c>
      <c r="C84" s="326">
        <v>10</v>
      </c>
      <c r="D84" s="326">
        <v>10</v>
      </c>
      <c r="E84" s="326">
        <v>10</v>
      </c>
      <c r="F84" s="327">
        <f t="shared" si="15"/>
        <v>100</v>
      </c>
      <c r="G84" s="325"/>
      <c r="H84" s="325"/>
    </row>
    <row r="85" spans="1:8" ht="93.75" x14ac:dyDescent="0.3">
      <c r="A85" s="321" t="s">
        <v>1040</v>
      </c>
      <c r="B85" s="322" t="s">
        <v>1041</v>
      </c>
      <c r="C85" s="326">
        <v>8.3000000000000007</v>
      </c>
      <c r="D85" s="326">
        <v>8.3000000000000007</v>
      </c>
      <c r="E85" s="326">
        <v>9.9444800000000004</v>
      </c>
      <c r="F85" s="327">
        <f t="shared" si="15"/>
        <v>119.81301204819277</v>
      </c>
      <c r="G85" s="325"/>
      <c r="H85" s="325"/>
    </row>
    <row r="86" spans="1:8" ht="75" x14ac:dyDescent="0.3">
      <c r="A86" s="321" t="s">
        <v>1042</v>
      </c>
      <c r="B86" s="322" t="s">
        <v>1043</v>
      </c>
      <c r="C86" s="326">
        <v>48.7</v>
      </c>
      <c r="D86" s="326">
        <v>48.7</v>
      </c>
      <c r="E86" s="326">
        <v>48.07291</v>
      </c>
      <c r="F86" s="327">
        <f t="shared" si="15"/>
        <v>98.712340862422991</v>
      </c>
      <c r="G86" s="325"/>
      <c r="H86" s="325"/>
    </row>
    <row r="87" spans="1:8" ht="75" x14ac:dyDescent="0.3">
      <c r="A87" s="321" t="s">
        <v>1044</v>
      </c>
      <c r="B87" s="322" t="s">
        <v>1045</v>
      </c>
      <c r="C87" s="326">
        <v>10</v>
      </c>
      <c r="D87" s="326">
        <v>10</v>
      </c>
      <c r="E87" s="326">
        <v>10</v>
      </c>
      <c r="F87" s="327">
        <f t="shared" si="15"/>
        <v>100</v>
      </c>
      <c r="G87" s="325"/>
      <c r="H87" s="325"/>
    </row>
    <row r="88" spans="1:8" ht="93.75" x14ac:dyDescent="0.3">
      <c r="A88" s="321" t="s">
        <v>1046</v>
      </c>
      <c r="B88" s="322" t="s">
        <v>1047</v>
      </c>
      <c r="C88" s="326">
        <v>114.8</v>
      </c>
      <c r="D88" s="326">
        <v>114.8</v>
      </c>
      <c r="E88" s="326">
        <v>123.98851000000001</v>
      </c>
      <c r="F88" s="327">
        <f t="shared" si="15"/>
        <v>108.00392857142857</v>
      </c>
      <c r="G88" s="325"/>
      <c r="H88" s="325"/>
    </row>
    <row r="89" spans="1:8" ht="150" x14ac:dyDescent="0.3">
      <c r="A89" s="321" t="s">
        <v>1048</v>
      </c>
      <c r="B89" s="322" t="s">
        <v>1049</v>
      </c>
      <c r="C89" s="326">
        <v>68</v>
      </c>
      <c r="D89" s="326">
        <v>68</v>
      </c>
      <c r="E89" s="326">
        <v>48.2166</v>
      </c>
      <c r="F89" s="327">
        <f t="shared" si="15"/>
        <v>70.906764705882352</v>
      </c>
      <c r="G89" s="325"/>
      <c r="H89" s="325"/>
    </row>
    <row r="90" spans="1:8" ht="56.25" x14ac:dyDescent="0.3">
      <c r="A90" s="328" t="s">
        <v>1050</v>
      </c>
      <c r="B90" s="329" t="s">
        <v>1051</v>
      </c>
      <c r="C90" s="326">
        <v>17</v>
      </c>
      <c r="D90" s="326">
        <v>17</v>
      </c>
      <c r="E90" s="326">
        <v>15.3</v>
      </c>
      <c r="F90" s="327">
        <f t="shared" si="15"/>
        <v>90</v>
      </c>
      <c r="G90" s="325"/>
      <c r="H90" s="325"/>
    </row>
    <row r="91" spans="1:8" ht="75" x14ac:dyDescent="0.3">
      <c r="A91" s="321" t="s">
        <v>1052</v>
      </c>
      <c r="B91" s="322" t="s">
        <v>1053</v>
      </c>
      <c r="C91" s="326">
        <v>3.5</v>
      </c>
      <c r="D91" s="326">
        <v>3.5</v>
      </c>
      <c r="E91" s="326">
        <v>3.47946</v>
      </c>
      <c r="F91" s="327">
        <f t="shared" si="15"/>
        <v>99.413142857142859</v>
      </c>
      <c r="G91" s="325"/>
      <c r="H91" s="325"/>
    </row>
    <row r="92" spans="1:8" ht="75" x14ac:dyDescent="0.3">
      <c r="A92" s="328" t="s">
        <v>1054</v>
      </c>
      <c r="B92" s="329" t="s">
        <v>1055</v>
      </c>
      <c r="C92" s="326">
        <v>15.2</v>
      </c>
      <c r="D92" s="326">
        <v>15.2</v>
      </c>
      <c r="E92" s="326">
        <v>15.149319999999999</v>
      </c>
      <c r="F92" s="327">
        <f t="shared" si="15"/>
        <v>99.666578947368421</v>
      </c>
      <c r="G92" s="325"/>
      <c r="H92" s="325"/>
    </row>
    <row r="93" spans="1:8" ht="75" x14ac:dyDescent="0.25">
      <c r="A93" s="328" t="s">
        <v>1056</v>
      </c>
      <c r="B93" s="329" t="s">
        <v>1057</v>
      </c>
      <c r="C93" s="326">
        <v>12.5</v>
      </c>
      <c r="D93" s="326">
        <v>12.5</v>
      </c>
      <c r="E93" s="326">
        <v>12.66994</v>
      </c>
      <c r="F93" s="347">
        <f t="shared" si="15"/>
        <v>101.35952000000002</v>
      </c>
    </row>
    <row r="94" spans="1:8" ht="112.5" x14ac:dyDescent="0.25">
      <c r="A94" s="328" t="s">
        <v>1058</v>
      </c>
      <c r="B94" s="329" t="s">
        <v>1059</v>
      </c>
      <c r="C94" s="326">
        <v>332</v>
      </c>
      <c r="D94" s="326">
        <v>332</v>
      </c>
      <c r="E94" s="326">
        <v>334.97931</v>
      </c>
      <c r="F94" s="347">
        <f t="shared" si="15"/>
        <v>100.89738253012048</v>
      </c>
    </row>
    <row r="95" spans="1:8" ht="18.75" x14ac:dyDescent="0.25">
      <c r="A95" s="348" t="s">
        <v>1060</v>
      </c>
      <c r="B95" s="349" t="s">
        <v>1061</v>
      </c>
      <c r="C95" s="330">
        <f>C96</f>
        <v>0</v>
      </c>
      <c r="D95" s="330">
        <f t="shared" ref="D95:E95" si="18">D96</f>
        <v>0</v>
      </c>
      <c r="E95" s="330">
        <f t="shared" si="18"/>
        <v>0.98248999999999997</v>
      </c>
      <c r="F95" s="350">
        <v>0</v>
      </c>
    </row>
    <row r="96" spans="1:8" ht="37.5" x14ac:dyDescent="0.25">
      <c r="A96" s="321" t="s">
        <v>1062</v>
      </c>
      <c r="B96" s="329" t="s">
        <v>1063</v>
      </c>
      <c r="C96" s="326">
        <v>0</v>
      </c>
      <c r="D96" s="326">
        <v>0</v>
      </c>
      <c r="E96" s="326">
        <v>0.98248999999999997</v>
      </c>
      <c r="F96" s="347">
        <v>0</v>
      </c>
    </row>
    <row r="97" spans="1:7" ht="18.75" x14ac:dyDescent="0.25">
      <c r="A97" s="348" t="s">
        <v>1064</v>
      </c>
      <c r="B97" s="349" t="s">
        <v>1065</v>
      </c>
      <c r="C97" s="330">
        <f>C98</f>
        <v>0</v>
      </c>
      <c r="D97" s="330">
        <f t="shared" ref="D97:E97" si="19">D98</f>
        <v>0</v>
      </c>
      <c r="E97" s="330">
        <f t="shared" si="19"/>
        <v>4.3876099999999996</v>
      </c>
      <c r="F97" s="350">
        <v>0</v>
      </c>
    </row>
    <row r="98" spans="1:7" ht="18.75" x14ac:dyDescent="0.25">
      <c r="A98" s="321" t="s">
        <v>1066</v>
      </c>
      <c r="B98" s="329" t="s">
        <v>1067</v>
      </c>
      <c r="C98" s="326">
        <v>0</v>
      </c>
      <c r="D98" s="326">
        <v>0</v>
      </c>
      <c r="E98" s="326">
        <v>4.3876099999999996</v>
      </c>
      <c r="F98" s="347">
        <v>0</v>
      </c>
    </row>
    <row r="99" spans="1:7" ht="18.75" x14ac:dyDescent="0.25">
      <c r="A99" s="348" t="s">
        <v>1068</v>
      </c>
      <c r="B99" s="349" t="s">
        <v>1069</v>
      </c>
      <c r="C99" s="330">
        <f>C100</f>
        <v>125.24908000000001</v>
      </c>
      <c r="D99" s="330">
        <f t="shared" ref="D99:E99" si="20">D100</f>
        <v>725.24908000000005</v>
      </c>
      <c r="E99" s="330">
        <f t="shared" si="20"/>
        <v>725.24908000000005</v>
      </c>
      <c r="F99" s="350">
        <f t="shared" si="15"/>
        <v>100</v>
      </c>
    </row>
    <row r="100" spans="1:7" ht="18.75" x14ac:dyDescent="0.25">
      <c r="A100" s="321" t="s">
        <v>1070</v>
      </c>
      <c r="B100" s="322" t="s">
        <v>1071</v>
      </c>
      <c r="C100" s="326">
        <v>125.24908000000001</v>
      </c>
      <c r="D100" s="326">
        <v>725.24908000000005</v>
      </c>
      <c r="E100" s="326">
        <v>725.24908000000005</v>
      </c>
      <c r="F100" s="347">
        <f t="shared" si="15"/>
        <v>100</v>
      </c>
    </row>
    <row r="101" spans="1:7" ht="18.75" x14ac:dyDescent="0.25">
      <c r="A101" s="351" t="s">
        <v>1072</v>
      </c>
      <c r="B101" s="307" t="s">
        <v>1073</v>
      </c>
      <c r="C101" s="352">
        <f>C102+C187+C185+C183</f>
        <v>910249.72759000014</v>
      </c>
      <c r="D101" s="352">
        <f t="shared" ref="D101:E101" si="21">D102+D187+D185+D183</f>
        <v>968505.36197000009</v>
      </c>
      <c r="E101" s="352">
        <f t="shared" si="21"/>
        <v>939858.22759999998</v>
      </c>
      <c r="F101" s="353">
        <f t="shared" si="15"/>
        <v>97.042129502336465</v>
      </c>
    </row>
    <row r="102" spans="1:7" ht="37.5" x14ac:dyDescent="0.25">
      <c r="A102" s="354" t="s">
        <v>1074</v>
      </c>
      <c r="B102" s="355" t="s">
        <v>1075</v>
      </c>
      <c r="C102" s="356">
        <f>C103+C111+C145+C169</f>
        <v>915726.57247000013</v>
      </c>
      <c r="D102" s="356">
        <f>D103+D111+D145+D169</f>
        <v>973982.20685000008</v>
      </c>
      <c r="E102" s="356">
        <f>E103+E111+E145+E169</f>
        <v>945290.07764999999</v>
      </c>
      <c r="F102" s="357">
        <f t="shared" si="15"/>
        <v>97.054142365413981</v>
      </c>
      <c r="G102" s="358"/>
    </row>
    <row r="103" spans="1:7" ht="18.75" x14ac:dyDescent="0.25">
      <c r="A103" s="359" t="s">
        <v>1076</v>
      </c>
      <c r="B103" s="312" t="s">
        <v>1077</v>
      </c>
      <c r="C103" s="360">
        <f>C104+C106+C107+C105</f>
        <v>358846.3</v>
      </c>
      <c r="D103" s="360">
        <f t="shared" ref="D103:E103" si="22">D104+D106+D107+D105</f>
        <v>359282.02999999997</v>
      </c>
      <c r="E103" s="360">
        <f t="shared" si="22"/>
        <v>359282.02999999997</v>
      </c>
      <c r="F103" s="314">
        <f t="shared" si="15"/>
        <v>100</v>
      </c>
    </row>
    <row r="104" spans="1:7" ht="37.5" x14ac:dyDescent="0.25">
      <c r="A104" s="316" t="s">
        <v>1078</v>
      </c>
      <c r="B104" s="317" t="s">
        <v>1079</v>
      </c>
      <c r="C104" s="361">
        <v>350070.2</v>
      </c>
      <c r="D104" s="361">
        <v>350070.2</v>
      </c>
      <c r="E104" s="361">
        <v>350070.2</v>
      </c>
      <c r="F104" s="350">
        <f t="shared" si="15"/>
        <v>100</v>
      </c>
    </row>
    <row r="105" spans="1:7" ht="37.5" x14ac:dyDescent="0.25">
      <c r="A105" s="316" t="s">
        <v>1080</v>
      </c>
      <c r="B105" s="317" t="s">
        <v>1081</v>
      </c>
      <c r="C105" s="361">
        <v>3935</v>
      </c>
      <c r="D105" s="361">
        <v>3935</v>
      </c>
      <c r="E105" s="361">
        <v>3935</v>
      </c>
      <c r="F105" s="350">
        <f t="shared" si="15"/>
        <v>100</v>
      </c>
    </row>
    <row r="106" spans="1:7" ht="37.5" x14ac:dyDescent="0.25">
      <c r="A106" s="316" t="s">
        <v>1082</v>
      </c>
      <c r="B106" s="349" t="s">
        <v>1083</v>
      </c>
      <c r="C106" s="361">
        <v>0</v>
      </c>
      <c r="D106" s="361">
        <v>435.73</v>
      </c>
      <c r="E106" s="361">
        <v>435.73</v>
      </c>
      <c r="F106" s="350">
        <f t="shared" si="15"/>
        <v>100</v>
      </c>
    </row>
    <row r="107" spans="1:7" ht="18.75" x14ac:dyDescent="0.25">
      <c r="A107" s="316" t="s">
        <v>1084</v>
      </c>
      <c r="B107" s="317" t="s">
        <v>1085</v>
      </c>
      <c r="C107" s="361">
        <f>C109+C110</f>
        <v>4841.1000000000004</v>
      </c>
      <c r="D107" s="361">
        <f>D109+D110</f>
        <v>4841.1000000000004</v>
      </c>
      <c r="E107" s="361">
        <f>E109+E110</f>
        <v>4841.1000000000004</v>
      </c>
      <c r="F107" s="362">
        <f t="shared" si="15"/>
        <v>100</v>
      </c>
    </row>
    <row r="108" spans="1:7" ht="18.75" x14ac:dyDescent="0.25">
      <c r="A108" s="316"/>
      <c r="B108" s="337" t="s">
        <v>231</v>
      </c>
      <c r="C108" s="361"/>
      <c r="D108" s="361"/>
      <c r="E108" s="363"/>
      <c r="F108" s="347"/>
    </row>
    <row r="109" spans="1:7" s="365" customFormat="1" ht="31.5" x14ac:dyDescent="0.25">
      <c r="A109" s="316"/>
      <c r="B109" s="364" t="s">
        <v>1086</v>
      </c>
      <c r="C109" s="363">
        <v>1886.7</v>
      </c>
      <c r="D109" s="363">
        <v>1886.7</v>
      </c>
      <c r="E109" s="363">
        <v>1886.7</v>
      </c>
      <c r="F109" s="347">
        <f t="shared" si="15"/>
        <v>100</v>
      </c>
    </row>
    <row r="110" spans="1:7" s="365" customFormat="1" ht="18.75" x14ac:dyDescent="0.25">
      <c r="A110" s="316"/>
      <c r="B110" s="364" t="s">
        <v>1087</v>
      </c>
      <c r="C110" s="363">
        <v>2954.4</v>
      </c>
      <c r="D110" s="363">
        <v>2954.4</v>
      </c>
      <c r="E110" s="363">
        <v>2954.4</v>
      </c>
      <c r="F110" s="347">
        <f t="shared" si="15"/>
        <v>100</v>
      </c>
    </row>
    <row r="111" spans="1:7" ht="37.5" x14ac:dyDescent="0.25">
      <c r="A111" s="311" t="s">
        <v>1088</v>
      </c>
      <c r="B111" s="312" t="s">
        <v>1089</v>
      </c>
      <c r="C111" s="366">
        <f>C132+C124+C128+C113+C118+C120+C116</f>
        <v>197006.48428</v>
      </c>
      <c r="D111" s="366">
        <f t="shared" ref="D111:E111" si="23">D132+D124+D128+D113+D118+D120+D116</f>
        <v>183582.63251</v>
      </c>
      <c r="E111" s="366">
        <f t="shared" si="23"/>
        <v>155312.78810999999</v>
      </c>
      <c r="F111" s="367">
        <f t="shared" si="15"/>
        <v>84.601024610288178</v>
      </c>
    </row>
    <row r="112" spans="1:7" ht="37.5" x14ac:dyDescent="0.25">
      <c r="A112" s="348" t="s">
        <v>1090</v>
      </c>
      <c r="B112" s="368" t="s">
        <v>1091</v>
      </c>
      <c r="C112" s="369">
        <f>C113</f>
        <v>75121.14</v>
      </c>
      <c r="D112" s="369">
        <f>D113</f>
        <v>51333.306410000005</v>
      </c>
      <c r="E112" s="369">
        <f>E113</f>
        <v>30121.14</v>
      </c>
      <c r="F112" s="350">
        <f t="shared" si="15"/>
        <v>58.677576229791107</v>
      </c>
    </row>
    <row r="113" spans="1:6" ht="31.5" x14ac:dyDescent="0.25">
      <c r="A113" s="336" t="s">
        <v>1092</v>
      </c>
      <c r="B113" s="364" t="s">
        <v>1093</v>
      </c>
      <c r="C113" s="344">
        <f>C114+C115</f>
        <v>75121.14</v>
      </c>
      <c r="D113" s="344">
        <f>D114+D115</f>
        <v>51333.306410000005</v>
      </c>
      <c r="E113" s="344">
        <f>E114+E115</f>
        <v>30121.14</v>
      </c>
      <c r="F113" s="347">
        <f t="shared" si="15"/>
        <v>58.677576229791107</v>
      </c>
    </row>
    <row r="114" spans="1:6" ht="78.75" x14ac:dyDescent="0.25">
      <c r="A114" s="336"/>
      <c r="B114" s="364" t="s">
        <v>1094</v>
      </c>
      <c r="C114" s="344">
        <v>30121.14</v>
      </c>
      <c r="D114" s="344">
        <v>30121.14</v>
      </c>
      <c r="E114" s="344">
        <v>30121.14</v>
      </c>
      <c r="F114" s="347">
        <f t="shared" si="15"/>
        <v>100</v>
      </c>
    </row>
    <row r="115" spans="1:6" ht="31.5" x14ac:dyDescent="0.25">
      <c r="A115" s="336"/>
      <c r="B115" s="370" t="s">
        <v>1095</v>
      </c>
      <c r="C115" s="344">
        <v>45000</v>
      </c>
      <c r="D115" s="344">
        <v>21212.166410000002</v>
      </c>
      <c r="E115" s="344">
        <v>0</v>
      </c>
      <c r="F115" s="347">
        <f t="shared" si="15"/>
        <v>0</v>
      </c>
    </row>
    <row r="116" spans="1:6" s="372" customFormat="1" ht="37.5" x14ac:dyDescent="0.3">
      <c r="A116" s="316" t="s">
        <v>1096</v>
      </c>
      <c r="B116" s="371" t="s">
        <v>1097</v>
      </c>
      <c r="C116" s="369">
        <f>C117</f>
        <v>41655.446150000003</v>
      </c>
      <c r="D116" s="369">
        <f t="shared" ref="D116:E116" si="24">D117</f>
        <v>41655.446150000003</v>
      </c>
      <c r="E116" s="369">
        <f t="shared" si="24"/>
        <v>41655.446150000003</v>
      </c>
      <c r="F116" s="350">
        <f t="shared" si="15"/>
        <v>100</v>
      </c>
    </row>
    <row r="117" spans="1:6" s="372" customFormat="1" ht="31.5" x14ac:dyDescent="0.25">
      <c r="A117" s="321" t="s">
        <v>1098</v>
      </c>
      <c r="B117" s="364" t="s">
        <v>494</v>
      </c>
      <c r="C117" s="344">
        <v>41655.446150000003</v>
      </c>
      <c r="D117" s="344">
        <v>41655.446150000003</v>
      </c>
      <c r="E117" s="344">
        <v>41655.446150000003</v>
      </c>
      <c r="F117" s="347">
        <f t="shared" si="15"/>
        <v>100</v>
      </c>
    </row>
    <row r="118" spans="1:6" s="372" customFormat="1" ht="37.5" x14ac:dyDescent="0.3">
      <c r="A118" s="316" t="s">
        <v>1099</v>
      </c>
      <c r="B118" s="371" t="s">
        <v>1100</v>
      </c>
      <c r="C118" s="369">
        <f>C119</f>
        <v>0</v>
      </c>
      <c r="D118" s="369">
        <f t="shared" ref="D118:E118" si="25">D119</f>
        <v>1625.2739999999999</v>
      </c>
      <c r="E118" s="369">
        <f t="shared" si="25"/>
        <v>1617.59601</v>
      </c>
      <c r="F118" s="350">
        <f t="shared" si="15"/>
        <v>99.527587963629529</v>
      </c>
    </row>
    <row r="119" spans="1:6" s="372" customFormat="1" ht="31.5" x14ac:dyDescent="0.25">
      <c r="A119" s="321" t="s">
        <v>1101</v>
      </c>
      <c r="B119" s="364" t="s">
        <v>1102</v>
      </c>
      <c r="C119" s="344">
        <v>0</v>
      </c>
      <c r="D119" s="344">
        <v>1625.2739999999999</v>
      </c>
      <c r="E119" s="344">
        <v>1617.59601</v>
      </c>
      <c r="F119" s="347">
        <f t="shared" si="15"/>
        <v>99.527587963629529</v>
      </c>
    </row>
    <row r="120" spans="1:6" ht="18.75" x14ac:dyDescent="0.25">
      <c r="A120" s="373" t="s">
        <v>1103</v>
      </c>
      <c r="B120" s="374" t="s">
        <v>1104</v>
      </c>
      <c r="C120" s="369">
        <f>C121</f>
        <v>0</v>
      </c>
      <c r="D120" s="369">
        <f t="shared" ref="D120:E120" si="26">D121</f>
        <v>52.63158</v>
      </c>
      <c r="E120" s="369">
        <f t="shared" si="26"/>
        <v>52.63158</v>
      </c>
      <c r="F120" s="350">
        <f t="shared" si="15"/>
        <v>100</v>
      </c>
    </row>
    <row r="121" spans="1:6" ht="18.75" x14ac:dyDescent="0.25">
      <c r="A121" s="375" t="s">
        <v>1105</v>
      </c>
      <c r="B121" s="364" t="s">
        <v>1106</v>
      </c>
      <c r="C121" s="344">
        <f>C123</f>
        <v>0</v>
      </c>
      <c r="D121" s="344">
        <f t="shared" ref="D121:E121" si="27">D123</f>
        <v>52.63158</v>
      </c>
      <c r="E121" s="344">
        <f t="shared" si="27"/>
        <v>52.63158</v>
      </c>
      <c r="F121" s="347">
        <f t="shared" si="15"/>
        <v>100</v>
      </c>
    </row>
    <row r="122" spans="1:6" ht="18.75" x14ac:dyDescent="0.25">
      <c r="A122" s="375"/>
      <c r="B122" s="376" t="s">
        <v>231</v>
      </c>
      <c r="C122" s="344"/>
      <c r="D122" s="344"/>
      <c r="E122" s="344"/>
      <c r="F122" s="347"/>
    </row>
    <row r="123" spans="1:6" ht="31.5" x14ac:dyDescent="0.25">
      <c r="A123" s="375"/>
      <c r="B123" s="364" t="s">
        <v>1107</v>
      </c>
      <c r="C123" s="344">
        <v>0</v>
      </c>
      <c r="D123" s="344">
        <v>52.63158</v>
      </c>
      <c r="E123" s="344">
        <v>52.63158</v>
      </c>
      <c r="F123" s="347">
        <f t="shared" ref="F123:F186" si="28">E123/D123*100</f>
        <v>100</v>
      </c>
    </row>
    <row r="124" spans="1:6" ht="37.5" x14ac:dyDescent="0.25">
      <c r="A124" s="377" t="s">
        <v>1108</v>
      </c>
      <c r="B124" s="378" t="s">
        <v>1109</v>
      </c>
      <c r="C124" s="379">
        <f>C125</f>
        <v>8950.4737299999997</v>
      </c>
      <c r="D124" s="379">
        <f>D125</f>
        <v>8950.4737299999997</v>
      </c>
      <c r="E124" s="379">
        <f>E125</f>
        <v>8950.4737299999997</v>
      </c>
      <c r="F124" s="350">
        <f t="shared" si="28"/>
        <v>100</v>
      </c>
    </row>
    <row r="125" spans="1:6" ht="31.5" x14ac:dyDescent="0.25">
      <c r="A125" s="380" t="s">
        <v>1110</v>
      </c>
      <c r="B125" s="364" t="s">
        <v>1111</v>
      </c>
      <c r="C125" s="363">
        <f>C126+C127</f>
        <v>8950.4737299999997</v>
      </c>
      <c r="D125" s="363">
        <f>D126+D127</f>
        <v>8950.4737299999997</v>
      </c>
      <c r="E125" s="363">
        <f>E126+E127</f>
        <v>8950.4737299999997</v>
      </c>
      <c r="F125" s="347">
        <f t="shared" si="28"/>
        <v>100</v>
      </c>
    </row>
    <row r="126" spans="1:6" ht="18.75" x14ac:dyDescent="0.25">
      <c r="A126" s="380"/>
      <c r="B126" s="364" t="s">
        <v>1112</v>
      </c>
      <c r="C126" s="381">
        <v>6775.5256799999997</v>
      </c>
      <c r="D126" s="381">
        <v>6775.5256799999997</v>
      </c>
      <c r="E126" s="363">
        <v>6775.5256799999997</v>
      </c>
      <c r="F126" s="347">
        <f t="shared" si="28"/>
        <v>100</v>
      </c>
    </row>
    <row r="127" spans="1:6" ht="18.75" x14ac:dyDescent="0.25">
      <c r="A127" s="380"/>
      <c r="B127" s="364" t="s">
        <v>1113</v>
      </c>
      <c r="C127" s="381">
        <v>2174.94805</v>
      </c>
      <c r="D127" s="381">
        <v>2174.94805</v>
      </c>
      <c r="E127" s="363">
        <v>2174.94805</v>
      </c>
      <c r="F127" s="347">
        <f t="shared" si="28"/>
        <v>100</v>
      </c>
    </row>
    <row r="128" spans="1:6" s="372" customFormat="1" ht="37.5" x14ac:dyDescent="0.3">
      <c r="A128" s="316" t="s">
        <v>1114</v>
      </c>
      <c r="B128" s="371" t="s">
        <v>1115</v>
      </c>
      <c r="C128" s="379">
        <f>SUM(C129)</f>
        <v>2873.4859900000001</v>
      </c>
      <c r="D128" s="379">
        <f>SUM(D129)</f>
        <v>2873.4859900000001</v>
      </c>
      <c r="E128" s="379">
        <f>SUM(E129)</f>
        <v>2873.4859900000001</v>
      </c>
      <c r="F128" s="350">
        <f t="shared" si="28"/>
        <v>100</v>
      </c>
    </row>
    <row r="129" spans="1:6" ht="31.5" x14ac:dyDescent="0.25">
      <c r="A129" s="321" t="s">
        <v>1116</v>
      </c>
      <c r="B129" s="364" t="s">
        <v>1117</v>
      </c>
      <c r="C129" s="382">
        <f>SUM(C131:C131)</f>
        <v>2873.4859900000001</v>
      </c>
      <c r="D129" s="382">
        <f>SUM(D131:D131)</f>
        <v>2873.4859900000001</v>
      </c>
      <c r="E129" s="382">
        <f>E131</f>
        <v>2873.4859900000001</v>
      </c>
      <c r="F129" s="347">
        <f t="shared" si="28"/>
        <v>100</v>
      </c>
    </row>
    <row r="130" spans="1:6" ht="18.75" x14ac:dyDescent="0.25">
      <c r="A130" s="321"/>
      <c r="B130" s="364" t="s">
        <v>231</v>
      </c>
      <c r="C130" s="382"/>
      <c r="D130" s="382"/>
      <c r="E130" s="382"/>
      <c r="F130" s="347"/>
    </row>
    <row r="131" spans="1:6" ht="47.25" x14ac:dyDescent="0.25">
      <c r="A131" s="321"/>
      <c r="B131" s="364" t="s">
        <v>1118</v>
      </c>
      <c r="C131" s="382">
        <v>2873.4859900000001</v>
      </c>
      <c r="D131" s="363">
        <v>2873.4859900000001</v>
      </c>
      <c r="E131" s="363">
        <v>2873.4859900000001</v>
      </c>
      <c r="F131" s="347">
        <f t="shared" si="28"/>
        <v>100</v>
      </c>
    </row>
    <row r="132" spans="1:6" ht="18.75" x14ac:dyDescent="0.25">
      <c r="A132" s="383" t="s">
        <v>1119</v>
      </c>
      <c r="B132" s="368" t="s">
        <v>1120</v>
      </c>
      <c r="C132" s="384">
        <f>SUM(C134:C144)</f>
        <v>68405.938410000002</v>
      </c>
      <c r="D132" s="369">
        <f>SUM(D134:D144)</f>
        <v>77092.014649999997</v>
      </c>
      <c r="E132" s="369">
        <f>SUM(E134:E144)</f>
        <v>70042.014649999997</v>
      </c>
      <c r="F132" s="350">
        <f t="shared" si="28"/>
        <v>90.855083977235253</v>
      </c>
    </row>
    <row r="133" spans="1:6" ht="18.75" x14ac:dyDescent="0.25">
      <c r="A133" s="385"/>
      <c r="B133" s="386" t="s">
        <v>231</v>
      </c>
      <c r="C133" s="382"/>
      <c r="D133" s="382"/>
      <c r="E133" s="382"/>
      <c r="F133" s="347"/>
    </row>
    <row r="134" spans="1:6" ht="126" x14ac:dyDescent="0.25">
      <c r="A134" s="385"/>
      <c r="B134" s="364" t="s">
        <v>1121</v>
      </c>
      <c r="C134" s="363">
        <v>7032.1</v>
      </c>
      <c r="D134" s="363">
        <v>8466.9</v>
      </c>
      <c r="E134" s="363">
        <v>8466.9</v>
      </c>
      <c r="F134" s="347">
        <f t="shared" si="28"/>
        <v>100</v>
      </c>
    </row>
    <row r="135" spans="1:6" ht="31.5" x14ac:dyDescent="0.25">
      <c r="A135" s="385"/>
      <c r="B135" s="387" t="s">
        <v>1122</v>
      </c>
      <c r="C135" s="363">
        <v>1499.4760000000001</v>
      </c>
      <c r="D135" s="363">
        <v>1017.3047</v>
      </c>
      <c r="E135" s="363">
        <v>1017.3047</v>
      </c>
      <c r="F135" s="347">
        <f t="shared" si="28"/>
        <v>100</v>
      </c>
    </row>
    <row r="136" spans="1:6" ht="47.25" x14ac:dyDescent="0.25">
      <c r="A136" s="385"/>
      <c r="B136" s="364" t="s">
        <v>1123</v>
      </c>
      <c r="C136" s="363">
        <v>0</v>
      </c>
      <c r="D136" s="363">
        <v>57.14</v>
      </c>
      <c r="E136" s="363">
        <v>57.14</v>
      </c>
      <c r="F136" s="347">
        <f t="shared" si="28"/>
        <v>100</v>
      </c>
    </row>
    <row r="137" spans="1:6" ht="47.25" x14ac:dyDescent="0.25">
      <c r="A137" s="388"/>
      <c r="B137" s="364" t="s">
        <v>1124</v>
      </c>
      <c r="C137" s="363">
        <v>26107.599999999999</v>
      </c>
      <c r="D137" s="363">
        <v>24982.24425</v>
      </c>
      <c r="E137" s="363">
        <v>24982.24425</v>
      </c>
      <c r="F137" s="347">
        <f t="shared" si="28"/>
        <v>100</v>
      </c>
    </row>
    <row r="138" spans="1:6" ht="31.5" x14ac:dyDescent="0.25">
      <c r="A138" s="321"/>
      <c r="B138" s="364" t="s">
        <v>1125</v>
      </c>
      <c r="C138" s="363">
        <v>114.1</v>
      </c>
      <c r="D138" s="363">
        <v>114.1</v>
      </c>
      <c r="E138" s="363">
        <v>114.1</v>
      </c>
      <c r="F138" s="347">
        <f t="shared" si="28"/>
        <v>100</v>
      </c>
    </row>
    <row r="139" spans="1:6" ht="31.5" x14ac:dyDescent="0.25">
      <c r="A139" s="336"/>
      <c r="B139" s="364" t="s">
        <v>1126</v>
      </c>
      <c r="C139" s="344">
        <v>4605.0640400000002</v>
      </c>
      <c r="D139" s="344">
        <v>4604.2290000000003</v>
      </c>
      <c r="E139" s="344">
        <v>4604.2290000000003</v>
      </c>
      <c r="F139" s="347">
        <f t="shared" si="28"/>
        <v>100</v>
      </c>
    </row>
    <row r="140" spans="1:6" ht="47.25" x14ac:dyDescent="0.25">
      <c r="A140" s="336"/>
      <c r="B140" s="364" t="s">
        <v>1127</v>
      </c>
      <c r="C140" s="344">
        <v>3000</v>
      </c>
      <c r="D140" s="344">
        <v>3000</v>
      </c>
      <c r="E140" s="344">
        <v>0</v>
      </c>
      <c r="F140" s="347">
        <f t="shared" si="28"/>
        <v>0</v>
      </c>
    </row>
    <row r="141" spans="1:6" ht="18.75" x14ac:dyDescent="0.25">
      <c r="A141" s="336"/>
      <c r="B141" s="370" t="s">
        <v>1128</v>
      </c>
      <c r="C141" s="344">
        <v>26047.59837</v>
      </c>
      <c r="D141" s="344">
        <v>26387.596699999998</v>
      </c>
      <c r="E141" s="344">
        <v>26387.596699999998</v>
      </c>
      <c r="F141" s="347">
        <f t="shared" si="28"/>
        <v>100</v>
      </c>
    </row>
    <row r="142" spans="1:6" ht="18.75" x14ac:dyDescent="0.25">
      <c r="A142" s="336"/>
      <c r="B142" s="370" t="s">
        <v>1129</v>
      </c>
      <c r="C142" s="344">
        <v>0</v>
      </c>
      <c r="D142" s="344">
        <v>100</v>
      </c>
      <c r="E142" s="344">
        <v>100</v>
      </c>
      <c r="F142" s="347">
        <f t="shared" si="28"/>
        <v>100</v>
      </c>
    </row>
    <row r="143" spans="1:6" ht="18.75" x14ac:dyDescent="0.25">
      <c r="A143" s="336"/>
      <c r="B143" s="370" t="s">
        <v>1130</v>
      </c>
      <c r="C143" s="344">
        <v>0</v>
      </c>
      <c r="D143" s="344">
        <v>3862.5</v>
      </c>
      <c r="E143" s="344">
        <v>3862.5</v>
      </c>
      <c r="F143" s="347">
        <f t="shared" si="28"/>
        <v>100</v>
      </c>
    </row>
    <row r="144" spans="1:6" ht="37.5" x14ac:dyDescent="0.25">
      <c r="A144" s="336"/>
      <c r="B144" s="386" t="s">
        <v>1131</v>
      </c>
      <c r="C144" s="344">
        <v>0</v>
      </c>
      <c r="D144" s="344">
        <v>4500</v>
      </c>
      <c r="E144" s="344">
        <v>450</v>
      </c>
      <c r="F144" s="347">
        <f t="shared" si="28"/>
        <v>10</v>
      </c>
    </row>
    <row r="145" spans="1:6" ht="18.75" x14ac:dyDescent="0.25">
      <c r="A145" s="311" t="s">
        <v>1132</v>
      </c>
      <c r="B145" s="389" t="s">
        <v>1133</v>
      </c>
      <c r="C145" s="366">
        <f>C146+C165+C160+C163+C164+C166</f>
        <v>324222.76279000001</v>
      </c>
      <c r="D145" s="313">
        <f>D146+D165+D160+D163+D164+D166</f>
        <v>389837.44232000009</v>
      </c>
      <c r="E145" s="313">
        <f>E146+E160+E163+E164+E165+E166</f>
        <v>389837.44232000009</v>
      </c>
      <c r="F145" s="367">
        <f t="shared" si="28"/>
        <v>100</v>
      </c>
    </row>
    <row r="146" spans="1:6" ht="37.5" x14ac:dyDescent="0.25">
      <c r="A146" s="390" t="s">
        <v>1134</v>
      </c>
      <c r="B146" s="391" t="s">
        <v>1135</v>
      </c>
      <c r="C146" s="369">
        <f>SUM(C148:C159)</f>
        <v>318777.19999999995</v>
      </c>
      <c r="D146" s="369">
        <f>SUM(D148:D159)</f>
        <v>384726.30000000005</v>
      </c>
      <c r="E146" s="369">
        <f>SUM(E148:E159)</f>
        <v>384726.30000000005</v>
      </c>
      <c r="F146" s="350">
        <f t="shared" si="28"/>
        <v>100</v>
      </c>
    </row>
    <row r="147" spans="1:6" ht="18.75" x14ac:dyDescent="0.25">
      <c r="A147" s="388"/>
      <c r="B147" s="392" t="s">
        <v>231</v>
      </c>
      <c r="C147" s="382"/>
      <c r="D147" s="382"/>
      <c r="E147" s="382"/>
      <c r="F147" s="347"/>
    </row>
    <row r="148" spans="1:6" ht="31.5" x14ac:dyDescent="0.25">
      <c r="A148" s="388"/>
      <c r="B148" s="364" t="s">
        <v>1136</v>
      </c>
      <c r="C148" s="363">
        <v>298620.09999999998</v>
      </c>
      <c r="D148" s="363">
        <v>362390</v>
      </c>
      <c r="E148" s="363">
        <v>362390</v>
      </c>
      <c r="F148" s="347">
        <f t="shared" si="28"/>
        <v>100</v>
      </c>
    </row>
    <row r="149" spans="1:6" ht="31.5" x14ac:dyDescent="0.25">
      <c r="A149" s="388"/>
      <c r="B149" s="364" t="s">
        <v>1137</v>
      </c>
      <c r="C149" s="363">
        <v>974.2</v>
      </c>
      <c r="D149" s="363">
        <v>1016.5</v>
      </c>
      <c r="E149" s="363">
        <v>1016.5</v>
      </c>
      <c r="F149" s="347">
        <f t="shared" si="28"/>
        <v>100</v>
      </c>
    </row>
    <row r="150" spans="1:6" ht="63" x14ac:dyDescent="0.25">
      <c r="A150" s="388"/>
      <c r="B150" s="364" t="s">
        <v>1138</v>
      </c>
      <c r="C150" s="363">
        <v>71.2</v>
      </c>
      <c r="D150" s="363">
        <v>74.2</v>
      </c>
      <c r="E150" s="363">
        <v>74.2</v>
      </c>
      <c r="F150" s="347">
        <f t="shared" si="28"/>
        <v>100</v>
      </c>
    </row>
    <row r="151" spans="1:6" ht="31.5" x14ac:dyDescent="0.25">
      <c r="A151" s="388"/>
      <c r="B151" s="364" t="s">
        <v>1139</v>
      </c>
      <c r="C151" s="363">
        <v>4675.2</v>
      </c>
      <c r="D151" s="363">
        <v>4675.2</v>
      </c>
      <c r="E151" s="363">
        <v>4675.2</v>
      </c>
      <c r="F151" s="347">
        <f t="shared" si="28"/>
        <v>100</v>
      </c>
    </row>
    <row r="152" spans="1:6" ht="78.75" x14ac:dyDescent="0.25">
      <c r="A152" s="388"/>
      <c r="B152" s="364" t="s">
        <v>1140</v>
      </c>
      <c r="C152" s="363">
        <v>13232.3</v>
      </c>
      <c r="D152" s="363">
        <v>15331.7</v>
      </c>
      <c r="E152" s="363">
        <v>15331.7</v>
      </c>
      <c r="F152" s="347">
        <f t="shared" si="28"/>
        <v>100</v>
      </c>
    </row>
    <row r="153" spans="1:6" ht="47.25" x14ac:dyDescent="0.25">
      <c r="A153" s="388"/>
      <c r="B153" s="364" t="s">
        <v>1141</v>
      </c>
      <c r="C153" s="363">
        <v>583</v>
      </c>
      <c r="D153" s="363">
        <v>583</v>
      </c>
      <c r="E153" s="363">
        <v>583</v>
      </c>
      <c r="F153" s="347">
        <f t="shared" si="28"/>
        <v>100</v>
      </c>
    </row>
    <row r="154" spans="1:6" ht="31.5" x14ac:dyDescent="0.25">
      <c r="A154" s="388"/>
      <c r="B154" s="364" t="s">
        <v>1142</v>
      </c>
      <c r="C154" s="363">
        <v>25.8</v>
      </c>
      <c r="D154" s="363">
        <v>25.8</v>
      </c>
      <c r="E154" s="363">
        <v>25.8</v>
      </c>
      <c r="F154" s="347">
        <f t="shared" si="28"/>
        <v>100</v>
      </c>
    </row>
    <row r="155" spans="1:6" ht="31.5" x14ac:dyDescent="0.25">
      <c r="A155" s="388"/>
      <c r="B155" s="364" t="s">
        <v>1143</v>
      </c>
      <c r="C155" s="363">
        <v>56.8</v>
      </c>
      <c r="D155" s="363">
        <v>59.4</v>
      </c>
      <c r="E155" s="363">
        <v>59.4</v>
      </c>
      <c r="F155" s="347">
        <f t="shared" si="28"/>
        <v>100</v>
      </c>
    </row>
    <row r="156" spans="1:6" ht="31.5" x14ac:dyDescent="0.25">
      <c r="A156" s="388"/>
      <c r="B156" s="364" t="s">
        <v>1144</v>
      </c>
      <c r="C156" s="363">
        <v>172.8</v>
      </c>
      <c r="D156" s="363">
        <v>188</v>
      </c>
      <c r="E156" s="363">
        <v>188</v>
      </c>
      <c r="F156" s="347">
        <f t="shared" si="28"/>
        <v>100</v>
      </c>
    </row>
    <row r="157" spans="1:6" ht="47.25" x14ac:dyDescent="0.25">
      <c r="A157" s="388"/>
      <c r="B157" s="364" t="s">
        <v>1145</v>
      </c>
      <c r="C157" s="363">
        <v>4.8</v>
      </c>
      <c r="D157" s="363">
        <v>5</v>
      </c>
      <c r="E157" s="363">
        <v>5</v>
      </c>
      <c r="F157" s="347">
        <f t="shared" si="28"/>
        <v>100</v>
      </c>
    </row>
    <row r="158" spans="1:6" ht="47.25" x14ac:dyDescent="0.25">
      <c r="A158" s="388"/>
      <c r="B158" s="364" t="s">
        <v>1146</v>
      </c>
      <c r="C158" s="363">
        <v>12.4</v>
      </c>
      <c r="D158" s="363">
        <v>12.9</v>
      </c>
      <c r="E158" s="363">
        <v>12.9</v>
      </c>
      <c r="F158" s="347">
        <f t="shared" si="28"/>
        <v>100</v>
      </c>
    </row>
    <row r="159" spans="1:6" ht="47.25" x14ac:dyDescent="0.25">
      <c r="A159" s="388"/>
      <c r="B159" s="364" t="s">
        <v>1147</v>
      </c>
      <c r="C159" s="363">
        <v>348.6</v>
      </c>
      <c r="D159" s="363">
        <v>364.6</v>
      </c>
      <c r="E159" s="363">
        <v>364.6</v>
      </c>
      <c r="F159" s="347">
        <f t="shared" si="28"/>
        <v>100</v>
      </c>
    </row>
    <row r="160" spans="1:6" ht="75" x14ac:dyDescent="0.25">
      <c r="A160" s="383" t="s">
        <v>1148</v>
      </c>
      <c r="B160" s="368" t="s">
        <v>1149</v>
      </c>
      <c r="C160" s="369">
        <f>C162</f>
        <v>3114.7049999999999</v>
      </c>
      <c r="D160" s="369">
        <f>D162</f>
        <v>2600.68453</v>
      </c>
      <c r="E160" s="369">
        <f>E162</f>
        <v>2600.68453</v>
      </c>
      <c r="F160" s="350">
        <f t="shared" si="28"/>
        <v>100</v>
      </c>
    </row>
    <row r="161" spans="1:6" ht="18.75" x14ac:dyDescent="0.25">
      <c r="A161" s="385"/>
      <c r="B161" s="386" t="s">
        <v>231</v>
      </c>
      <c r="C161" s="382"/>
      <c r="D161" s="382"/>
      <c r="E161" s="382"/>
      <c r="F161" s="347"/>
    </row>
    <row r="162" spans="1:6" ht="78.75" x14ac:dyDescent="0.25">
      <c r="A162" s="385"/>
      <c r="B162" s="370" t="s">
        <v>1150</v>
      </c>
      <c r="C162" s="363">
        <v>3114.7049999999999</v>
      </c>
      <c r="D162" s="363">
        <v>2600.68453</v>
      </c>
      <c r="E162" s="363">
        <v>2600.68453</v>
      </c>
      <c r="F162" s="347">
        <f t="shared" si="28"/>
        <v>100</v>
      </c>
    </row>
    <row r="163" spans="1:6" ht="56.25" x14ac:dyDescent="0.25">
      <c r="A163" s="393" t="s">
        <v>1151</v>
      </c>
      <c r="B163" s="368" t="s">
        <v>1152</v>
      </c>
      <c r="C163" s="369">
        <v>1111.9000000000001</v>
      </c>
      <c r="D163" s="369">
        <v>1291.5</v>
      </c>
      <c r="E163" s="369">
        <v>1291.5</v>
      </c>
      <c r="F163" s="350">
        <f t="shared" si="28"/>
        <v>100</v>
      </c>
    </row>
    <row r="164" spans="1:6" ht="75" x14ac:dyDescent="0.25">
      <c r="A164" s="394" t="s">
        <v>1153</v>
      </c>
      <c r="B164" s="368" t="s">
        <v>1154</v>
      </c>
      <c r="C164" s="369">
        <v>2.2000000000000002</v>
      </c>
      <c r="D164" s="369">
        <v>2.2000000000000002</v>
      </c>
      <c r="E164" s="369">
        <v>2.2000000000000002</v>
      </c>
      <c r="F164" s="350">
        <f t="shared" si="28"/>
        <v>100</v>
      </c>
    </row>
    <row r="165" spans="1:6" ht="37.5" x14ac:dyDescent="0.25">
      <c r="A165" s="383" t="s">
        <v>1155</v>
      </c>
      <c r="B165" s="368" t="s">
        <v>1156</v>
      </c>
      <c r="C165" s="369">
        <v>1118</v>
      </c>
      <c r="D165" s="369">
        <v>1118</v>
      </c>
      <c r="E165" s="369">
        <v>1118</v>
      </c>
      <c r="F165" s="350">
        <f t="shared" si="28"/>
        <v>100</v>
      </c>
    </row>
    <row r="166" spans="1:6" ht="18.75" x14ac:dyDescent="0.25">
      <c r="A166" s="383" t="s">
        <v>1157</v>
      </c>
      <c r="B166" s="368" t="s">
        <v>1158</v>
      </c>
      <c r="C166" s="369">
        <f>SUM(C168:C168)</f>
        <v>98.75779</v>
      </c>
      <c r="D166" s="369">
        <f>SUM(D168:D168)</f>
        <v>98.75779</v>
      </c>
      <c r="E166" s="369">
        <f>SUM(E168:E168)</f>
        <v>98.75779</v>
      </c>
      <c r="F166" s="350">
        <f t="shared" si="28"/>
        <v>100</v>
      </c>
    </row>
    <row r="167" spans="1:6" ht="18.75" x14ac:dyDescent="0.25">
      <c r="A167" s="385"/>
      <c r="B167" s="386" t="s">
        <v>231</v>
      </c>
      <c r="C167" s="382"/>
      <c r="D167" s="382"/>
      <c r="E167" s="382"/>
      <c r="F167" s="347"/>
    </row>
    <row r="168" spans="1:6" ht="47.25" x14ac:dyDescent="0.25">
      <c r="A168" s="385"/>
      <c r="B168" s="370" t="s">
        <v>1159</v>
      </c>
      <c r="C168" s="363">
        <v>98.75779</v>
      </c>
      <c r="D168" s="363">
        <v>98.75779</v>
      </c>
      <c r="E168" s="363">
        <v>98.75779</v>
      </c>
      <c r="F168" s="347">
        <f t="shared" si="28"/>
        <v>100</v>
      </c>
    </row>
    <row r="169" spans="1:6" ht="18.75" x14ac:dyDescent="0.25">
      <c r="A169" s="311" t="s">
        <v>1160</v>
      </c>
      <c r="B169" s="395" t="s">
        <v>1161</v>
      </c>
      <c r="C169" s="313">
        <f>C173+C172+C170+C171</f>
        <v>35651.025399999999</v>
      </c>
      <c r="D169" s="313">
        <f t="shared" ref="D169:E169" si="29">D173+D172+D170+D171</f>
        <v>41280.102019999998</v>
      </c>
      <c r="E169" s="313">
        <f t="shared" si="29"/>
        <v>40857.817219999997</v>
      </c>
      <c r="F169" s="367">
        <f t="shared" si="28"/>
        <v>98.977025784007495</v>
      </c>
    </row>
    <row r="170" spans="1:6" s="177" customFormat="1" ht="63" x14ac:dyDescent="0.25">
      <c r="A170" s="383" t="s">
        <v>1162</v>
      </c>
      <c r="B170" s="396" t="s">
        <v>1163</v>
      </c>
      <c r="C170" s="369">
        <v>428.48340000000002</v>
      </c>
      <c r="D170" s="369">
        <v>428.48340000000002</v>
      </c>
      <c r="E170" s="379">
        <v>428.48340000000002</v>
      </c>
      <c r="F170" s="362">
        <f t="shared" si="28"/>
        <v>100</v>
      </c>
    </row>
    <row r="171" spans="1:6" s="177" customFormat="1" ht="110.25" x14ac:dyDescent="0.25">
      <c r="A171" s="383" t="s">
        <v>1164</v>
      </c>
      <c r="B171" s="396" t="s">
        <v>1165</v>
      </c>
      <c r="C171" s="369">
        <v>0</v>
      </c>
      <c r="D171" s="369">
        <v>89.8</v>
      </c>
      <c r="E171" s="379">
        <v>89.8</v>
      </c>
      <c r="F171" s="362">
        <f t="shared" si="28"/>
        <v>100</v>
      </c>
    </row>
    <row r="172" spans="1:6" ht="47.25" x14ac:dyDescent="0.25">
      <c r="A172" s="383" t="s">
        <v>1166</v>
      </c>
      <c r="B172" s="396" t="s">
        <v>1167</v>
      </c>
      <c r="C172" s="369">
        <v>12128.1</v>
      </c>
      <c r="D172" s="369">
        <v>19819.400000000001</v>
      </c>
      <c r="E172" s="369">
        <v>19819.400000000001</v>
      </c>
      <c r="F172" s="362">
        <f t="shared" si="28"/>
        <v>100</v>
      </c>
    </row>
    <row r="173" spans="1:6" ht="31.5" x14ac:dyDescent="0.25">
      <c r="A173" s="383" t="s">
        <v>1168</v>
      </c>
      <c r="B173" s="396" t="s">
        <v>1169</v>
      </c>
      <c r="C173" s="369">
        <f>SUM(C175:C182)</f>
        <v>23094.441999999999</v>
      </c>
      <c r="D173" s="369">
        <f t="shared" ref="D173:E173" si="30">SUM(D175:D182)</f>
        <v>20942.418619999997</v>
      </c>
      <c r="E173" s="369">
        <f t="shared" si="30"/>
        <v>20520.133819999999</v>
      </c>
      <c r="F173" s="362">
        <f t="shared" si="28"/>
        <v>97.983591066235704</v>
      </c>
    </row>
    <row r="174" spans="1:6" ht="18.75" x14ac:dyDescent="0.25">
      <c r="A174" s="383"/>
      <c r="B174" s="386" t="s">
        <v>231</v>
      </c>
      <c r="C174" s="369"/>
      <c r="D174" s="369"/>
      <c r="E174" s="369"/>
      <c r="F174" s="347"/>
    </row>
    <row r="175" spans="1:6" s="365" customFormat="1" ht="31.5" x14ac:dyDescent="0.25">
      <c r="A175" s="388"/>
      <c r="B175" s="370" t="s">
        <v>1170</v>
      </c>
      <c r="C175" s="363">
        <v>0</v>
      </c>
      <c r="D175" s="363">
        <v>360.55410000000001</v>
      </c>
      <c r="E175" s="363">
        <v>360.55410000000001</v>
      </c>
      <c r="F175" s="397">
        <f t="shared" si="28"/>
        <v>100</v>
      </c>
    </row>
    <row r="176" spans="1:6" s="365" customFormat="1" ht="47.25" x14ac:dyDescent="0.25">
      <c r="A176" s="388"/>
      <c r="B176" s="370" t="s">
        <v>1171</v>
      </c>
      <c r="C176" s="363">
        <v>0</v>
      </c>
      <c r="D176" s="363">
        <v>852.5</v>
      </c>
      <c r="E176" s="363">
        <v>852.5</v>
      </c>
      <c r="F176" s="397">
        <f t="shared" si="28"/>
        <v>100</v>
      </c>
    </row>
    <row r="177" spans="1:6" s="365" customFormat="1" ht="47.25" x14ac:dyDescent="0.25">
      <c r="A177" s="388"/>
      <c r="B177" s="370" t="s">
        <v>1172</v>
      </c>
      <c r="C177" s="363">
        <v>13563.3</v>
      </c>
      <c r="D177" s="363">
        <v>11620.9</v>
      </c>
      <c r="E177" s="363">
        <v>11198.6152</v>
      </c>
      <c r="F177" s="397">
        <f t="shared" si="28"/>
        <v>96.366160968599672</v>
      </c>
    </row>
    <row r="178" spans="1:6" s="365" customFormat="1" ht="18.75" x14ac:dyDescent="0.25">
      <c r="A178" s="388"/>
      <c r="B178" s="370" t="s">
        <v>1173</v>
      </c>
      <c r="C178" s="363">
        <v>7398.1419999999998</v>
      </c>
      <c r="D178" s="363">
        <v>4610.76</v>
      </c>
      <c r="E178" s="363">
        <v>4610.76</v>
      </c>
      <c r="F178" s="397">
        <f t="shared" si="28"/>
        <v>100</v>
      </c>
    </row>
    <row r="179" spans="1:6" s="365" customFormat="1" ht="45" customHeight="1" x14ac:dyDescent="0.25">
      <c r="A179" s="388"/>
      <c r="B179" s="370" t="s">
        <v>1174</v>
      </c>
      <c r="C179" s="363">
        <v>0</v>
      </c>
      <c r="D179" s="363">
        <v>1025.70452</v>
      </c>
      <c r="E179" s="363">
        <v>1025.70452</v>
      </c>
      <c r="F179" s="397">
        <f t="shared" si="28"/>
        <v>100</v>
      </c>
    </row>
    <row r="180" spans="1:6" s="365" customFormat="1" ht="45" customHeight="1" x14ac:dyDescent="0.25">
      <c r="A180" s="388"/>
      <c r="B180" s="370" t="s">
        <v>1175</v>
      </c>
      <c r="C180" s="363">
        <v>2133</v>
      </c>
      <c r="D180" s="363">
        <v>2133</v>
      </c>
      <c r="E180" s="363">
        <v>2133</v>
      </c>
      <c r="F180" s="397">
        <f t="shared" si="28"/>
        <v>100</v>
      </c>
    </row>
    <row r="181" spans="1:6" s="365" customFormat="1" ht="47.25" x14ac:dyDescent="0.25">
      <c r="A181" s="388"/>
      <c r="B181" s="370" t="s">
        <v>1176</v>
      </c>
      <c r="C181" s="363">
        <v>0</v>
      </c>
      <c r="D181" s="363">
        <v>324</v>
      </c>
      <c r="E181" s="363">
        <v>324</v>
      </c>
      <c r="F181" s="397">
        <f t="shared" si="28"/>
        <v>100</v>
      </c>
    </row>
    <row r="182" spans="1:6" s="365" customFormat="1" ht="31.5" x14ac:dyDescent="0.25">
      <c r="A182" s="388"/>
      <c r="B182" s="370" t="s">
        <v>1177</v>
      </c>
      <c r="C182" s="363">
        <v>0</v>
      </c>
      <c r="D182" s="363">
        <v>15</v>
      </c>
      <c r="E182" s="363">
        <v>15</v>
      </c>
      <c r="F182" s="397">
        <f t="shared" si="28"/>
        <v>100</v>
      </c>
    </row>
    <row r="183" spans="1:6" s="365" customFormat="1" ht="18.75" x14ac:dyDescent="0.25">
      <c r="A183" s="354" t="s">
        <v>1178</v>
      </c>
      <c r="B183" s="355" t="s">
        <v>1179</v>
      </c>
      <c r="C183" s="398">
        <f>C184</f>
        <v>0</v>
      </c>
      <c r="D183" s="398">
        <f t="shared" ref="D183:E183" si="31">D184</f>
        <v>0</v>
      </c>
      <c r="E183" s="398">
        <f t="shared" si="31"/>
        <v>45</v>
      </c>
      <c r="F183" s="399">
        <v>0</v>
      </c>
    </row>
    <row r="184" spans="1:6" s="365" customFormat="1" ht="18.75" x14ac:dyDescent="0.25">
      <c r="A184" s="321" t="s">
        <v>1180</v>
      </c>
      <c r="B184" s="370" t="s">
        <v>1181</v>
      </c>
      <c r="C184" s="363">
        <v>0</v>
      </c>
      <c r="D184" s="363">
        <v>0</v>
      </c>
      <c r="E184" s="363">
        <v>45</v>
      </c>
      <c r="F184" s="397">
        <v>0</v>
      </c>
    </row>
    <row r="185" spans="1:6" s="365" customFormat="1" ht="75" x14ac:dyDescent="0.25">
      <c r="A185" s="354" t="s">
        <v>1182</v>
      </c>
      <c r="B185" s="400" t="s">
        <v>1183</v>
      </c>
      <c r="C185" s="401">
        <f>C186</f>
        <v>591.6</v>
      </c>
      <c r="D185" s="401">
        <f>D186</f>
        <v>591.6</v>
      </c>
      <c r="E185" s="401">
        <f>E186</f>
        <v>591.57863999999995</v>
      </c>
      <c r="F185" s="399">
        <f t="shared" si="28"/>
        <v>99.99638945233265</v>
      </c>
    </row>
    <row r="186" spans="1:6" s="365" customFormat="1" ht="31.5" x14ac:dyDescent="0.25">
      <c r="A186" s="321" t="s">
        <v>1184</v>
      </c>
      <c r="B186" s="370" t="s">
        <v>1185</v>
      </c>
      <c r="C186" s="363">
        <v>591.6</v>
      </c>
      <c r="D186" s="363">
        <v>591.6</v>
      </c>
      <c r="E186" s="363">
        <v>591.57863999999995</v>
      </c>
      <c r="F186" s="347">
        <f t="shared" si="28"/>
        <v>99.99638945233265</v>
      </c>
    </row>
    <row r="187" spans="1:6" ht="56.25" x14ac:dyDescent="0.25">
      <c r="A187" s="354" t="s">
        <v>1186</v>
      </c>
      <c r="B187" s="400" t="s">
        <v>1187</v>
      </c>
      <c r="C187" s="401">
        <f>C188</f>
        <v>-6068.44488</v>
      </c>
      <c r="D187" s="401">
        <f>D188</f>
        <v>-6068.44488</v>
      </c>
      <c r="E187" s="401">
        <f>E188</f>
        <v>-6068.4286899999997</v>
      </c>
      <c r="F187" s="399">
        <f t="shared" ref="F187:F191" si="32">E187/D187*100</f>
        <v>99.999733210067475</v>
      </c>
    </row>
    <row r="188" spans="1:6" s="365" customFormat="1" ht="31.5" x14ac:dyDescent="0.25">
      <c r="A188" s="321" t="s">
        <v>1188</v>
      </c>
      <c r="B188" s="370" t="s">
        <v>1189</v>
      </c>
      <c r="C188" s="363">
        <v>-6068.44488</v>
      </c>
      <c r="D188" s="363">
        <v>-6068.44488</v>
      </c>
      <c r="E188" s="363">
        <v>-6068.4286899999997</v>
      </c>
      <c r="F188" s="347">
        <f t="shared" si="32"/>
        <v>99.999733210067475</v>
      </c>
    </row>
    <row r="189" spans="1:6" ht="18.75" x14ac:dyDescent="0.25">
      <c r="A189" s="388"/>
      <c r="B189" s="402" t="s">
        <v>1190</v>
      </c>
      <c r="C189" s="384">
        <f>C11+C101</f>
        <v>1019910.3766700001</v>
      </c>
      <c r="D189" s="384">
        <f>D11+D101</f>
        <v>1078766.0110500001</v>
      </c>
      <c r="E189" s="384">
        <f>E11+E101</f>
        <v>1063968.70105</v>
      </c>
      <c r="F189" s="350">
        <f t="shared" si="32"/>
        <v>98.628311436546156</v>
      </c>
    </row>
    <row r="190" spans="1:6" ht="18.75" hidden="1" x14ac:dyDescent="0.25">
      <c r="F190" s="404" t="e">
        <f t="shared" si="32"/>
        <v>#DIV/0!</v>
      </c>
    </row>
    <row r="191" spans="1:6" ht="18.75" hidden="1" x14ac:dyDescent="0.25">
      <c r="F191" s="405" t="e">
        <f t="shared" si="32"/>
        <v>#DIV/0!</v>
      </c>
    </row>
  </sheetData>
  <mergeCells count="11">
    <mergeCell ref="F7:F9"/>
    <mergeCell ref="D1:F1"/>
    <mergeCell ref="A2:F2"/>
    <mergeCell ref="A3:F3"/>
    <mergeCell ref="D4:F4"/>
    <mergeCell ref="A5:F5"/>
    <mergeCell ref="A7:A9"/>
    <mergeCell ref="B7:B9"/>
    <mergeCell ref="C7:C9"/>
    <mergeCell ref="D7:D9"/>
    <mergeCell ref="E7:E9"/>
  </mergeCells>
  <pageMargins left="1.1811023622047245" right="0.39370078740157483" top="0.19685039370078741" bottom="0.19685039370078741" header="0" footer="0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6"/>
  <sheetViews>
    <sheetView view="pageBreakPreview" topLeftCell="A22" zoomScale="89" zoomScaleSheetLayoutView="89" workbookViewId="0">
      <selection activeCell="M13" sqref="M13"/>
    </sheetView>
  </sheetViews>
  <sheetFormatPr defaultColWidth="9.140625" defaultRowHeight="15.75" x14ac:dyDescent="0.2"/>
  <cols>
    <col min="1" max="1" width="9.42578125" style="514" bestFit="1" customWidth="1"/>
    <col min="2" max="2" width="13.5703125" style="514" customWidth="1"/>
    <col min="3" max="3" width="54.140625" style="485" customWidth="1"/>
    <col min="4" max="5" width="15.42578125" style="515" customWidth="1"/>
    <col min="6" max="6" width="15" style="515" customWidth="1"/>
    <col min="7" max="7" width="9.28515625" style="515" customWidth="1"/>
    <col min="8" max="8" width="15.7109375" style="516" customWidth="1"/>
    <col min="9" max="9" width="9" style="485" customWidth="1"/>
    <col min="10" max="16384" width="9.140625" style="485"/>
  </cols>
  <sheetData>
    <row r="1" spans="1:9" ht="15.75" customHeight="1" x14ac:dyDescent="0.25">
      <c r="A1" s="483"/>
      <c r="B1" s="483"/>
      <c r="C1" s="267"/>
      <c r="D1" s="484"/>
      <c r="E1" s="484"/>
      <c r="F1" s="484"/>
      <c r="G1" s="721" t="s">
        <v>1218</v>
      </c>
      <c r="H1" s="721"/>
    </row>
    <row r="2" spans="1:9" ht="15.75" customHeight="1" x14ac:dyDescent="0.25">
      <c r="A2" s="721" t="s">
        <v>835</v>
      </c>
      <c r="B2" s="721"/>
      <c r="C2" s="721"/>
      <c r="D2" s="721"/>
      <c r="E2" s="721"/>
      <c r="F2" s="721"/>
      <c r="G2" s="721"/>
      <c r="H2" s="721"/>
    </row>
    <row r="3" spans="1:9" ht="15.75" customHeight="1" x14ac:dyDescent="0.25">
      <c r="A3" s="722" t="s">
        <v>836</v>
      </c>
      <c r="B3" s="722"/>
      <c r="C3" s="722"/>
      <c r="D3" s="722"/>
      <c r="E3" s="722"/>
      <c r="F3" s="722"/>
      <c r="G3" s="722"/>
      <c r="H3" s="722"/>
    </row>
    <row r="4" spans="1:9" ht="15.75" customHeight="1" x14ac:dyDescent="0.25">
      <c r="A4" s="486"/>
      <c r="B4" s="486"/>
      <c r="C4" s="486"/>
      <c r="D4" s="486"/>
      <c r="E4" s="486"/>
      <c r="F4" s="486"/>
      <c r="G4" s="723" t="s">
        <v>1230</v>
      </c>
      <c r="H4" s="723"/>
    </row>
    <row r="5" spans="1:9" x14ac:dyDescent="0.25">
      <c r="A5" s="724" t="s">
        <v>1235</v>
      </c>
      <c r="B5" s="724"/>
      <c r="C5" s="724"/>
      <c r="D5" s="724"/>
      <c r="E5" s="724"/>
      <c r="F5" s="724"/>
      <c r="G5" s="724"/>
      <c r="H5" s="724"/>
    </row>
    <row r="6" spans="1:9" ht="13.5" customHeight="1" x14ac:dyDescent="0.25">
      <c r="A6" s="720" t="s">
        <v>1236</v>
      </c>
      <c r="B6" s="720"/>
      <c r="C6" s="720"/>
      <c r="D6" s="720"/>
      <c r="E6" s="720"/>
      <c r="F6" s="720"/>
      <c r="G6" s="720"/>
      <c r="H6" s="720"/>
    </row>
    <row r="7" spans="1:9" x14ac:dyDescent="0.25">
      <c r="A7" s="724" t="s">
        <v>1267</v>
      </c>
      <c r="B7" s="724"/>
      <c r="C7" s="724"/>
      <c r="D7" s="724"/>
      <c r="E7" s="724"/>
      <c r="F7" s="724"/>
      <c r="G7" s="724"/>
      <c r="H7" s="724"/>
    </row>
    <row r="8" spans="1:9" x14ac:dyDescent="0.2">
      <c r="A8" s="483"/>
      <c r="B8" s="483"/>
      <c r="C8" s="267"/>
      <c r="D8" s="484"/>
      <c r="E8" s="484"/>
      <c r="F8" s="484"/>
      <c r="G8" s="484"/>
      <c r="H8" s="487" t="s">
        <v>891</v>
      </c>
    </row>
    <row r="9" spans="1:9" ht="63.75" customHeight="1" x14ac:dyDescent="0.2">
      <c r="A9" s="725" t="s">
        <v>537</v>
      </c>
      <c r="B9" s="725" t="s">
        <v>0</v>
      </c>
      <c r="C9" s="726" t="s">
        <v>1237</v>
      </c>
      <c r="D9" s="726" t="s">
        <v>829</v>
      </c>
      <c r="E9" s="726" t="s">
        <v>1238</v>
      </c>
      <c r="F9" s="727" t="s">
        <v>1239</v>
      </c>
      <c r="G9" s="726" t="s">
        <v>831</v>
      </c>
      <c r="H9" s="726" t="s">
        <v>1240</v>
      </c>
      <c r="I9" s="485">
        <v>94236.6</v>
      </c>
    </row>
    <row r="10" spans="1:9" ht="38.25" customHeight="1" x14ac:dyDescent="0.2">
      <c r="A10" s="725"/>
      <c r="B10" s="725"/>
      <c r="C10" s="726"/>
      <c r="D10" s="726"/>
      <c r="E10" s="726"/>
      <c r="F10" s="728"/>
      <c r="G10" s="726"/>
      <c r="H10" s="726"/>
      <c r="I10" s="624"/>
    </row>
    <row r="11" spans="1:9" x14ac:dyDescent="0.2">
      <c r="A11" s="16">
        <v>1</v>
      </c>
      <c r="B11" s="16">
        <v>2</v>
      </c>
      <c r="C11" s="65">
        <v>3</v>
      </c>
      <c r="D11" s="65">
        <v>4</v>
      </c>
      <c r="E11" s="65">
        <v>5</v>
      </c>
      <c r="F11" s="65"/>
      <c r="G11" s="65">
        <v>6</v>
      </c>
      <c r="H11" s="488">
        <v>7</v>
      </c>
    </row>
    <row r="12" spans="1:9" x14ac:dyDescent="0.2">
      <c r="A12" s="489"/>
      <c r="B12" s="489"/>
      <c r="C12" s="490" t="s">
        <v>1241</v>
      </c>
      <c r="D12" s="491">
        <f>Справочно.ЦС!E594</f>
        <v>1111731.8413800003</v>
      </c>
      <c r="E12" s="491">
        <f>Справочно.ЦС!F594</f>
        <v>1066596.4408800004</v>
      </c>
      <c r="F12" s="491">
        <v>969468.64604000002</v>
      </c>
      <c r="G12" s="492">
        <f>SUM(E12/D12*100)</f>
        <v>95.940082057560474</v>
      </c>
      <c r="H12" s="488"/>
    </row>
    <row r="13" spans="1:9" ht="31.5" x14ac:dyDescent="0.2">
      <c r="A13" s="489"/>
      <c r="B13" s="489"/>
      <c r="C13" s="490" t="s">
        <v>1242</v>
      </c>
      <c r="D13" s="493">
        <f>D15+D31+D33+D35+D27</f>
        <v>85923.441049999979</v>
      </c>
      <c r="E13" s="493">
        <f>E15+E31+E33+E35+E27</f>
        <v>85809.85692999998</v>
      </c>
      <c r="F13" s="491">
        <f>F15+F31+F33+F35+F27</f>
        <v>85811.453514000008</v>
      </c>
      <c r="G13" s="492">
        <f>SUM(E13/D13*100)</f>
        <v>99.867807761639909</v>
      </c>
      <c r="H13" s="488"/>
      <c r="I13" s="494"/>
    </row>
    <row r="14" spans="1:9" ht="31.5" x14ac:dyDescent="0.2">
      <c r="A14" s="489"/>
      <c r="B14" s="489"/>
      <c r="C14" s="490" t="s">
        <v>1243</v>
      </c>
      <c r="D14" s="493">
        <f>SUM(D13/D12*100)</f>
        <v>7.7287919489058279</v>
      </c>
      <c r="E14" s="493">
        <f>SUM(E13/E12*100)</f>
        <v>8.0452037566525298</v>
      </c>
      <c r="F14" s="495">
        <f>SUM(F13/F12*100)</f>
        <v>8.8513902811106959</v>
      </c>
      <c r="G14" s="492"/>
      <c r="H14" s="488"/>
    </row>
    <row r="15" spans="1:9" x14ac:dyDescent="0.2">
      <c r="A15" s="729" t="s">
        <v>1244</v>
      </c>
      <c r="B15" s="729"/>
      <c r="C15" s="729"/>
      <c r="D15" s="496">
        <f>SUM(D16:D26)</f>
        <v>65229.063129999995</v>
      </c>
      <c r="E15" s="496">
        <f>SUM(E16:E26)</f>
        <v>65211.181769999996</v>
      </c>
      <c r="F15" s="497">
        <f>SUM(F16:F26)</f>
        <v>65208.442894000007</v>
      </c>
      <c r="G15" s="498">
        <f>SUM(E15/D15*100)</f>
        <v>99.972586820748347</v>
      </c>
      <c r="H15" s="499">
        <f>E15/E13*100</f>
        <v>75.994977853414312</v>
      </c>
    </row>
    <row r="16" spans="1:9" ht="47.25" x14ac:dyDescent="0.2">
      <c r="A16" s="500" t="s">
        <v>531</v>
      </c>
      <c r="B16" s="500" t="s">
        <v>1245</v>
      </c>
      <c r="C16" s="501" t="s">
        <v>1246</v>
      </c>
      <c r="D16" s="502">
        <v>2520.9</v>
      </c>
      <c r="E16" s="503">
        <v>2520.9</v>
      </c>
      <c r="F16" s="504">
        <v>2539.8828199999998</v>
      </c>
      <c r="G16" s="505">
        <f>SUM(E16/D16*100)</f>
        <v>100</v>
      </c>
      <c r="H16" s="488"/>
    </row>
    <row r="17" spans="1:9" ht="47.25" x14ac:dyDescent="0.2">
      <c r="A17" s="500" t="s">
        <v>533</v>
      </c>
      <c r="B17" s="500" t="s">
        <v>1247</v>
      </c>
      <c r="C17" s="501" t="s">
        <v>1248</v>
      </c>
      <c r="D17" s="502">
        <v>46845.222079999992</v>
      </c>
      <c r="E17" s="502">
        <v>46845.221259999991</v>
      </c>
      <c r="F17" s="504">
        <v>46519.979910000002</v>
      </c>
      <c r="G17" s="505">
        <f>SUM(E17/D17*100)</f>
        <v>99.999998249554665</v>
      </c>
      <c r="H17" s="488"/>
    </row>
    <row r="18" spans="1:9" ht="39.75" customHeight="1" x14ac:dyDescent="0.2">
      <c r="A18" s="500" t="s">
        <v>533</v>
      </c>
      <c r="B18" s="500" t="s">
        <v>1256</v>
      </c>
      <c r="C18" s="510" t="s">
        <v>762</v>
      </c>
      <c r="D18" s="503">
        <v>52.221049999999998</v>
      </c>
      <c r="E18" s="503">
        <v>52.221049999999998</v>
      </c>
      <c r="F18" s="503">
        <v>52.221049999999998</v>
      </c>
      <c r="G18" s="505">
        <f>SUM(E18/D18*100)</f>
        <v>100</v>
      </c>
      <c r="H18" s="488"/>
      <c r="I18" s="509"/>
    </row>
    <row r="19" spans="1:9" ht="94.5" x14ac:dyDescent="0.2">
      <c r="A19" s="500" t="s">
        <v>535</v>
      </c>
      <c r="B19" s="500" t="s">
        <v>1249</v>
      </c>
      <c r="C19" s="506" t="s">
        <v>1250</v>
      </c>
      <c r="D19" s="502">
        <v>810.7</v>
      </c>
      <c r="E19" s="502">
        <v>810.7</v>
      </c>
      <c r="F19" s="507">
        <v>782.15599999999995</v>
      </c>
      <c r="G19" s="505">
        <f t="shared" ref="G19:G26" si="0">E19/D19*100</f>
        <v>100</v>
      </c>
      <c r="H19" s="488"/>
      <c r="I19" s="508"/>
    </row>
    <row r="20" spans="1:9" ht="47.25" x14ac:dyDescent="0.2">
      <c r="A20" s="500" t="s">
        <v>535</v>
      </c>
      <c r="B20" s="500" t="s">
        <v>1251</v>
      </c>
      <c r="C20" s="506" t="s">
        <v>1252</v>
      </c>
      <c r="D20" s="502">
        <v>56</v>
      </c>
      <c r="E20" s="502">
        <v>56</v>
      </c>
      <c r="F20" s="507">
        <v>56</v>
      </c>
      <c r="G20" s="505">
        <f t="shared" si="0"/>
        <v>100</v>
      </c>
      <c r="H20" s="488"/>
      <c r="I20" s="508"/>
    </row>
    <row r="21" spans="1:9" ht="94.5" x14ac:dyDescent="0.2">
      <c r="A21" s="500" t="s">
        <v>535</v>
      </c>
      <c r="B21" s="500" t="s">
        <v>1253</v>
      </c>
      <c r="C21" s="506" t="s">
        <v>17</v>
      </c>
      <c r="D21" s="502">
        <v>42</v>
      </c>
      <c r="E21" s="502">
        <v>42</v>
      </c>
      <c r="F21" s="507">
        <v>42</v>
      </c>
      <c r="G21" s="505">
        <f t="shared" si="0"/>
        <v>100</v>
      </c>
      <c r="H21" s="488"/>
      <c r="I21" s="508"/>
    </row>
    <row r="22" spans="1:9" x14ac:dyDescent="0.2">
      <c r="A22" s="500" t="s">
        <v>535</v>
      </c>
      <c r="B22" s="500" t="s">
        <v>1268</v>
      </c>
      <c r="C22" s="506" t="s">
        <v>52</v>
      </c>
      <c r="D22" s="502">
        <v>50</v>
      </c>
      <c r="E22" s="502">
        <v>50</v>
      </c>
      <c r="F22" s="507">
        <v>50</v>
      </c>
      <c r="G22" s="505">
        <f t="shared" ref="G22:G23" si="1">SUM(E22/D22*100)</f>
        <v>100</v>
      </c>
      <c r="H22" s="488"/>
      <c r="I22" s="508"/>
    </row>
    <row r="23" spans="1:9" x14ac:dyDescent="0.2">
      <c r="A23" s="500" t="s">
        <v>535</v>
      </c>
      <c r="B23" s="500" t="s">
        <v>1269</v>
      </c>
      <c r="C23" s="506" t="s">
        <v>54</v>
      </c>
      <c r="D23" s="502">
        <v>31.3</v>
      </c>
      <c r="E23" s="502">
        <v>31.3</v>
      </c>
      <c r="F23" s="507">
        <v>31.3</v>
      </c>
      <c r="G23" s="505">
        <f t="shared" si="1"/>
        <v>100</v>
      </c>
      <c r="H23" s="488"/>
      <c r="I23" s="508"/>
    </row>
    <row r="24" spans="1:9" ht="39.75" customHeight="1" x14ac:dyDescent="0.2">
      <c r="A24" s="500" t="s">
        <v>535</v>
      </c>
      <c r="B24" s="500" t="s">
        <v>1254</v>
      </c>
      <c r="C24" s="506" t="s">
        <v>1255</v>
      </c>
      <c r="D24" s="503">
        <v>14210.72</v>
      </c>
      <c r="E24" s="503">
        <v>14192.90561</v>
      </c>
      <c r="F24" s="504">
        <f>9409.887964+5176.5</f>
        <v>14586.387964</v>
      </c>
      <c r="G24" s="505">
        <f>E24/D24*100</f>
        <v>99.874641186371989</v>
      </c>
      <c r="H24" s="488"/>
      <c r="I24" s="509"/>
    </row>
    <row r="25" spans="1:9" ht="47.25" x14ac:dyDescent="0.2">
      <c r="A25" s="500" t="s">
        <v>535</v>
      </c>
      <c r="B25" s="500" t="s">
        <v>1257</v>
      </c>
      <c r="C25" s="506" t="s">
        <v>411</v>
      </c>
      <c r="D25" s="502">
        <v>300</v>
      </c>
      <c r="E25" s="502">
        <v>299.93385000000001</v>
      </c>
      <c r="F25" s="504">
        <v>238.51515000000001</v>
      </c>
      <c r="G25" s="505">
        <f t="shared" si="0"/>
        <v>99.977950000000007</v>
      </c>
      <c r="H25" s="488"/>
      <c r="I25" s="508"/>
    </row>
    <row r="26" spans="1:9" ht="31.5" x14ac:dyDescent="0.2">
      <c r="A26" s="500" t="s">
        <v>535</v>
      </c>
      <c r="B26" s="500" t="s">
        <v>1258</v>
      </c>
      <c r="C26" s="506" t="s">
        <v>413</v>
      </c>
      <c r="D26" s="502">
        <v>310</v>
      </c>
      <c r="E26" s="502">
        <v>310</v>
      </c>
      <c r="F26" s="507">
        <v>310</v>
      </c>
      <c r="G26" s="505">
        <f t="shared" si="0"/>
        <v>100</v>
      </c>
      <c r="H26" s="488"/>
      <c r="I26" s="508"/>
    </row>
    <row r="27" spans="1:9" x14ac:dyDescent="0.2">
      <c r="A27" s="729" t="s">
        <v>1259</v>
      </c>
      <c r="B27" s="729"/>
      <c r="C27" s="729"/>
      <c r="D27" s="496">
        <f>SUM(D28:D30)</f>
        <v>3059.7</v>
      </c>
      <c r="E27" s="496">
        <f>SUM(E28:E30)</f>
        <v>3059.7</v>
      </c>
      <c r="F27" s="497">
        <f>SUM(F28:F30)</f>
        <v>3042.0805999999998</v>
      </c>
      <c r="G27" s="498">
        <f t="shared" ref="G27:G36" si="2">SUM(E27/D27*100)</f>
        <v>100</v>
      </c>
      <c r="H27" s="499">
        <f>E27/E17*100</f>
        <v>6.5315093358574954</v>
      </c>
    </row>
    <row r="28" spans="1:9" ht="31.5" x14ac:dyDescent="0.2">
      <c r="A28" s="500" t="s">
        <v>623</v>
      </c>
      <c r="B28" s="500" t="s">
        <v>1260</v>
      </c>
      <c r="C28" s="506" t="s">
        <v>1261</v>
      </c>
      <c r="D28" s="502">
        <v>1164</v>
      </c>
      <c r="E28" s="502">
        <v>1164</v>
      </c>
      <c r="F28" s="507">
        <v>1164</v>
      </c>
      <c r="G28" s="505">
        <f t="shared" si="2"/>
        <v>100</v>
      </c>
      <c r="H28" s="488"/>
    </row>
    <row r="29" spans="1:9" ht="35.25" customHeight="1" x14ac:dyDescent="0.2">
      <c r="A29" s="500" t="s">
        <v>623</v>
      </c>
      <c r="B29" s="500" t="s">
        <v>1262</v>
      </c>
      <c r="C29" s="506" t="s">
        <v>1263</v>
      </c>
      <c r="D29" s="502">
        <v>1745.7</v>
      </c>
      <c r="E29" s="502">
        <v>1745.7</v>
      </c>
      <c r="F29" s="504">
        <v>1744.6217799999999</v>
      </c>
      <c r="G29" s="505">
        <f t="shared" si="2"/>
        <v>100</v>
      </c>
      <c r="H29" s="488"/>
    </row>
    <row r="30" spans="1:9" ht="35.25" customHeight="1" x14ac:dyDescent="0.2">
      <c r="A30" s="500" t="s">
        <v>623</v>
      </c>
      <c r="B30" s="500" t="s">
        <v>1257</v>
      </c>
      <c r="C30" s="511" t="s">
        <v>411</v>
      </c>
      <c r="D30" s="502">
        <v>150</v>
      </c>
      <c r="E30" s="502">
        <v>150</v>
      </c>
      <c r="F30" s="504">
        <v>133.45882</v>
      </c>
      <c r="G30" s="505">
        <f t="shared" si="2"/>
        <v>100</v>
      </c>
      <c r="H30" s="488"/>
    </row>
    <row r="31" spans="1:9" ht="36" customHeight="1" x14ac:dyDescent="0.2">
      <c r="A31" s="730" t="s">
        <v>1264</v>
      </c>
      <c r="B31" s="731"/>
      <c r="C31" s="732"/>
      <c r="D31" s="496">
        <f>SUM(D32:D32)</f>
        <v>7685.0779199999997</v>
      </c>
      <c r="E31" s="496">
        <f>SUM(E32:E32)</f>
        <v>7589.3853799999997</v>
      </c>
      <c r="F31" s="497">
        <f>SUM(F32:F32)</f>
        <v>7459.09998</v>
      </c>
      <c r="G31" s="498">
        <f t="shared" si="2"/>
        <v>98.754826678452218</v>
      </c>
      <c r="H31" s="512">
        <f>E31/E13*100</f>
        <v>8.844421435396514</v>
      </c>
    </row>
    <row r="32" spans="1:9" ht="47.25" x14ac:dyDescent="0.2">
      <c r="A32" s="500" t="s">
        <v>626</v>
      </c>
      <c r="B32" s="500" t="s">
        <v>1247</v>
      </c>
      <c r="C32" s="501" t="s">
        <v>1248</v>
      </c>
      <c r="D32" s="502">
        <v>7685.0779199999997</v>
      </c>
      <c r="E32" s="502">
        <v>7589.3853799999997</v>
      </c>
      <c r="F32" s="504">
        <v>7459.09998</v>
      </c>
      <c r="G32" s="505">
        <f t="shared" si="2"/>
        <v>98.754826678452218</v>
      </c>
      <c r="H32" s="488"/>
    </row>
    <row r="33" spans="1:8" ht="34.5" customHeight="1" x14ac:dyDescent="0.2">
      <c r="A33" s="729" t="s">
        <v>1265</v>
      </c>
      <c r="B33" s="729"/>
      <c r="C33" s="729"/>
      <c r="D33" s="496">
        <f>SUM(D34:D34)</f>
        <v>6458.7</v>
      </c>
      <c r="E33" s="496">
        <f>SUM(E34:E34)</f>
        <v>6458.6900599999999</v>
      </c>
      <c r="F33" s="497">
        <f>SUM(F34:F34)</f>
        <v>6539.29648</v>
      </c>
      <c r="G33" s="498">
        <f t="shared" si="2"/>
        <v>99.999846099060193</v>
      </c>
      <c r="H33" s="512">
        <f>E33/E13*100</f>
        <v>7.526746100123118</v>
      </c>
    </row>
    <row r="34" spans="1:8" ht="47.25" x14ac:dyDescent="0.2">
      <c r="A34" s="500" t="s">
        <v>608</v>
      </c>
      <c r="B34" s="500" t="s">
        <v>1247</v>
      </c>
      <c r="C34" s="501" t="s">
        <v>1248</v>
      </c>
      <c r="D34" s="502">
        <v>6458.7</v>
      </c>
      <c r="E34" s="502">
        <v>6458.6900599999999</v>
      </c>
      <c r="F34" s="502">
        <v>6539.29648</v>
      </c>
      <c r="G34" s="505">
        <f t="shared" si="2"/>
        <v>99.999846099060193</v>
      </c>
      <c r="H34" s="488"/>
    </row>
    <row r="35" spans="1:8" ht="33.75" customHeight="1" x14ac:dyDescent="0.2">
      <c r="A35" s="733" t="s">
        <v>1266</v>
      </c>
      <c r="B35" s="734"/>
      <c r="C35" s="735"/>
      <c r="D35" s="496">
        <f>SUM(D36:D36)</f>
        <v>3490.9</v>
      </c>
      <c r="E35" s="496">
        <f>SUM(E36:E36)</f>
        <v>3490.8997199999999</v>
      </c>
      <c r="F35" s="497">
        <f>SUM(F36:F36)</f>
        <v>3562.5335599999999</v>
      </c>
      <c r="G35" s="498">
        <f t="shared" si="2"/>
        <v>99.999991979145776</v>
      </c>
      <c r="H35" s="512">
        <f>SUM(E35/E13*100)</f>
        <v>4.0681803290357736</v>
      </c>
    </row>
    <row r="36" spans="1:8" ht="47.25" x14ac:dyDescent="0.2">
      <c r="A36" s="500" t="s">
        <v>615</v>
      </c>
      <c r="B36" s="500" t="s">
        <v>1247</v>
      </c>
      <c r="C36" s="501" t="s">
        <v>1248</v>
      </c>
      <c r="D36" s="502">
        <v>3490.9</v>
      </c>
      <c r="E36" s="502">
        <v>3490.8997199999999</v>
      </c>
      <c r="F36" s="503">
        <v>3562.5335599999999</v>
      </c>
      <c r="G36" s="505">
        <f t="shared" si="2"/>
        <v>99.999991979145776</v>
      </c>
      <c r="H36" s="513"/>
    </row>
  </sheetData>
  <mergeCells count="20">
    <mergeCell ref="A15:C15"/>
    <mergeCell ref="A27:C27"/>
    <mergeCell ref="A31:C31"/>
    <mergeCell ref="A33:C33"/>
    <mergeCell ref="A35:C35"/>
    <mergeCell ref="A7:H7"/>
    <mergeCell ref="A9:A10"/>
    <mergeCell ref="B9:B10"/>
    <mergeCell ref="C9:C10"/>
    <mergeCell ref="D9:D10"/>
    <mergeCell ref="E9:E10"/>
    <mergeCell ref="F9:F10"/>
    <mergeCell ref="G9:G10"/>
    <mergeCell ref="H9:H10"/>
    <mergeCell ref="A6:H6"/>
    <mergeCell ref="G1:H1"/>
    <mergeCell ref="A2:H2"/>
    <mergeCell ref="A3:H3"/>
    <mergeCell ref="G4:H4"/>
    <mergeCell ref="A5:H5"/>
  </mergeCells>
  <pageMargins left="0.82677165354330717" right="0.23622047244094491" top="0.74803149606299213" bottom="0.15748031496062992" header="0.31496062992125984" footer="0.31496062992125984"/>
  <pageSetup paperSize="9" scale="6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1"/>
  <sheetViews>
    <sheetView view="pageBreakPreview" topLeftCell="A38" zoomScaleSheetLayoutView="100" workbookViewId="0">
      <selection activeCell="F59" sqref="A8:F59"/>
    </sheetView>
  </sheetViews>
  <sheetFormatPr defaultColWidth="9.140625" defaultRowHeight="12.75" x14ac:dyDescent="0.2"/>
  <cols>
    <col min="1" max="1" width="18.28515625" style="449" customWidth="1"/>
    <col min="2" max="2" width="13.140625" style="449" customWidth="1"/>
    <col min="3" max="3" width="12.140625" style="449" customWidth="1"/>
    <col min="4" max="4" width="51.140625" style="449" customWidth="1"/>
    <col min="5" max="5" width="13.7109375" style="449" customWidth="1"/>
    <col min="6" max="6" width="16.140625" style="449" customWidth="1"/>
    <col min="7" max="16384" width="9.140625" style="449"/>
  </cols>
  <sheetData>
    <row r="1" spans="1:6" x14ac:dyDescent="0.2">
      <c r="A1" s="517"/>
      <c r="B1" s="517"/>
      <c r="C1" s="517"/>
      <c r="D1" s="517"/>
      <c r="E1" s="517"/>
      <c r="F1" s="429" t="s">
        <v>1218</v>
      </c>
    </row>
    <row r="2" spans="1:6" x14ac:dyDescent="0.2">
      <c r="A2" s="742" t="s">
        <v>1270</v>
      </c>
      <c r="B2" s="742"/>
      <c r="C2" s="742"/>
      <c r="D2" s="742"/>
      <c r="E2" s="742"/>
      <c r="F2" s="742"/>
    </row>
    <row r="3" spans="1:6" x14ac:dyDescent="0.2">
      <c r="A3" s="742" t="s">
        <v>836</v>
      </c>
      <c r="B3" s="742"/>
      <c r="C3" s="742"/>
      <c r="D3" s="742"/>
      <c r="E3" s="742"/>
      <c r="F3" s="742"/>
    </row>
    <row r="4" spans="1:6" x14ac:dyDescent="0.2">
      <c r="E4" s="723" t="s">
        <v>1286</v>
      </c>
      <c r="F4" s="723"/>
    </row>
    <row r="5" spans="1:6" x14ac:dyDescent="0.2">
      <c r="E5" s="518"/>
      <c r="F5" s="518"/>
    </row>
    <row r="6" spans="1:6" ht="45" customHeight="1" x14ac:dyDescent="0.2">
      <c r="A6" s="743" t="s">
        <v>1285</v>
      </c>
      <c r="B6" s="743"/>
      <c r="C6" s="743"/>
      <c r="D6" s="743"/>
      <c r="E6" s="743"/>
      <c r="F6" s="743"/>
    </row>
    <row r="7" spans="1:6" ht="16.5" thickBot="1" x14ac:dyDescent="0.3">
      <c r="A7" s="519"/>
      <c r="B7" s="520"/>
      <c r="C7" s="520"/>
      <c r="D7" s="520"/>
      <c r="E7" s="744" t="s">
        <v>1271</v>
      </c>
      <c r="F7" s="745"/>
    </row>
    <row r="8" spans="1:6" ht="45.75" customHeight="1" thickBot="1" x14ac:dyDescent="0.25">
      <c r="A8" s="736" t="s">
        <v>1272</v>
      </c>
      <c r="B8" s="738" t="s">
        <v>1273</v>
      </c>
      <c r="C8" s="739"/>
      <c r="D8" s="740" t="s">
        <v>1274</v>
      </c>
      <c r="E8" s="740" t="s">
        <v>1275</v>
      </c>
      <c r="F8" s="740" t="s">
        <v>1276</v>
      </c>
    </row>
    <row r="9" spans="1:6" ht="30.75" thickBot="1" x14ac:dyDescent="0.25">
      <c r="A9" s="737"/>
      <c r="B9" s="521" t="s">
        <v>1277</v>
      </c>
      <c r="C9" s="521" t="s">
        <v>1278</v>
      </c>
      <c r="D9" s="741"/>
      <c r="E9" s="741"/>
      <c r="F9" s="741"/>
    </row>
    <row r="10" spans="1:6" ht="14.25" x14ac:dyDescent="0.2">
      <c r="A10" s="746" t="s">
        <v>1287</v>
      </c>
      <c r="B10" s="747"/>
      <c r="C10" s="747"/>
      <c r="D10" s="748"/>
      <c r="E10" s="749">
        <v>1270000</v>
      </c>
      <c r="F10" s="750"/>
    </row>
    <row r="11" spans="1:6" ht="45" customHeight="1" x14ac:dyDescent="0.2">
      <c r="A11" s="759" t="s">
        <v>529</v>
      </c>
      <c r="B11" s="523">
        <v>45278</v>
      </c>
      <c r="C11" s="524" t="s">
        <v>1282</v>
      </c>
      <c r="D11" s="525" t="s">
        <v>1279</v>
      </c>
      <c r="E11" s="522">
        <v>5694</v>
      </c>
      <c r="F11" s="663">
        <v>5694</v>
      </c>
    </row>
    <row r="12" spans="1:6" ht="15" x14ac:dyDescent="0.2">
      <c r="A12" s="759"/>
      <c r="B12" s="523">
        <v>45279</v>
      </c>
      <c r="C12" s="524" t="s">
        <v>1288</v>
      </c>
      <c r="D12" s="525" t="s">
        <v>1280</v>
      </c>
      <c r="E12" s="522">
        <v>16242</v>
      </c>
      <c r="F12" s="663">
        <v>16242</v>
      </c>
    </row>
    <row r="13" spans="1:6" ht="45" x14ac:dyDescent="0.2">
      <c r="A13" s="759"/>
      <c r="B13" s="523">
        <v>45289</v>
      </c>
      <c r="C13" s="524" t="s">
        <v>1292</v>
      </c>
      <c r="D13" s="525" t="s">
        <v>1279</v>
      </c>
      <c r="E13" s="522">
        <v>2262</v>
      </c>
      <c r="F13" s="663">
        <v>2262</v>
      </c>
    </row>
    <row r="14" spans="1:6" ht="45" x14ac:dyDescent="0.2">
      <c r="A14" s="759"/>
      <c r="B14" s="523">
        <v>45300</v>
      </c>
      <c r="C14" s="524" t="s">
        <v>1289</v>
      </c>
      <c r="D14" s="525" t="s">
        <v>1279</v>
      </c>
      <c r="E14" s="522">
        <f>28132+4000</f>
        <v>32132</v>
      </c>
      <c r="F14" s="663">
        <f>28132+4000</f>
        <v>32132</v>
      </c>
    </row>
    <row r="15" spans="1:6" ht="45" x14ac:dyDescent="0.2">
      <c r="A15" s="759"/>
      <c r="B15" s="523">
        <v>45306</v>
      </c>
      <c r="C15" s="524" t="s">
        <v>1290</v>
      </c>
      <c r="D15" s="525" t="s">
        <v>1279</v>
      </c>
      <c r="E15" s="522">
        <v>20092</v>
      </c>
      <c r="F15" s="663">
        <v>20092</v>
      </c>
    </row>
    <row r="16" spans="1:6" ht="45" x14ac:dyDescent="0.2">
      <c r="A16" s="759"/>
      <c r="B16" s="523">
        <v>45308</v>
      </c>
      <c r="C16" s="524" t="s">
        <v>1332</v>
      </c>
      <c r="D16" s="525" t="s">
        <v>1279</v>
      </c>
      <c r="E16" s="522">
        <v>27645</v>
      </c>
      <c r="F16" s="663">
        <v>27645</v>
      </c>
    </row>
    <row r="17" spans="1:6" ht="15" x14ac:dyDescent="0.2">
      <c r="A17" s="759"/>
      <c r="B17" s="523">
        <v>45330</v>
      </c>
      <c r="C17" s="524" t="s">
        <v>1291</v>
      </c>
      <c r="D17" s="525" t="s">
        <v>1280</v>
      </c>
      <c r="E17" s="522">
        <v>76968</v>
      </c>
      <c r="F17" s="663">
        <v>76968</v>
      </c>
    </row>
    <row r="18" spans="1:6" ht="30" x14ac:dyDescent="0.2">
      <c r="A18" s="759"/>
      <c r="B18" s="523">
        <v>45350</v>
      </c>
      <c r="C18" s="524" t="s">
        <v>1293</v>
      </c>
      <c r="D18" s="525" t="s">
        <v>1336</v>
      </c>
      <c r="E18" s="522">
        <v>270000</v>
      </c>
      <c r="F18" s="663">
        <v>270000</v>
      </c>
    </row>
    <row r="19" spans="1:6" ht="45" x14ac:dyDescent="0.2">
      <c r="A19" s="759"/>
      <c r="B19" s="523">
        <v>45350</v>
      </c>
      <c r="C19" s="524" t="s">
        <v>1293</v>
      </c>
      <c r="D19" s="525" t="s">
        <v>1507</v>
      </c>
      <c r="E19" s="522">
        <v>53000</v>
      </c>
      <c r="F19" s="663">
        <v>53000</v>
      </c>
    </row>
    <row r="20" spans="1:6" ht="45" x14ac:dyDescent="0.2">
      <c r="A20" s="759"/>
      <c r="B20" s="523">
        <v>45356</v>
      </c>
      <c r="C20" s="524" t="s">
        <v>1294</v>
      </c>
      <c r="D20" s="525" t="s">
        <v>1279</v>
      </c>
      <c r="E20" s="522">
        <f>5500+2770</f>
        <v>8270</v>
      </c>
      <c r="F20" s="663">
        <f>5500+2770</f>
        <v>8270</v>
      </c>
    </row>
    <row r="21" spans="1:6" ht="45" x14ac:dyDescent="0.2">
      <c r="A21" s="759"/>
      <c r="B21" s="523">
        <v>45356</v>
      </c>
      <c r="C21" s="524" t="s">
        <v>1295</v>
      </c>
      <c r="D21" s="525" t="s">
        <v>1279</v>
      </c>
      <c r="E21" s="522">
        <f>5500+2195</f>
        <v>7695</v>
      </c>
      <c r="F21" s="663">
        <f>5500+2195</f>
        <v>7695</v>
      </c>
    </row>
    <row r="22" spans="1:6" ht="45" x14ac:dyDescent="0.2">
      <c r="A22" s="759"/>
      <c r="B22" s="523">
        <v>45372</v>
      </c>
      <c r="C22" s="524" t="s">
        <v>1296</v>
      </c>
      <c r="D22" s="525" t="s">
        <v>1279</v>
      </c>
      <c r="E22" s="522">
        <f>2570+6000</f>
        <v>8570</v>
      </c>
      <c r="F22" s="663">
        <f>2570+6000</f>
        <v>8570</v>
      </c>
    </row>
    <row r="23" spans="1:6" ht="45" x14ac:dyDescent="0.2">
      <c r="A23" s="759"/>
      <c r="B23" s="523">
        <v>45399</v>
      </c>
      <c r="C23" s="524" t="s">
        <v>1297</v>
      </c>
      <c r="D23" s="525" t="s">
        <v>1334</v>
      </c>
      <c r="E23" s="522">
        <v>145450</v>
      </c>
      <c r="F23" s="663">
        <v>145450</v>
      </c>
    </row>
    <row r="24" spans="1:6" ht="30" x14ac:dyDescent="0.2">
      <c r="A24" s="759"/>
      <c r="B24" s="523">
        <v>45400</v>
      </c>
      <c r="C24" s="524" t="s">
        <v>1298</v>
      </c>
      <c r="D24" s="525" t="s">
        <v>1335</v>
      </c>
      <c r="E24" s="522">
        <v>15000</v>
      </c>
      <c r="F24" s="663">
        <v>15000</v>
      </c>
    </row>
    <row r="25" spans="1:6" ht="15" x14ac:dyDescent="0.2">
      <c r="A25" s="759"/>
      <c r="B25" s="523">
        <v>45407</v>
      </c>
      <c r="C25" s="524" t="s">
        <v>1299</v>
      </c>
      <c r="D25" s="525" t="s">
        <v>1280</v>
      </c>
      <c r="E25" s="522">
        <v>98133</v>
      </c>
      <c r="F25" s="663">
        <v>98133</v>
      </c>
    </row>
    <row r="26" spans="1:6" ht="45" x14ac:dyDescent="0.2">
      <c r="A26" s="759"/>
      <c r="B26" s="523">
        <v>45439</v>
      </c>
      <c r="C26" s="524" t="s">
        <v>1300</v>
      </c>
      <c r="D26" s="525" t="s">
        <v>1279</v>
      </c>
      <c r="E26" s="522">
        <f>4132+2325</f>
        <v>6457</v>
      </c>
      <c r="F26" s="663">
        <f>4132+2325</f>
        <v>6457</v>
      </c>
    </row>
    <row r="27" spans="1:6" ht="45" x14ac:dyDescent="0.2">
      <c r="A27" s="759"/>
      <c r="B27" s="523">
        <v>45442</v>
      </c>
      <c r="C27" s="524" t="s">
        <v>1301</v>
      </c>
      <c r="D27" s="525" t="s">
        <v>1279</v>
      </c>
      <c r="E27" s="522">
        <v>7689</v>
      </c>
      <c r="F27" s="663">
        <v>7689</v>
      </c>
    </row>
    <row r="28" spans="1:6" ht="45" x14ac:dyDescent="0.2">
      <c r="A28" s="759"/>
      <c r="B28" s="523">
        <v>45448</v>
      </c>
      <c r="C28" s="524" t="s">
        <v>1302</v>
      </c>
      <c r="D28" s="525" t="s">
        <v>1279</v>
      </c>
      <c r="E28" s="522">
        <v>1995</v>
      </c>
      <c r="F28" s="663">
        <v>1995</v>
      </c>
    </row>
    <row r="29" spans="1:6" ht="45" x14ac:dyDescent="0.2">
      <c r="A29" s="759"/>
      <c r="B29" s="523">
        <v>45461</v>
      </c>
      <c r="C29" s="524" t="s">
        <v>1303</v>
      </c>
      <c r="D29" s="525" t="s">
        <v>1279</v>
      </c>
      <c r="E29" s="522">
        <f>5135.6+2375</f>
        <v>7510.6</v>
      </c>
      <c r="F29" s="663">
        <f>5135.6+2375</f>
        <v>7510.6</v>
      </c>
    </row>
    <row r="30" spans="1:6" ht="45" x14ac:dyDescent="0.2">
      <c r="A30" s="759"/>
      <c r="B30" s="523">
        <v>45469</v>
      </c>
      <c r="C30" s="524" t="s">
        <v>1304</v>
      </c>
      <c r="D30" s="525" t="s">
        <v>1279</v>
      </c>
      <c r="E30" s="522">
        <v>6476.75</v>
      </c>
      <c r="F30" s="663">
        <v>6476.75</v>
      </c>
    </row>
    <row r="31" spans="1:6" ht="45" x14ac:dyDescent="0.2">
      <c r="A31" s="759"/>
      <c r="B31" s="523">
        <v>45474</v>
      </c>
      <c r="C31" s="524" t="s">
        <v>1305</v>
      </c>
      <c r="D31" s="525" t="s">
        <v>1279</v>
      </c>
      <c r="E31" s="522">
        <v>6275</v>
      </c>
      <c r="F31" s="663">
        <v>6275</v>
      </c>
    </row>
    <row r="32" spans="1:6" ht="45" x14ac:dyDescent="0.2">
      <c r="A32" s="759"/>
      <c r="B32" s="523">
        <v>45477</v>
      </c>
      <c r="C32" s="524" t="s">
        <v>1306</v>
      </c>
      <c r="D32" s="525" t="s">
        <v>1279</v>
      </c>
      <c r="E32" s="522">
        <v>6275</v>
      </c>
      <c r="F32" s="663">
        <v>6275</v>
      </c>
    </row>
    <row r="33" spans="1:6" ht="45" x14ac:dyDescent="0.2">
      <c r="A33" s="759"/>
      <c r="B33" s="523">
        <v>45485</v>
      </c>
      <c r="C33" s="524" t="s">
        <v>1307</v>
      </c>
      <c r="D33" s="525" t="s">
        <v>1279</v>
      </c>
      <c r="E33" s="522">
        <v>6695.4</v>
      </c>
      <c r="F33" s="663">
        <v>6695.4</v>
      </c>
    </row>
    <row r="34" spans="1:6" ht="45" x14ac:dyDescent="0.2">
      <c r="A34" s="759"/>
      <c r="B34" s="523">
        <v>45488</v>
      </c>
      <c r="C34" s="524" t="s">
        <v>1308</v>
      </c>
      <c r="D34" s="525" t="s">
        <v>1279</v>
      </c>
      <c r="E34" s="522">
        <v>7895</v>
      </c>
      <c r="F34" s="663">
        <v>7895</v>
      </c>
    </row>
    <row r="35" spans="1:6" ht="45" x14ac:dyDescent="0.2">
      <c r="A35" s="759"/>
      <c r="B35" s="523">
        <v>45496</v>
      </c>
      <c r="C35" s="524" t="s">
        <v>1309</v>
      </c>
      <c r="D35" s="525" t="s">
        <v>1279</v>
      </c>
      <c r="E35" s="522">
        <v>2125</v>
      </c>
      <c r="F35" s="663">
        <v>2125</v>
      </c>
    </row>
    <row r="36" spans="1:6" ht="45" x14ac:dyDescent="0.2">
      <c r="A36" s="759"/>
      <c r="B36" s="523">
        <v>45532</v>
      </c>
      <c r="C36" s="524" t="s">
        <v>1310</v>
      </c>
      <c r="D36" s="525" t="s">
        <v>1279</v>
      </c>
      <c r="E36" s="522">
        <v>5098.24</v>
      </c>
      <c r="F36" s="663">
        <v>5098.24</v>
      </c>
    </row>
    <row r="37" spans="1:6" ht="30" x14ac:dyDescent="0.2">
      <c r="A37" s="759"/>
      <c r="B37" s="523">
        <v>45534</v>
      </c>
      <c r="C37" s="524" t="s">
        <v>1311</v>
      </c>
      <c r="D37" s="525" t="s">
        <v>1336</v>
      </c>
      <c r="E37" s="522">
        <v>225000</v>
      </c>
      <c r="F37" s="663">
        <v>225000</v>
      </c>
    </row>
    <row r="38" spans="1:6" ht="45" x14ac:dyDescent="0.2">
      <c r="A38" s="759"/>
      <c r="B38" s="523">
        <v>45526</v>
      </c>
      <c r="C38" s="524" t="s">
        <v>1312</v>
      </c>
      <c r="D38" s="525" t="s">
        <v>1279</v>
      </c>
      <c r="E38" s="522">
        <v>6694.6</v>
      </c>
      <c r="F38" s="663">
        <v>6694.6</v>
      </c>
    </row>
    <row r="39" spans="1:6" ht="45" x14ac:dyDescent="0.2">
      <c r="A39" s="759"/>
      <c r="B39" s="523">
        <v>45538</v>
      </c>
      <c r="C39" s="524" t="s">
        <v>1313</v>
      </c>
      <c r="D39" s="525" t="s">
        <v>1279</v>
      </c>
      <c r="E39" s="522">
        <v>8216.31</v>
      </c>
      <c r="F39" s="663">
        <v>8216.31</v>
      </c>
    </row>
    <row r="40" spans="1:6" ht="45" x14ac:dyDescent="0.2">
      <c r="A40" s="759"/>
      <c r="B40" s="523">
        <v>45546</v>
      </c>
      <c r="C40" s="524" t="s">
        <v>1314</v>
      </c>
      <c r="D40" s="525" t="s">
        <v>1279</v>
      </c>
      <c r="E40" s="522">
        <v>7383.34</v>
      </c>
      <c r="F40" s="663">
        <v>7383.34</v>
      </c>
    </row>
    <row r="41" spans="1:6" ht="45" x14ac:dyDescent="0.2">
      <c r="A41" s="759"/>
      <c r="B41" s="523">
        <v>45546</v>
      </c>
      <c r="C41" s="524" t="s">
        <v>1333</v>
      </c>
      <c r="D41" s="525" t="s">
        <v>1279</v>
      </c>
      <c r="E41" s="522">
        <v>2125</v>
      </c>
      <c r="F41" s="663">
        <v>2125</v>
      </c>
    </row>
    <row r="42" spans="1:6" ht="45" x14ac:dyDescent="0.2">
      <c r="A42" s="759"/>
      <c r="B42" s="523">
        <v>45554</v>
      </c>
      <c r="C42" s="524" t="s">
        <v>1315</v>
      </c>
      <c r="D42" s="525" t="s">
        <v>1279</v>
      </c>
      <c r="E42" s="522">
        <v>8510.49</v>
      </c>
      <c r="F42" s="663">
        <v>8510.49</v>
      </c>
    </row>
    <row r="43" spans="1:6" ht="45" x14ac:dyDescent="0.2">
      <c r="A43" s="759"/>
      <c r="B43" s="523">
        <v>45554</v>
      </c>
      <c r="C43" s="524" t="s">
        <v>1316</v>
      </c>
      <c r="D43" s="525" t="s">
        <v>1279</v>
      </c>
      <c r="E43" s="522">
        <v>1325</v>
      </c>
      <c r="F43" s="663">
        <v>1325</v>
      </c>
    </row>
    <row r="44" spans="1:6" ht="45" x14ac:dyDescent="0.2">
      <c r="A44" s="759"/>
      <c r="B44" s="523">
        <v>45559</v>
      </c>
      <c r="C44" s="524" t="s">
        <v>1317</v>
      </c>
      <c r="D44" s="525" t="s">
        <v>1279</v>
      </c>
      <c r="E44" s="522">
        <v>7880.55</v>
      </c>
      <c r="F44" s="663">
        <v>7880.55</v>
      </c>
    </row>
    <row r="45" spans="1:6" ht="45" x14ac:dyDescent="0.2">
      <c r="A45" s="759"/>
      <c r="B45" s="523">
        <v>45565</v>
      </c>
      <c r="C45" s="524" t="s">
        <v>1323</v>
      </c>
      <c r="D45" s="525" t="s">
        <v>1279</v>
      </c>
      <c r="E45" s="522">
        <v>7064.92</v>
      </c>
      <c r="F45" s="663">
        <v>7064.92</v>
      </c>
    </row>
    <row r="46" spans="1:6" ht="45" x14ac:dyDescent="0.2">
      <c r="A46" s="759"/>
      <c r="B46" s="523">
        <v>45565</v>
      </c>
      <c r="C46" s="524" t="s">
        <v>1324</v>
      </c>
      <c r="D46" s="525" t="s">
        <v>1279</v>
      </c>
      <c r="E46" s="522">
        <v>2125</v>
      </c>
      <c r="F46" s="663">
        <v>2125</v>
      </c>
    </row>
    <row r="47" spans="1:6" ht="45" x14ac:dyDescent="0.2">
      <c r="A47" s="759"/>
      <c r="B47" s="523">
        <v>45566</v>
      </c>
      <c r="C47" s="524" t="s">
        <v>1319</v>
      </c>
      <c r="D47" s="525" t="s">
        <v>1279</v>
      </c>
      <c r="E47" s="522">
        <v>2545</v>
      </c>
      <c r="F47" s="663">
        <v>1745</v>
      </c>
    </row>
    <row r="48" spans="1:6" ht="45" x14ac:dyDescent="0.2">
      <c r="A48" s="759"/>
      <c r="B48" s="523">
        <v>45573</v>
      </c>
      <c r="C48" s="524" t="s">
        <v>1320</v>
      </c>
      <c r="D48" s="525" t="s">
        <v>1279</v>
      </c>
      <c r="E48" s="522">
        <v>2545</v>
      </c>
      <c r="F48" s="663">
        <v>2545</v>
      </c>
    </row>
    <row r="49" spans="1:6" ht="45" x14ac:dyDescent="0.2">
      <c r="A49" s="759"/>
      <c r="B49" s="523">
        <v>45583</v>
      </c>
      <c r="C49" s="524" t="s">
        <v>1325</v>
      </c>
      <c r="D49" s="525" t="s">
        <v>1279</v>
      </c>
      <c r="E49" s="522">
        <v>6014.42</v>
      </c>
      <c r="F49" s="663">
        <v>6014.42</v>
      </c>
    </row>
    <row r="50" spans="1:6" ht="45" x14ac:dyDescent="0.2">
      <c r="A50" s="759"/>
      <c r="B50" s="523">
        <v>45590</v>
      </c>
      <c r="C50" s="524" t="s">
        <v>1321</v>
      </c>
      <c r="D50" s="525" t="s">
        <v>1279</v>
      </c>
      <c r="E50" s="522">
        <v>1745</v>
      </c>
      <c r="F50" s="663">
        <v>1745</v>
      </c>
    </row>
    <row r="51" spans="1:6" ht="45" x14ac:dyDescent="0.2">
      <c r="A51" s="759"/>
      <c r="B51" s="523">
        <v>45596</v>
      </c>
      <c r="C51" s="524" t="s">
        <v>1322</v>
      </c>
      <c r="D51" s="525" t="s">
        <v>1279</v>
      </c>
      <c r="E51" s="522">
        <v>1745</v>
      </c>
      <c r="F51" s="663">
        <v>1745</v>
      </c>
    </row>
    <row r="52" spans="1:6" ht="45" x14ac:dyDescent="0.2">
      <c r="A52" s="759"/>
      <c r="B52" s="523">
        <v>45596</v>
      </c>
      <c r="C52" s="524" t="s">
        <v>1318</v>
      </c>
      <c r="D52" s="525" t="s">
        <v>1279</v>
      </c>
      <c r="E52" s="522">
        <v>96210</v>
      </c>
      <c r="F52" s="663">
        <v>96210</v>
      </c>
    </row>
    <row r="53" spans="1:6" ht="45" x14ac:dyDescent="0.2">
      <c r="A53" s="759"/>
      <c r="B53" s="523">
        <v>45607</v>
      </c>
      <c r="C53" s="524" t="s">
        <v>1327</v>
      </c>
      <c r="D53" s="525" t="s">
        <v>1279</v>
      </c>
      <c r="E53" s="522">
        <v>2575</v>
      </c>
      <c r="F53" s="663">
        <v>2575</v>
      </c>
    </row>
    <row r="54" spans="1:6" ht="45" x14ac:dyDescent="0.2">
      <c r="A54" s="759"/>
      <c r="B54" s="523">
        <v>45607</v>
      </c>
      <c r="C54" s="524" t="s">
        <v>1328</v>
      </c>
      <c r="D54" s="525" t="s">
        <v>1279</v>
      </c>
      <c r="E54" s="522">
        <v>7977.8</v>
      </c>
      <c r="F54" s="663">
        <v>7977.8</v>
      </c>
    </row>
    <row r="55" spans="1:6" ht="45" x14ac:dyDescent="0.2">
      <c r="A55" s="759"/>
      <c r="B55" s="523">
        <v>45607</v>
      </c>
      <c r="C55" s="524" t="s">
        <v>1326</v>
      </c>
      <c r="D55" s="525" t="s">
        <v>1279</v>
      </c>
      <c r="E55" s="522">
        <v>-800</v>
      </c>
      <c r="F55" s="663"/>
    </row>
    <row r="56" spans="1:6" ht="45" x14ac:dyDescent="0.2">
      <c r="A56" s="759"/>
      <c r="B56" s="523">
        <v>45610</v>
      </c>
      <c r="C56" s="524" t="s">
        <v>1281</v>
      </c>
      <c r="D56" s="525" t="s">
        <v>1279</v>
      </c>
      <c r="E56" s="522">
        <v>10265.9</v>
      </c>
      <c r="F56" s="663">
        <v>10265.9</v>
      </c>
    </row>
    <row r="57" spans="1:6" ht="45" x14ac:dyDescent="0.2">
      <c r="A57" s="759"/>
      <c r="B57" s="523">
        <v>45610</v>
      </c>
      <c r="C57" s="524" t="s">
        <v>1329</v>
      </c>
      <c r="D57" s="525" t="s">
        <v>1279</v>
      </c>
      <c r="E57" s="522">
        <v>2575</v>
      </c>
      <c r="F57" s="663">
        <v>2575</v>
      </c>
    </row>
    <row r="58" spans="1:6" ht="45" x14ac:dyDescent="0.2">
      <c r="A58" s="759"/>
      <c r="B58" s="523">
        <v>45624</v>
      </c>
      <c r="C58" s="524" t="s">
        <v>1330</v>
      </c>
      <c r="D58" s="525" t="s">
        <v>1279</v>
      </c>
      <c r="E58" s="522">
        <v>7272.1</v>
      </c>
      <c r="F58" s="663">
        <v>7272.1</v>
      </c>
    </row>
    <row r="59" spans="1:6" ht="45.75" thickBot="1" x14ac:dyDescent="0.25">
      <c r="A59" s="760"/>
      <c r="B59" s="664">
        <v>45630</v>
      </c>
      <c r="C59" s="665" t="s">
        <v>1331</v>
      </c>
      <c r="D59" s="666" t="s">
        <v>1279</v>
      </c>
      <c r="E59" s="667">
        <v>1325</v>
      </c>
      <c r="F59" s="668">
        <v>1325</v>
      </c>
    </row>
    <row r="60" spans="1:6" ht="15" thickBot="1" x14ac:dyDescent="0.25">
      <c r="A60" s="751" t="s">
        <v>1283</v>
      </c>
      <c r="B60" s="752"/>
      <c r="C60" s="752"/>
      <c r="D60" s="753"/>
      <c r="E60" s="662">
        <f>SUM(E11:E59)</f>
        <v>1269965.4200000002</v>
      </c>
      <c r="F60" s="662">
        <f>SUM(F11:F59)</f>
        <v>1269965.4200000002</v>
      </c>
    </row>
    <row r="61" spans="1:6" ht="15" thickBot="1" x14ac:dyDescent="0.25">
      <c r="A61" s="754" t="s">
        <v>1284</v>
      </c>
      <c r="B61" s="755"/>
      <c r="C61" s="755"/>
      <c r="D61" s="756"/>
      <c r="E61" s="757">
        <f>E10-F60</f>
        <v>34.579999999841675</v>
      </c>
      <c r="F61" s="758"/>
    </row>
  </sheetData>
  <autoFilter ref="A9:F61"/>
  <mergeCells count="16">
    <mergeCell ref="A10:D10"/>
    <mergeCell ref="E10:F10"/>
    <mergeCell ref="A60:D60"/>
    <mergeCell ref="A61:D61"/>
    <mergeCell ref="E61:F61"/>
    <mergeCell ref="A11:A59"/>
    <mergeCell ref="A2:F2"/>
    <mergeCell ref="A3:F3"/>
    <mergeCell ref="E4:F4"/>
    <mergeCell ref="A6:F6"/>
    <mergeCell ref="E7:F7"/>
    <mergeCell ref="A8:A9"/>
    <mergeCell ref="B8:C8"/>
    <mergeCell ref="D8:D9"/>
    <mergeCell ref="E8:E9"/>
    <mergeCell ref="F8:F9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5"/>
  <sheetViews>
    <sheetView view="pageBreakPreview" topLeftCell="B61" zoomScale="68" zoomScaleNormal="69" zoomScaleSheetLayoutView="68" workbookViewId="0">
      <selection activeCell="H31" sqref="H31:I31"/>
    </sheetView>
  </sheetViews>
  <sheetFormatPr defaultRowHeight="15" x14ac:dyDescent="0.25"/>
  <cols>
    <col min="1" max="1" width="8.7109375" customWidth="1"/>
    <col min="2" max="2" width="105.140625" customWidth="1"/>
    <col min="3" max="3" width="17.5703125" customWidth="1"/>
    <col min="4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7.28515625" customWidth="1"/>
    <col min="11" max="12" width="17.5703125" customWidth="1"/>
    <col min="13" max="13" width="17.140625" customWidth="1"/>
    <col min="14" max="14" width="15.7109375" customWidth="1"/>
    <col min="15" max="15" width="13.5703125" bestFit="1" customWidth="1"/>
    <col min="260" max="260" width="8.7109375" customWidth="1"/>
    <col min="261" max="261" width="53.42578125" customWidth="1"/>
    <col min="262" max="262" width="15.7109375" customWidth="1"/>
    <col min="263" max="263" width="15.85546875" customWidth="1"/>
    <col min="264" max="264" width="15.5703125" customWidth="1"/>
    <col min="265" max="265" width="17" customWidth="1"/>
    <col min="266" max="266" width="17.85546875" customWidth="1"/>
    <col min="267" max="267" width="14.5703125" customWidth="1"/>
    <col min="268" max="268" width="15.140625" customWidth="1"/>
    <col min="269" max="269" width="17.140625" customWidth="1"/>
    <col min="270" max="270" width="15.7109375" customWidth="1"/>
    <col min="271" max="271" width="13.5703125" bestFit="1" customWidth="1"/>
    <col min="516" max="516" width="8.7109375" customWidth="1"/>
    <col min="517" max="517" width="53.42578125" customWidth="1"/>
    <col min="518" max="518" width="15.7109375" customWidth="1"/>
    <col min="519" max="519" width="15.85546875" customWidth="1"/>
    <col min="520" max="520" width="15.5703125" customWidth="1"/>
    <col min="521" max="521" width="17" customWidth="1"/>
    <col min="522" max="522" width="17.85546875" customWidth="1"/>
    <col min="523" max="523" width="14.5703125" customWidth="1"/>
    <col min="524" max="524" width="15.140625" customWidth="1"/>
    <col min="525" max="525" width="17.140625" customWidth="1"/>
    <col min="526" max="526" width="15.7109375" customWidth="1"/>
    <col min="527" max="527" width="13.5703125" bestFit="1" customWidth="1"/>
    <col min="772" max="772" width="8.7109375" customWidth="1"/>
    <col min="773" max="773" width="53.42578125" customWidth="1"/>
    <col min="774" max="774" width="15.7109375" customWidth="1"/>
    <col min="775" max="775" width="15.85546875" customWidth="1"/>
    <col min="776" max="776" width="15.5703125" customWidth="1"/>
    <col min="777" max="777" width="17" customWidth="1"/>
    <col min="778" max="778" width="17.85546875" customWidth="1"/>
    <col min="779" max="779" width="14.5703125" customWidth="1"/>
    <col min="780" max="780" width="15.140625" customWidth="1"/>
    <col min="781" max="781" width="17.140625" customWidth="1"/>
    <col min="782" max="782" width="15.7109375" customWidth="1"/>
    <col min="783" max="783" width="13.5703125" bestFit="1" customWidth="1"/>
    <col min="1028" max="1028" width="8.7109375" customWidth="1"/>
    <col min="1029" max="1029" width="53.42578125" customWidth="1"/>
    <col min="1030" max="1030" width="15.7109375" customWidth="1"/>
    <col min="1031" max="1031" width="15.85546875" customWidth="1"/>
    <col min="1032" max="1032" width="15.5703125" customWidth="1"/>
    <col min="1033" max="1033" width="17" customWidth="1"/>
    <col min="1034" max="1034" width="17.85546875" customWidth="1"/>
    <col min="1035" max="1035" width="14.5703125" customWidth="1"/>
    <col min="1036" max="1036" width="15.140625" customWidth="1"/>
    <col min="1037" max="1037" width="17.140625" customWidth="1"/>
    <col min="1038" max="1038" width="15.7109375" customWidth="1"/>
    <col min="1039" max="1039" width="13.5703125" bestFit="1" customWidth="1"/>
    <col min="1284" max="1284" width="8.7109375" customWidth="1"/>
    <col min="1285" max="1285" width="53.42578125" customWidth="1"/>
    <col min="1286" max="1286" width="15.7109375" customWidth="1"/>
    <col min="1287" max="1287" width="15.85546875" customWidth="1"/>
    <col min="1288" max="1288" width="15.5703125" customWidth="1"/>
    <col min="1289" max="1289" width="17" customWidth="1"/>
    <col min="1290" max="1290" width="17.85546875" customWidth="1"/>
    <col min="1291" max="1291" width="14.5703125" customWidth="1"/>
    <col min="1292" max="1292" width="15.140625" customWidth="1"/>
    <col min="1293" max="1293" width="17.140625" customWidth="1"/>
    <col min="1294" max="1294" width="15.7109375" customWidth="1"/>
    <col min="1295" max="1295" width="13.5703125" bestFit="1" customWidth="1"/>
    <col min="1540" max="1540" width="8.7109375" customWidth="1"/>
    <col min="1541" max="1541" width="53.42578125" customWidth="1"/>
    <col min="1542" max="1542" width="15.7109375" customWidth="1"/>
    <col min="1543" max="1543" width="15.85546875" customWidth="1"/>
    <col min="1544" max="1544" width="15.5703125" customWidth="1"/>
    <col min="1545" max="1545" width="17" customWidth="1"/>
    <col min="1546" max="1546" width="17.85546875" customWidth="1"/>
    <col min="1547" max="1547" width="14.5703125" customWidth="1"/>
    <col min="1548" max="1548" width="15.140625" customWidth="1"/>
    <col min="1549" max="1549" width="17.140625" customWidth="1"/>
    <col min="1550" max="1550" width="15.7109375" customWidth="1"/>
    <col min="1551" max="1551" width="13.5703125" bestFit="1" customWidth="1"/>
    <col min="1796" max="1796" width="8.7109375" customWidth="1"/>
    <col min="1797" max="1797" width="53.42578125" customWidth="1"/>
    <col min="1798" max="1798" width="15.7109375" customWidth="1"/>
    <col min="1799" max="1799" width="15.85546875" customWidth="1"/>
    <col min="1800" max="1800" width="15.5703125" customWidth="1"/>
    <col min="1801" max="1801" width="17" customWidth="1"/>
    <col min="1802" max="1802" width="17.85546875" customWidth="1"/>
    <col min="1803" max="1803" width="14.5703125" customWidth="1"/>
    <col min="1804" max="1804" width="15.140625" customWidth="1"/>
    <col min="1805" max="1805" width="17.140625" customWidth="1"/>
    <col min="1806" max="1806" width="15.7109375" customWidth="1"/>
    <col min="1807" max="1807" width="13.5703125" bestFit="1" customWidth="1"/>
    <col min="2052" max="2052" width="8.7109375" customWidth="1"/>
    <col min="2053" max="2053" width="53.42578125" customWidth="1"/>
    <col min="2054" max="2054" width="15.7109375" customWidth="1"/>
    <col min="2055" max="2055" width="15.85546875" customWidth="1"/>
    <col min="2056" max="2056" width="15.5703125" customWidth="1"/>
    <col min="2057" max="2057" width="17" customWidth="1"/>
    <col min="2058" max="2058" width="17.85546875" customWidth="1"/>
    <col min="2059" max="2059" width="14.5703125" customWidth="1"/>
    <col min="2060" max="2060" width="15.140625" customWidth="1"/>
    <col min="2061" max="2061" width="17.140625" customWidth="1"/>
    <col min="2062" max="2062" width="15.7109375" customWidth="1"/>
    <col min="2063" max="2063" width="13.5703125" bestFit="1" customWidth="1"/>
    <col min="2308" max="2308" width="8.7109375" customWidth="1"/>
    <col min="2309" max="2309" width="53.42578125" customWidth="1"/>
    <col min="2310" max="2310" width="15.7109375" customWidth="1"/>
    <col min="2311" max="2311" width="15.85546875" customWidth="1"/>
    <col min="2312" max="2312" width="15.5703125" customWidth="1"/>
    <col min="2313" max="2313" width="17" customWidth="1"/>
    <col min="2314" max="2314" width="17.85546875" customWidth="1"/>
    <col min="2315" max="2315" width="14.5703125" customWidth="1"/>
    <col min="2316" max="2316" width="15.140625" customWidth="1"/>
    <col min="2317" max="2317" width="17.140625" customWidth="1"/>
    <col min="2318" max="2318" width="15.7109375" customWidth="1"/>
    <col min="2319" max="2319" width="13.5703125" bestFit="1" customWidth="1"/>
    <col min="2564" max="2564" width="8.7109375" customWidth="1"/>
    <col min="2565" max="2565" width="53.42578125" customWidth="1"/>
    <col min="2566" max="2566" width="15.7109375" customWidth="1"/>
    <col min="2567" max="2567" width="15.85546875" customWidth="1"/>
    <col min="2568" max="2568" width="15.5703125" customWidth="1"/>
    <col min="2569" max="2569" width="17" customWidth="1"/>
    <col min="2570" max="2570" width="17.85546875" customWidth="1"/>
    <col min="2571" max="2571" width="14.5703125" customWidth="1"/>
    <col min="2572" max="2572" width="15.140625" customWidth="1"/>
    <col min="2573" max="2573" width="17.140625" customWidth="1"/>
    <col min="2574" max="2574" width="15.7109375" customWidth="1"/>
    <col min="2575" max="2575" width="13.5703125" bestFit="1" customWidth="1"/>
    <col min="2820" max="2820" width="8.7109375" customWidth="1"/>
    <col min="2821" max="2821" width="53.42578125" customWidth="1"/>
    <col min="2822" max="2822" width="15.7109375" customWidth="1"/>
    <col min="2823" max="2823" width="15.85546875" customWidth="1"/>
    <col min="2824" max="2824" width="15.5703125" customWidth="1"/>
    <col min="2825" max="2825" width="17" customWidth="1"/>
    <col min="2826" max="2826" width="17.85546875" customWidth="1"/>
    <col min="2827" max="2827" width="14.5703125" customWidth="1"/>
    <col min="2828" max="2828" width="15.140625" customWidth="1"/>
    <col min="2829" max="2829" width="17.140625" customWidth="1"/>
    <col min="2830" max="2830" width="15.7109375" customWidth="1"/>
    <col min="2831" max="2831" width="13.5703125" bestFit="1" customWidth="1"/>
    <col min="3076" max="3076" width="8.7109375" customWidth="1"/>
    <col min="3077" max="3077" width="53.42578125" customWidth="1"/>
    <col min="3078" max="3078" width="15.7109375" customWidth="1"/>
    <col min="3079" max="3079" width="15.85546875" customWidth="1"/>
    <col min="3080" max="3080" width="15.5703125" customWidth="1"/>
    <col min="3081" max="3081" width="17" customWidth="1"/>
    <col min="3082" max="3082" width="17.85546875" customWidth="1"/>
    <col min="3083" max="3083" width="14.5703125" customWidth="1"/>
    <col min="3084" max="3084" width="15.140625" customWidth="1"/>
    <col min="3085" max="3085" width="17.140625" customWidth="1"/>
    <col min="3086" max="3086" width="15.7109375" customWidth="1"/>
    <col min="3087" max="3087" width="13.5703125" bestFit="1" customWidth="1"/>
    <col min="3332" max="3332" width="8.7109375" customWidth="1"/>
    <col min="3333" max="3333" width="53.42578125" customWidth="1"/>
    <col min="3334" max="3334" width="15.7109375" customWidth="1"/>
    <col min="3335" max="3335" width="15.85546875" customWidth="1"/>
    <col min="3336" max="3336" width="15.5703125" customWidth="1"/>
    <col min="3337" max="3337" width="17" customWidth="1"/>
    <col min="3338" max="3338" width="17.85546875" customWidth="1"/>
    <col min="3339" max="3339" width="14.5703125" customWidth="1"/>
    <col min="3340" max="3340" width="15.140625" customWidth="1"/>
    <col min="3341" max="3341" width="17.140625" customWidth="1"/>
    <col min="3342" max="3342" width="15.7109375" customWidth="1"/>
    <col min="3343" max="3343" width="13.5703125" bestFit="1" customWidth="1"/>
    <col min="3588" max="3588" width="8.7109375" customWidth="1"/>
    <col min="3589" max="3589" width="53.42578125" customWidth="1"/>
    <col min="3590" max="3590" width="15.7109375" customWidth="1"/>
    <col min="3591" max="3591" width="15.85546875" customWidth="1"/>
    <col min="3592" max="3592" width="15.5703125" customWidth="1"/>
    <col min="3593" max="3593" width="17" customWidth="1"/>
    <col min="3594" max="3594" width="17.85546875" customWidth="1"/>
    <col min="3595" max="3595" width="14.5703125" customWidth="1"/>
    <col min="3596" max="3596" width="15.140625" customWidth="1"/>
    <col min="3597" max="3597" width="17.140625" customWidth="1"/>
    <col min="3598" max="3598" width="15.7109375" customWidth="1"/>
    <col min="3599" max="3599" width="13.5703125" bestFit="1" customWidth="1"/>
    <col min="3844" max="3844" width="8.7109375" customWidth="1"/>
    <col min="3845" max="3845" width="53.42578125" customWidth="1"/>
    <col min="3846" max="3846" width="15.7109375" customWidth="1"/>
    <col min="3847" max="3847" width="15.85546875" customWidth="1"/>
    <col min="3848" max="3848" width="15.5703125" customWidth="1"/>
    <col min="3849" max="3849" width="17" customWidth="1"/>
    <col min="3850" max="3850" width="17.85546875" customWidth="1"/>
    <col min="3851" max="3851" width="14.5703125" customWidth="1"/>
    <col min="3852" max="3852" width="15.140625" customWidth="1"/>
    <col min="3853" max="3853" width="17.140625" customWidth="1"/>
    <col min="3854" max="3854" width="15.7109375" customWidth="1"/>
    <col min="3855" max="3855" width="13.5703125" bestFit="1" customWidth="1"/>
    <col min="4100" max="4100" width="8.7109375" customWidth="1"/>
    <col min="4101" max="4101" width="53.42578125" customWidth="1"/>
    <col min="4102" max="4102" width="15.7109375" customWidth="1"/>
    <col min="4103" max="4103" width="15.85546875" customWidth="1"/>
    <col min="4104" max="4104" width="15.5703125" customWidth="1"/>
    <col min="4105" max="4105" width="17" customWidth="1"/>
    <col min="4106" max="4106" width="17.85546875" customWidth="1"/>
    <col min="4107" max="4107" width="14.5703125" customWidth="1"/>
    <col min="4108" max="4108" width="15.140625" customWidth="1"/>
    <col min="4109" max="4109" width="17.140625" customWidth="1"/>
    <col min="4110" max="4110" width="15.7109375" customWidth="1"/>
    <col min="4111" max="4111" width="13.5703125" bestFit="1" customWidth="1"/>
    <col min="4356" max="4356" width="8.7109375" customWidth="1"/>
    <col min="4357" max="4357" width="53.42578125" customWidth="1"/>
    <col min="4358" max="4358" width="15.7109375" customWidth="1"/>
    <col min="4359" max="4359" width="15.85546875" customWidth="1"/>
    <col min="4360" max="4360" width="15.5703125" customWidth="1"/>
    <col min="4361" max="4361" width="17" customWidth="1"/>
    <col min="4362" max="4362" width="17.85546875" customWidth="1"/>
    <col min="4363" max="4363" width="14.5703125" customWidth="1"/>
    <col min="4364" max="4364" width="15.140625" customWidth="1"/>
    <col min="4365" max="4365" width="17.140625" customWidth="1"/>
    <col min="4366" max="4366" width="15.7109375" customWidth="1"/>
    <col min="4367" max="4367" width="13.5703125" bestFit="1" customWidth="1"/>
    <col min="4612" max="4612" width="8.7109375" customWidth="1"/>
    <col min="4613" max="4613" width="53.42578125" customWidth="1"/>
    <col min="4614" max="4614" width="15.7109375" customWidth="1"/>
    <col min="4615" max="4615" width="15.85546875" customWidth="1"/>
    <col min="4616" max="4616" width="15.5703125" customWidth="1"/>
    <col min="4617" max="4617" width="17" customWidth="1"/>
    <col min="4618" max="4618" width="17.85546875" customWidth="1"/>
    <col min="4619" max="4619" width="14.5703125" customWidth="1"/>
    <col min="4620" max="4620" width="15.140625" customWidth="1"/>
    <col min="4621" max="4621" width="17.140625" customWidth="1"/>
    <col min="4622" max="4622" width="15.7109375" customWidth="1"/>
    <col min="4623" max="4623" width="13.5703125" bestFit="1" customWidth="1"/>
    <col min="4868" max="4868" width="8.7109375" customWidth="1"/>
    <col min="4869" max="4869" width="53.42578125" customWidth="1"/>
    <col min="4870" max="4870" width="15.7109375" customWidth="1"/>
    <col min="4871" max="4871" width="15.85546875" customWidth="1"/>
    <col min="4872" max="4872" width="15.5703125" customWidth="1"/>
    <col min="4873" max="4873" width="17" customWidth="1"/>
    <col min="4874" max="4874" width="17.85546875" customWidth="1"/>
    <col min="4875" max="4875" width="14.5703125" customWidth="1"/>
    <col min="4876" max="4876" width="15.140625" customWidth="1"/>
    <col min="4877" max="4877" width="17.140625" customWidth="1"/>
    <col min="4878" max="4878" width="15.7109375" customWidth="1"/>
    <col min="4879" max="4879" width="13.5703125" bestFit="1" customWidth="1"/>
    <col min="5124" max="5124" width="8.7109375" customWidth="1"/>
    <col min="5125" max="5125" width="53.42578125" customWidth="1"/>
    <col min="5126" max="5126" width="15.7109375" customWidth="1"/>
    <col min="5127" max="5127" width="15.85546875" customWidth="1"/>
    <col min="5128" max="5128" width="15.5703125" customWidth="1"/>
    <col min="5129" max="5129" width="17" customWidth="1"/>
    <col min="5130" max="5130" width="17.85546875" customWidth="1"/>
    <col min="5131" max="5131" width="14.5703125" customWidth="1"/>
    <col min="5132" max="5132" width="15.140625" customWidth="1"/>
    <col min="5133" max="5133" width="17.140625" customWidth="1"/>
    <col min="5134" max="5134" width="15.7109375" customWidth="1"/>
    <col min="5135" max="5135" width="13.5703125" bestFit="1" customWidth="1"/>
    <col min="5380" max="5380" width="8.7109375" customWidth="1"/>
    <col min="5381" max="5381" width="53.42578125" customWidth="1"/>
    <col min="5382" max="5382" width="15.7109375" customWidth="1"/>
    <col min="5383" max="5383" width="15.85546875" customWidth="1"/>
    <col min="5384" max="5384" width="15.5703125" customWidth="1"/>
    <col min="5385" max="5385" width="17" customWidth="1"/>
    <col min="5386" max="5386" width="17.85546875" customWidth="1"/>
    <col min="5387" max="5387" width="14.5703125" customWidth="1"/>
    <col min="5388" max="5388" width="15.140625" customWidth="1"/>
    <col min="5389" max="5389" width="17.140625" customWidth="1"/>
    <col min="5390" max="5390" width="15.7109375" customWidth="1"/>
    <col min="5391" max="5391" width="13.5703125" bestFit="1" customWidth="1"/>
    <col min="5636" max="5636" width="8.7109375" customWidth="1"/>
    <col min="5637" max="5637" width="53.42578125" customWidth="1"/>
    <col min="5638" max="5638" width="15.7109375" customWidth="1"/>
    <col min="5639" max="5639" width="15.85546875" customWidth="1"/>
    <col min="5640" max="5640" width="15.5703125" customWidth="1"/>
    <col min="5641" max="5641" width="17" customWidth="1"/>
    <col min="5642" max="5642" width="17.85546875" customWidth="1"/>
    <col min="5643" max="5643" width="14.5703125" customWidth="1"/>
    <col min="5644" max="5644" width="15.140625" customWidth="1"/>
    <col min="5645" max="5645" width="17.140625" customWidth="1"/>
    <col min="5646" max="5646" width="15.7109375" customWidth="1"/>
    <col min="5647" max="5647" width="13.5703125" bestFit="1" customWidth="1"/>
    <col min="5892" max="5892" width="8.7109375" customWidth="1"/>
    <col min="5893" max="5893" width="53.42578125" customWidth="1"/>
    <col min="5894" max="5894" width="15.7109375" customWidth="1"/>
    <col min="5895" max="5895" width="15.85546875" customWidth="1"/>
    <col min="5896" max="5896" width="15.5703125" customWidth="1"/>
    <col min="5897" max="5897" width="17" customWidth="1"/>
    <col min="5898" max="5898" width="17.85546875" customWidth="1"/>
    <col min="5899" max="5899" width="14.5703125" customWidth="1"/>
    <col min="5900" max="5900" width="15.140625" customWidth="1"/>
    <col min="5901" max="5901" width="17.140625" customWidth="1"/>
    <col min="5902" max="5902" width="15.7109375" customWidth="1"/>
    <col min="5903" max="5903" width="13.5703125" bestFit="1" customWidth="1"/>
    <col min="6148" max="6148" width="8.7109375" customWidth="1"/>
    <col min="6149" max="6149" width="53.42578125" customWidth="1"/>
    <col min="6150" max="6150" width="15.7109375" customWidth="1"/>
    <col min="6151" max="6151" width="15.85546875" customWidth="1"/>
    <col min="6152" max="6152" width="15.5703125" customWidth="1"/>
    <col min="6153" max="6153" width="17" customWidth="1"/>
    <col min="6154" max="6154" width="17.85546875" customWidth="1"/>
    <col min="6155" max="6155" width="14.5703125" customWidth="1"/>
    <col min="6156" max="6156" width="15.140625" customWidth="1"/>
    <col min="6157" max="6157" width="17.140625" customWidth="1"/>
    <col min="6158" max="6158" width="15.7109375" customWidth="1"/>
    <col min="6159" max="6159" width="13.5703125" bestFit="1" customWidth="1"/>
    <col min="6404" max="6404" width="8.7109375" customWidth="1"/>
    <col min="6405" max="6405" width="53.42578125" customWidth="1"/>
    <col min="6406" max="6406" width="15.7109375" customWidth="1"/>
    <col min="6407" max="6407" width="15.85546875" customWidth="1"/>
    <col min="6408" max="6408" width="15.5703125" customWidth="1"/>
    <col min="6409" max="6409" width="17" customWidth="1"/>
    <col min="6410" max="6410" width="17.85546875" customWidth="1"/>
    <col min="6411" max="6411" width="14.5703125" customWidth="1"/>
    <col min="6412" max="6412" width="15.140625" customWidth="1"/>
    <col min="6413" max="6413" width="17.140625" customWidth="1"/>
    <col min="6414" max="6414" width="15.7109375" customWidth="1"/>
    <col min="6415" max="6415" width="13.5703125" bestFit="1" customWidth="1"/>
    <col min="6660" max="6660" width="8.7109375" customWidth="1"/>
    <col min="6661" max="6661" width="53.42578125" customWidth="1"/>
    <col min="6662" max="6662" width="15.7109375" customWidth="1"/>
    <col min="6663" max="6663" width="15.85546875" customWidth="1"/>
    <col min="6664" max="6664" width="15.5703125" customWidth="1"/>
    <col min="6665" max="6665" width="17" customWidth="1"/>
    <col min="6666" max="6666" width="17.85546875" customWidth="1"/>
    <col min="6667" max="6667" width="14.5703125" customWidth="1"/>
    <col min="6668" max="6668" width="15.140625" customWidth="1"/>
    <col min="6669" max="6669" width="17.140625" customWidth="1"/>
    <col min="6670" max="6670" width="15.7109375" customWidth="1"/>
    <col min="6671" max="6671" width="13.5703125" bestFit="1" customWidth="1"/>
    <col min="6916" max="6916" width="8.7109375" customWidth="1"/>
    <col min="6917" max="6917" width="53.42578125" customWidth="1"/>
    <col min="6918" max="6918" width="15.7109375" customWidth="1"/>
    <col min="6919" max="6919" width="15.85546875" customWidth="1"/>
    <col min="6920" max="6920" width="15.5703125" customWidth="1"/>
    <col min="6921" max="6921" width="17" customWidth="1"/>
    <col min="6922" max="6922" width="17.85546875" customWidth="1"/>
    <col min="6923" max="6923" width="14.5703125" customWidth="1"/>
    <col min="6924" max="6924" width="15.140625" customWidth="1"/>
    <col min="6925" max="6925" width="17.140625" customWidth="1"/>
    <col min="6926" max="6926" width="15.7109375" customWidth="1"/>
    <col min="6927" max="6927" width="13.5703125" bestFit="1" customWidth="1"/>
    <col min="7172" max="7172" width="8.7109375" customWidth="1"/>
    <col min="7173" max="7173" width="53.42578125" customWidth="1"/>
    <col min="7174" max="7174" width="15.7109375" customWidth="1"/>
    <col min="7175" max="7175" width="15.85546875" customWidth="1"/>
    <col min="7176" max="7176" width="15.5703125" customWidth="1"/>
    <col min="7177" max="7177" width="17" customWidth="1"/>
    <col min="7178" max="7178" width="17.85546875" customWidth="1"/>
    <col min="7179" max="7179" width="14.5703125" customWidth="1"/>
    <col min="7180" max="7180" width="15.140625" customWidth="1"/>
    <col min="7181" max="7181" width="17.140625" customWidth="1"/>
    <col min="7182" max="7182" width="15.7109375" customWidth="1"/>
    <col min="7183" max="7183" width="13.5703125" bestFit="1" customWidth="1"/>
    <col min="7428" max="7428" width="8.7109375" customWidth="1"/>
    <col min="7429" max="7429" width="53.42578125" customWidth="1"/>
    <col min="7430" max="7430" width="15.7109375" customWidth="1"/>
    <col min="7431" max="7431" width="15.85546875" customWidth="1"/>
    <col min="7432" max="7432" width="15.5703125" customWidth="1"/>
    <col min="7433" max="7433" width="17" customWidth="1"/>
    <col min="7434" max="7434" width="17.85546875" customWidth="1"/>
    <col min="7435" max="7435" width="14.5703125" customWidth="1"/>
    <col min="7436" max="7436" width="15.140625" customWidth="1"/>
    <col min="7437" max="7437" width="17.140625" customWidth="1"/>
    <col min="7438" max="7438" width="15.7109375" customWidth="1"/>
    <col min="7439" max="7439" width="13.5703125" bestFit="1" customWidth="1"/>
    <col min="7684" max="7684" width="8.7109375" customWidth="1"/>
    <col min="7685" max="7685" width="53.42578125" customWidth="1"/>
    <col min="7686" max="7686" width="15.7109375" customWidth="1"/>
    <col min="7687" max="7687" width="15.85546875" customWidth="1"/>
    <col min="7688" max="7688" width="15.5703125" customWidth="1"/>
    <col min="7689" max="7689" width="17" customWidth="1"/>
    <col min="7690" max="7690" width="17.85546875" customWidth="1"/>
    <col min="7691" max="7691" width="14.5703125" customWidth="1"/>
    <col min="7692" max="7692" width="15.140625" customWidth="1"/>
    <col min="7693" max="7693" width="17.140625" customWidth="1"/>
    <col min="7694" max="7694" width="15.7109375" customWidth="1"/>
    <col min="7695" max="7695" width="13.5703125" bestFit="1" customWidth="1"/>
    <col min="7940" max="7940" width="8.7109375" customWidth="1"/>
    <col min="7941" max="7941" width="53.42578125" customWidth="1"/>
    <col min="7942" max="7942" width="15.7109375" customWidth="1"/>
    <col min="7943" max="7943" width="15.85546875" customWidth="1"/>
    <col min="7944" max="7944" width="15.5703125" customWidth="1"/>
    <col min="7945" max="7945" width="17" customWidth="1"/>
    <col min="7946" max="7946" width="17.85546875" customWidth="1"/>
    <col min="7947" max="7947" width="14.5703125" customWidth="1"/>
    <col min="7948" max="7948" width="15.140625" customWidth="1"/>
    <col min="7949" max="7949" width="17.140625" customWidth="1"/>
    <col min="7950" max="7950" width="15.7109375" customWidth="1"/>
    <col min="7951" max="7951" width="13.5703125" bestFit="1" customWidth="1"/>
    <col min="8196" max="8196" width="8.7109375" customWidth="1"/>
    <col min="8197" max="8197" width="53.42578125" customWidth="1"/>
    <col min="8198" max="8198" width="15.7109375" customWidth="1"/>
    <col min="8199" max="8199" width="15.85546875" customWidth="1"/>
    <col min="8200" max="8200" width="15.5703125" customWidth="1"/>
    <col min="8201" max="8201" width="17" customWidth="1"/>
    <col min="8202" max="8202" width="17.85546875" customWidth="1"/>
    <col min="8203" max="8203" width="14.5703125" customWidth="1"/>
    <col min="8204" max="8204" width="15.140625" customWidth="1"/>
    <col min="8205" max="8205" width="17.140625" customWidth="1"/>
    <col min="8206" max="8206" width="15.7109375" customWidth="1"/>
    <col min="8207" max="8207" width="13.5703125" bestFit="1" customWidth="1"/>
    <col min="8452" max="8452" width="8.7109375" customWidth="1"/>
    <col min="8453" max="8453" width="53.42578125" customWidth="1"/>
    <col min="8454" max="8454" width="15.7109375" customWidth="1"/>
    <col min="8455" max="8455" width="15.85546875" customWidth="1"/>
    <col min="8456" max="8456" width="15.5703125" customWidth="1"/>
    <col min="8457" max="8457" width="17" customWidth="1"/>
    <col min="8458" max="8458" width="17.85546875" customWidth="1"/>
    <col min="8459" max="8459" width="14.5703125" customWidth="1"/>
    <col min="8460" max="8460" width="15.140625" customWidth="1"/>
    <col min="8461" max="8461" width="17.140625" customWidth="1"/>
    <col min="8462" max="8462" width="15.7109375" customWidth="1"/>
    <col min="8463" max="8463" width="13.5703125" bestFit="1" customWidth="1"/>
    <col min="8708" max="8708" width="8.7109375" customWidth="1"/>
    <col min="8709" max="8709" width="53.42578125" customWidth="1"/>
    <col min="8710" max="8710" width="15.7109375" customWidth="1"/>
    <col min="8711" max="8711" width="15.85546875" customWidth="1"/>
    <col min="8712" max="8712" width="15.5703125" customWidth="1"/>
    <col min="8713" max="8713" width="17" customWidth="1"/>
    <col min="8714" max="8714" width="17.85546875" customWidth="1"/>
    <col min="8715" max="8715" width="14.5703125" customWidth="1"/>
    <col min="8716" max="8716" width="15.140625" customWidth="1"/>
    <col min="8717" max="8717" width="17.140625" customWidth="1"/>
    <col min="8718" max="8718" width="15.7109375" customWidth="1"/>
    <col min="8719" max="8719" width="13.5703125" bestFit="1" customWidth="1"/>
    <col min="8964" max="8964" width="8.7109375" customWidth="1"/>
    <col min="8965" max="8965" width="53.42578125" customWidth="1"/>
    <col min="8966" max="8966" width="15.7109375" customWidth="1"/>
    <col min="8967" max="8967" width="15.85546875" customWidth="1"/>
    <col min="8968" max="8968" width="15.5703125" customWidth="1"/>
    <col min="8969" max="8969" width="17" customWidth="1"/>
    <col min="8970" max="8970" width="17.85546875" customWidth="1"/>
    <col min="8971" max="8971" width="14.5703125" customWidth="1"/>
    <col min="8972" max="8972" width="15.140625" customWidth="1"/>
    <col min="8973" max="8973" width="17.140625" customWidth="1"/>
    <col min="8974" max="8974" width="15.7109375" customWidth="1"/>
    <col min="8975" max="8975" width="13.5703125" bestFit="1" customWidth="1"/>
    <col min="9220" max="9220" width="8.7109375" customWidth="1"/>
    <col min="9221" max="9221" width="53.42578125" customWidth="1"/>
    <col min="9222" max="9222" width="15.7109375" customWidth="1"/>
    <col min="9223" max="9223" width="15.85546875" customWidth="1"/>
    <col min="9224" max="9224" width="15.5703125" customWidth="1"/>
    <col min="9225" max="9225" width="17" customWidth="1"/>
    <col min="9226" max="9226" width="17.85546875" customWidth="1"/>
    <col min="9227" max="9227" width="14.5703125" customWidth="1"/>
    <col min="9228" max="9228" width="15.140625" customWidth="1"/>
    <col min="9229" max="9229" width="17.140625" customWidth="1"/>
    <col min="9230" max="9230" width="15.7109375" customWidth="1"/>
    <col min="9231" max="9231" width="13.5703125" bestFit="1" customWidth="1"/>
    <col min="9476" max="9476" width="8.7109375" customWidth="1"/>
    <col min="9477" max="9477" width="53.42578125" customWidth="1"/>
    <col min="9478" max="9478" width="15.7109375" customWidth="1"/>
    <col min="9479" max="9479" width="15.85546875" customWidth="1"/>
    <col min="9480" max="9480" width="15.5703125" customWidth="1"/>
    <col min="9481" max="9481" width="17" customWidth="1"/>
    <col min="9482" max="9482" width="17.85546875" customWidth="1"/>
    <col min="9483" max="9483" width="14.5703125" customWidth="1"/>
    <col min="9484" max="9484" width="15.140625" customWidth="1"/>
    <col min="9485" max="9485" width="17.140625" customWidth="1"/>
    <col min="9486" max="9486" width="15.7109375" customWidth="1"/>
    <col min="9487" max="9487" width="13.5703125" bestFit="1" customWidth="1"/>
    <col min="9732" max="9732" width="8.7109375" customWidth="1"/>
    <col min="9733" max="9733" width="53.42578125" customWidth="1"/>
    <col min="9734" max="9734" width="15.7109375" customWidth="1"/>
    <col min="9735" max="9735" width="15.85546875" customWidth="1"/>
    <col min="9736" max="9736" width="15.5703125" customWidth="1"/>
    <col min="9737" max="9737" width="17" customWidth="1"/>
    <col min="9738" max="9738" width="17.85546875" customWidth="1"/>
    <col min="9739" max="9739" width="14.5703125" customWidth="1"/>
    <col min="9740" max="9740" width="15.140625" customWidth="1"/>
    <col min="9741" max="9741" width="17.140625" customWidth="1"/>
    <col min="9742" max="9742" width="15.7109375" customWidth="1"/>
    <col min="9743" max="9743" width="13.5703125" bestFit="1" customWidth="1"/>
    <col min="9988" max="9988" width="8.7109375" customWidth="1"/>
    <col min="9989" max="9989" width="53.42578125" customWidth="1"/>
    <col min="9990" max="9990" width="15.7109375" customWidth="1"/>
    <col min="9991" max="9991" width="15.85546875" customWidth="1"/>
    <col min="9992" max="9992" width="15.5703125" customWidth="1"/>
    <col min="9993" max="9993" width="17" customWidth="1"/>
    <col min="9994" max="9994" width="17.85546875" customWidth="1"/>
    <col min="9995" max="9995" width="14.5703125" customWidth="1"/>
    <col min="9996" max="9996" width="15.140625" customWidth="1"/>
    <col min="9997" max="9997" width="17.140625" customWidth="1"/>
    <col min="9998" max="9998" width="15.7109375" customWidth="1"/>
    <col min="9999" max="9999" width="13.5703125" bestFit="1" customWidth="1"/>
    <col min="10244" max="10244" width="8.7109375" customWidth="1"/>
    <col min="10245" max="10245" width="53.42578125" customWidth="1"/>
    <col min="10246" max="10246" width="15.7109375" customWidth="1"/>
    <col min="10247" max="10247" width="15.85546875" customWidth="1"/>
    <col min="10248" max="10248" width="15.5703125" customWidth="1"/>
    <col min="10249" max="10249" width="17" customWidth="1"/>
    <col min="10250" max="10250" width="17.85546875" customWidth="1"/>
    <col min="10251" max="10251" width="14.5703125" customWidth="1"/>
    <col min="10252" max="10252" width="15.140625" customWidth="1"/>
    <col min="10253" max="10253" width="17.140625" customWidth="1"/>
    <col min="10254" max="10254" width="15.7109375" customWidth="1"/>
    <col min="10255" max="10255" width="13.5703125" bestFit="1" customWidth="1"/>
    <col min="10500" max="10500" width="8.7109375" customWidth="1"/>
    <col min="10501" max="10501" width="53.42578125" customWidth="1"/>
    <col min="10502" max="10502" width="15.7109375" customWidth="1"/>
    <col min="10503" max="10503" width="15.85546875" customWidth="1"/>
    <col min="10504" max="10504" width="15.5703125" customWidth="1"/>
    <col min="10505" max="10505" width="17" customWidth="1"/>
    <col min="10506" max="10506" width="17.85546875" customWidth="1"/>
    <col min="10507" max="10507" width="14.5703125" customWidth="1"/>
    <col min="10508" max="10508" width="15.140625" customWidth="1"/>
    <col min="10509" max="10509" width="17.140625" customWidth="1"/>
    <col min="10510" max="10510" width="15.7109375" customWidth="1"/>
    <col min="10511" max="10511" width="13.5703125" bestFit="1" customWidth="1"/>
    <col min="10756" max="10756" width="8.7109375" customWidth="1"/>
    <col min="10757" max="10757" width="53.42578125" customWidth="1"/>
    <col min="10758" max="10758" width="15.7109375" customWidth="1"/>
    <col min="10759" max="10759" width="15.85546875" customWidth="1"/>
    <col min="10760" max="10760" width="15.5703125" customWidth="1"/>
    <col min="10761" max="10761" width="17" customWidth="1"/>
    <col min="10762" max="10762" width="17.85546875" customWidth="1"/>
    <col min="10763" max="10763" width="14.5703125" customWidth="1"/>
    <col min="10764" max="10764" width="15.140625" customWidth="1"/>
    <col min="10765" max="10765" width="17.140625" customWidth="1"/>
    <col min="10766" max="10766" width="15.7109375" customWidth="1"/>
    <col min="10767" max="10767" width="13.5703125" bestFit="1" customWidth="1"/>
    <col min="11012" max="11012" width="8.7109375" customWidth="1"/>
    <col min="11013" max="11013" width="53.42578125" customWidth="1"/>
    <col min="11014" max="11014" width="15.7109375" customWidth="1"/>
    <col min="11015" max="11015" width="15.85546875" customWidth="1"/>
    <col min="11016" max="11016" width="15.5703125" customWidth="1"/>
    <col min="11017" max="11017" width="17" customWidth="1"/>
    <col min="11018" max="11018" width="17.85546875" customWidth="1"/>
    <col min="11019" max="11019" width="14.5703125" customWidth="1"/>
    <col min="11020" max="11020" width="15.140625" customWidth="1"/>
    <col min="11021" max="11021" width="17.140625" customWidth="1"/>
    <col min="11022" max="11022" width="15.7109375" customWidth="1"/>
    <col min="11023" max="11023" width="13.5703125" bestFit="1" customWidth="1"/>
    <col min="11268" max="11268" width="8.7109375" customWidth="1"/>
    <col min="11269" max="11269" width="53.42578125" customWidth="1"/>
    <col min="11270" max="11270" width="15.7109375" customWidth="1"/>
    <col min="11271" max="11271" width="15.85546875" customWidth="1"/>
    <col min="11272" max="11272" width="15.5703125" customWidth="1"/>
    <col min="11273" max="11273" width="17" customWidth="1"/>
    <col min="11274" max="11274" width="17.85546875" customWidth="1"/>
    <col min="11275" max="11275" width="14.5703125" customWidth="1"/>
    <col min="11276" max="11276" width="15.140625" customWidth="1"/>
    <col min="11277" max="11277" width="17.140625" customWidth="1"/>
    <col min="11278" max="11278" width="15.7109375" customWidth="1"/>
    <col min="11279" max="11279" width="13.5703125" bestFit="1" customWidth="1"/>
    <col min="11524" max="11524" width="8.7109375" customWidth="1"/>
    <col min="11525" max="11525" width="53.42578125" customWidth="1"/>
    <col min="11526" max="11526" width="15.7109375" customWidth="1"/>
    <col min="11527" max="11527" width="15.85546875" customWidth="1"/>
    <col min="11528" max="11528" width="15.5703125" customWidth="1"/>
    <col min="11529" max="11529" width="17" customWidth="1"/>
    <col min="11530" max="11530" width="17.85546875" customWidth="1"/>
    <col min="11531" max="11531" width="14.5703125" customWidth="1"/>
    <col min="11532" max="11532" width="15.140625" customWidth="1"/>
    <col min="11533" max="11533" width="17.140625" customWidth="1"/>
    <col min="11534" max="11534" width="15.7109375" customWidth="1"/>
    <col min="11535" max="11535" width="13.5703125" bestFit="1" customWidth="1"/>
    <col min="11780" max="11780" width="8.7109375" customWidth="1"/>
    <col min="11781" max="11781" width="53.42578125" customWidth="1"/>
    <col min="11782" max="11782" width="15.7109375" customWidth="1"/>
    <col min="11783" max="11783" width="15.85546875" customWidth="1"/>
    <col min="11784" max="11784" width="15.5703125" customWidth="1"/>
    <col min="11785" max="11785" width="17" customWidth="1"/>
    <col min="11786" max="11786" width="17.85546875" customWidth="1"/>
    <col min="11787" max="11787" width="14.5703125" customWidth="1"/>
    <col min="11788" max="11788" width="15.140625" customWidth="1"/>
    <col min="11789" max="11789" width="17.140625" customWidth="1"/>
    <col min="11790" max="11790" width="15.7109375" customWidth="1"/>
    <col min="11791" max="11791" width="13.5703125" bestFit="1" customWidth="1"/>
    <col min="12036" max="12036" width="8.7109375" customWidth="1"/>
    <col min="12037" max="12037" width="53.42578125" customWidth="1"/>
    <col min="12038" max="12038" width="15.7109375" customWidth="1"/>
    <col min="12039" max="12039" width="15.85546875" customWidth="1"/>
    <col min="12040" max="12040" width="15.5703125" customWidth="1"/>
    <col min="12041" max="12041" width="17" customWidth="1"/>
    <col min="12042" max="12042" width="17.85546875" customWidth="1"/>
    <col min="12043" max="12043" width="14.5703125" customWidth="1"/>
    <col min="12044" max="12044" width="15.140625" customWidth="1"/>
    <col min="12045" max="12045" width="17.140625" customWidth="1"/>
    <col min="12046" max="12046" width="15.7109375" customWidth="1"/>
    <col min="12047" max="12047" width="13.5703125" bestFit="1" customWidth="1"/>
    <col min="12292" max="12292" width="8.7109375" customWidth="1"/>
    <col min="12293" max="12293" width="53.42578125" customWidth="1"/>
    <col min="12294" max="12294" width="15.7109375" customWidth="1"/>
    <col min="12295" max="12295" width="15.85546875" customWidth="1"/>
    <col min="12296" max="12296" width="15.5703125" customWidth="1"/>
    <col min="12297" max="12297" width="17" customWidth="1"/>
    <col min="12298" max="12298" width="17.85546875" customWidth="1"/>
    <col min="12299" max="12299" width="14.5703125" customWidth="1"/>
    <col min="12300" max="12300" width="15.140625" customWidth="1"/>
    <col min="12301" max="12301" width="17.140625" customWidth="1"/>
    <col min="12302" max="12302" width="15.7109375" customWidth="1"/>
    <col min="12303" max="12303" width="13.5703125" bestFit="1" customWidth="1"/>
    <col min="12548" max="12548" width="8.7109375" customWidth="1"/>
    <col min="12549" max="12549" width="53.42578125" customWidth="1"/>
    <col min="12550" max="12550" width="15.7109375" customWidth="1"/>
    <col min="12551" max="12551" width="15.85546875" customWidth="1"/>
    <col min="12552" max="12552" width="15.5703125" customWidth="1"/>
    <col min="12553" max="12553" width="17" customWidth="1"/>
    <col min="12554" max="12554" width="17.85546875" customWidth="1"/>
    <col min="12555" max="12555" width="14.5703125" customWidth="1"/>
    <col min="12556" max="12556" width="15.140625" customWidth="1"/>
    <col min="12557" max="12557" width="17.140625" customWidth="1"/>
    <col min="12558" max="12558" width="15.7109375" customWidth="1"/>
    <col min="12559" max="12559" width="13.5703125" bestFit="1" customWidth="1"/>
    <col min="12804" max="12804" width="8.7109375" customWidth="1"/>
    <col min="12805" max="12805" width="53.42578125" customWidth="1"/>
    <col min="12806" max="12806" width="15.7109375" customWidth="1"/>
    <col min="12807" max="12807" width="15.85546875" customWidth="1"/>
    <col min="12808" max="12808" width="15.5703125" customWidth="1"/>
    <col min="12809" max="12809" width="17" customWidth="1"/>
    <col min="12810" max="12810" width="17.85546875" customWidth="1"/>
    <col min="12811" max="12811" width="14.5703125" customWidth="1"/>
    <col min="12812" max="12812" width="15.140625" customWidth="1"/>
    <col min="12813" max="12813" width="17.140625" customWidth="1"/>
    <col min="12814" max="12814" width="15.7109375" customWidth="1"/>
    <col min="12815" max="12815" width="13.5703125" bestFit="1" customWidth="1"/>
    <col min="13060" max="13060" width="8.7109375" customWidth="1"/>
    <col min="13061" max="13061" width="53.42578125" customWidth="1"/>
    <col min="13062" max="13062" width="15.7109375" customWidth="1"/>
    <col min="13063" max="13063" width="15.85546875" customWidth="1"/>
    <col min="13064" max="13064" width="15.5703125" customWidth="1"/>
    <col min="13065" max="13065" width="17" customWidth="1"/>
    <col min="13066" max="13066" width="17.85546875" customWidth="1"/>
    <col min="13067" max="13067" width="14.5703125" customWidth="1"/>
    <col min="13068" max="13068" width="15.140625" customWidth="1"/>
    <col min="13069" max="13069" width="17.140625" customWidth="1"/>
    <col min="13070" max="13070" width="15.7109375" customWidth="1"/>
    <col min="13071" max="13071" width="13.5703125" bestFit="1" customWidth="1"/>
    <col min="13316" max="13316" width="8.7109375" customWidth="1"/>
    <col min="13317" max="13317" width="53.42578125" customWidth="1"/>
    <col min="13318" max="13318" width="15.7109375" customWidth="1"/>
    <col min="13319" max="13319" width="15.85546875" customWidth="1"/>
    <col min="13320" max="13320" width="15.5703125" customWidth="1"/>
    <col min="13321" max="13321" width="17" customWidth="1"/>
    <col min="13322" max="13322" width="17.85546875" customWidth="1"/>
    <col min="13323" max="13323" width="14.5703125" customWidth="1"/>
    <col min="13324" max="13324" width="15.140625" customWidth="1"/>
    <col min="13325" max="13325" width="17.140625" customWidth="1"/>
    <col min="13326" max="13326" width="15.7109375" customWidth="1"/>
    <col min="13327" max="13327" width="13.5703125" bestFit="1" customWidth="1"/>
    <col min="13572" max="13572" width="8.7109375" customWidth="1"/>
    <col min="13573" max="13573" width="53.42578125" customWidth="1"/>
    <col min="13574" max="13574" width="15.7109375" customWidth="1"/>
    <col min="13575" max="13575" width="15.85546875" customWidth="1"/>
    <col min="13576" max="13576" width="15.5703125" customWidth="1"/>
    <col min="13577" max="13577" width="17" customWidth="1"/>
    <col min="13578" max="13578" width="17.85546875" customWidth="1"/>
    <col min="13579" max="13579" width="14.5703125" customWidth="1"/>
    <col min="13580" max="13580" width="15.140625" customWidth="1"/>
    <col min="13581" max="13581" width="17.140625" customWidth="1"/>
    <col min="13582" max="13582" width="15.7109375" customWidth="1"/>
    <col min="13583" max="13583" width="13.5703125" bestFit="1" customWidth="1"/>
    <col min="13828" max="13828" width="8.7109375" customWidth="1"/>
    <col min="13829" max="13829" width="53.42578125" customWidth="1"/>
    <col min="13830" max="13830" width="15.7109375" customWidth="1"/>
    <col min="13831" max="13831" width="15.85546875" customWidth="1"/>
    <col min="13832" max="13832" width="15.5703125" customWidth="1"/>
    <col min="13833" max="13833" width="17" customWidth="1"/>
    <col min="13834" max="13834" width="17.85546875" customWidth="1"/>
    <col min="13835" max="13835" width="14.5703125" customWidth="1"/>
    <col min="13836" max="13836" width="15.140625" customWidth="1"/>
    <col min="13837" max="13837" width="17.140625" customWidth="1"/>
    <col min="13838" max="13838" width="15.7109375" customWidth="1"/>
    <col min="13839" max="13839" width="13.5703125" bestFit="1" customWidth="1"/>
    <col min="14084" max="14084" width="8.7109375" customWidth="1"/>
    <col min="14085" max="14085" width="53.42578125" customWidth="1"/>
    <col min="14086" max="14086" width="15.7109375" customWidth="1"/>
    <col min="14087" max="14087" width="15.85546875" customWidth="1"/>
    <col min="14088" max="14088" width="15.5703125" customWidth="1"/>
    <col min="14089" max="14089" width="17" customWidth="1"/>
    <col min="14090" max="14090" width="17.85546875" customWidth="1"/>
    <col min="14091" max="14091" width="14.5703125" customWidth="1"/>
    <col min="14092" max="14092" width="15.140625" customWidth="1"/>
    <col min="14093" max="14093" width="17.140625" customWidth="1"/>
    <col min="14094" max="14094" width="15.7109375" customWidth="1"/>
    <col min="14095" max="14095" width="13.5703125" bestFit="1" customWidth="1"/>
    <col min="14340" max="14340" width="8.7109375" customWidth="1"/>
    <col min="14341" max="14341" width="53.42578125" customWidth="1"/>
    <col min="14342" max="14342" width="15.7109375" customWidth="1"/>
    <col min="14343" max="14343" width="15.85546875" customWidth="1"/>
    <col min="14344" max="14344" width="15.5703125" customWidth="1"/>
    <col min="14345" max="14345" width="17" customWidth="1"/>
    <col min="14346" max="14346" width="17.85546875" customWidth="1"/>
    <col min="14347" max="14347" width="14.5703125" customWidth="1"/>
    <col min="14348" max="14348" width="15.140625" customWidth="1"/>
    <col min="14349" max="14349" width="17.140625" customWidth="1"/>
    <col min="14350" max="14350" width="15.7109375" customWidth="1"/>
    <col min="14351" max="14351" width="13.5703125" bestFit="1" customWidth="1"/>
    <col min="14596" max="14596" width="8.7109375" customWidth="1"/>
    <col min="14597" max="14597" width="53.42578125" customWidth="1"/>
    <col min="14598" max="14598" width="15.7109375" customWidth="1"/>
    <col min="14599" max="14599" width="15.85546875" customWidth="1"/>
    <col min="14600" max="14600" width="15.5703125" customWidth="1"/>
    <col min="14601" max="14601" width="17" customWidth="1"/>
    <col min="14602" max="14602" width="17.85546875" customWidth="1"/>
    <col min="14603" max="14603" width="14.5703125" customWidth="1"/>
    <col min="14604" max="14604" width="15.140625" customWidth="1"/>
    <col min="14605" max="14605" width="17.140625" customWidth="1"/>
    <col min="14606" max="14606" width="15.7109375" customWidth="1"/>
    <col min="14607" max="14607" width="13.5703125" bestFit="1" customWidth="1"/>
    <col min="14852" max="14852" width="8.7109375" customWidth="1"/>
    <col min="14853" max="14853" width="53.42578125" customWidth="1"/>
    <col min="14854" max="14854" width="15.7109375" customWidth="1"/>
    <col min="14855" max="14855" width="15.85546875" customWidth="1"/>
    <col min="14856" max="14856" width="15.5703125" customWidth="1"/>
    <col min="14857" max="14857" width="17" customWidth="1"/>
    <col min="14858" max="14858" width="17.85546875" customWidth="1"/>
    <col min="14859" max="14859" width="14.5703125" customWidth="1"/>
    <col min="14860" max="14860" width="15.140625" customWidth="1"/>
    <col min="14861" max="14861" width="17.140625" customWidth="1"/>
    <col min="14862" max="14862" width="15.7109375" customWidth="1"/>
    <col min="14863" max="14863" width="13.5703125" bestFit="1" customWidth="1"/>
    <col min="15108" max="15108" width="8.7109375" customWidth="1"/>
    <col min="15109" max="15109" width="53.42578125" customWidth="1"/>
    <col min="15110" max="15110" width="15.7109375" customWidth="1"/>
    <col min="15111" max="15111" width="15.85546875" customWidth="1"/>
    <col min="15112" max="15112" width="15.5703125" customWidth="1"/>
    <col min="15113" max="15113" width="17" customWidth="1"/>
    <col min="15114" max="15114" width="17.85546875" customWidth="1"/>
    <col min="15115" max="15115" width="14.5703125" customWidth="1"/>
    <col min="15116" max="15116" width="15.140625" customWidth="1"/>
    <col min="15117" max="15117" width="17.140625" customWidth="1"/>
    <col min="15118" max="15118" width="15.7109375" customWidth="1"/>
    <col min="15119" max="15119" width="13.5703125" bestFit="1" customWidth="1"/>
    <col min="15364" max="15364" width="8.7109375" customWidth="1"/>
    <col min="15365" max="15365" width="53.42578125" customWidth="1"/>
    <col min="15366" max="15366" width="15.7109375" customWidth="1"/>
    <col min="15367" max="15367" width="15.85546875" customWidth="1"/>
    <col min="15368" max="15368" width="15.5703125" customWidth="1"/>
    <col min="15369" max="15369" width="17" customWidth="1"/>
    <col min="15370" max="15370" width="17.85546875" customWidth="1"/>
    <col min="15371" max="15371" width="14.5703125" customWidth="1"/>
    <col min="15372" max="15372" width="15.140625" customWidth="1"/>
    <col min="15373" max="15373" width="17.140625" customWidth="1"/>
    <col min="15374" max="15374" width="15.7109375" customWidth="1"/>
    <col min="15375" max="15375" width="13.5703125" bestFit="1" customWidth="1"/>
    <col min="15620" max="15620" width="8.7109375" customWidth="1"/>
    <col min="15621" max="15621" width="53.42578125" customWidth="1"/>
    <col min="15622" max="15622" width="15.7109375" customWidth="1"/>
    <col min="15623" max="15623" width="15.85546875" customWidth="1"/>
    <col min="15624" max="15624" width="15.5703125" customWidth="1"/>
    <col min="15625" max="15625" width="17" customWidth="1"/>
    <col min="15626" max="15626" width="17.85546875" customWidth="1"/>
    <col min="15627" max="15627" width="14.5703125" customWidth="1"/>
    <col min="15628" max="15628" width="15.140625" customWidth="1"/>
    <col min="15629" max="15629" width="17.140625" customWidth="1"/>
    <col min="15630" max="15630" width="15.7109375" customWidth="1"/>
    <col min="15631" max="15631" width="13.5703125" bestFit="1" customWidth="1"/>
    <col min="15876" max="15876" width="8.7109375" customWidth="1"/>
    <col min="15877" max="15877" width="53.42578125" customWidth="1"/>
    <col min="15878" max="15878" width="15.7109375" customWidth="1"/>
    <col min="15879" max="15879" width="15.85546875" customWidth="1"/>
    <col min="15880" max="15880" width="15.5703125" customWidth="1"/>
    <col min="15881" max="15881" width="17" customWidth="1"/>
    <col min="15882" max="15882" width="17.85546875" customWidth="1"/>
    <col min="15883" max="15883" width="14.5703125" customWidth="1"/>
    <col min="15884" max="15884" width="15.140625" customWidth="1"/>
    <col min="15885" max="15885" width="17.140625" customWidth="1"/>
    <col min="15886" max="15886" width="15.7109375" customWidth="1"/>
    <col min="15887" max="15887" width="13.5703125" bestFit="1" customWidth="1"/>
    <col min="16132" max="16132" width="8.7109375" customWidth="1"/>
    <col min="16133" max="16133" width="53.42578125" customWidth="1"/>
    <col min="16134" max="16134" width="15.7109375" customWidth="1"/>
    <col min="16135" max="16135" width="15.85546875" customWidth="1"/>
    <col min="16136" max="16136" width="15.5703125" customWidth="1"/>
    <col min="16137" max="16137" width="17" customWidth="1"/>
    <col min="16138" max="16138" width="17.85546875" customWidth="1"/>
    <col min="16139" max="16139" width="14.5703125" customWidth="1"/>
    <col min="16140" max="16140" width="15.140625" customWidth="1"/>
    <col min="16141" max="16141" width="17.140625" customWidth="1"/>
    <col min="16142" max="16142" width="15.7109375" customWidth="1"/>
    <col min="16143" max="16143" width="13.5703125" bestFit="1" customWidth="1"/>
  </cols>
  <sheetData>
    <row r="1" spans="1:14" ht="15.75" x14ac:dyDescent="0.25">
      <c r="G1" s="165"/>
      <c r="H1" s="165"/>
      <c r="I1" s="165"/>
      <c r="J1" s="227"/>
      <c r="K1" s="773" t="s">
        <v>1218</v>
      </c>
      <c r="L1" s="773"/>
      <c r="M1" s="773"/>
      <c r="N1" s="773"/>
    </row>
    <row r="2" spans="1:14" ht="15.75" customHeight="1" x14ac:dyDescent="0.25">
      <c r="G2" s="165"/>
      <c r="H2" s="165"/>
      <c r="I2" s="165"/>
      <c r="J2" s="775" t="s">
        <v>1270</v>
      </c>
      <c r="K2" s="775"/>
      <c r="L2" s="775"/>
      <c r="M2" s="775"/>
      <c r="N2" s="775"/>
    </row>
    <row r="3" spans="1:14" ht="15.75" x14ac:dyDescent="0.25">
      <c r="G3" s="776" t="s">
        <v>836</v>
      </c>
      <c r="H3" s="776"/>
      <c r="I3" s="776"/>
      <c r="J3" s="776"/>
      <c r="K3" s="776"/>
      <c r="L3" s="776"/>
      <c r="M3" s="776"/>
      <c r="N3" s="776"/>
    </row>
    <row r="4" spans="1:14" ht="15.75" x14ac:dyDescent="0.25">
      <c r="K4" s="774"/>
      <c r="L4" s="774"/>
      <c r="M4" s="774"/>
      <c r="N4" s="774"/>
    </row>
    <row r="5" spans="1:14" ht="15.75" x14ac:dyDescent="0.25">
      <c r="K5" s="774"/>
      <c r="L5" s="774"/>
      <c r="M5" s="774"/>
      <c r="N5" s="774"/>
    </row>
    <row r="7" spans="1:14" ht="16.5" x14ac:dyDescent="0.25">
      <c r="A7" s="772" t="s">
        <v>1349</v>
      </c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</row>
    <row r="8" spans="1:14" ht="16.5" x14ac:dyDescent="0.25">
      <c r="A8" s="473"/>
      <c r="B8" s="473"/>
      <c r="C8" s="473"/>
      <c r="D8" s="473"/>
      <c r="E8" s="473"/>
      <c r="F8" s="473"/>
      <c r="G8" s="473"/>
      <c r="H8" s="473"/>
      <c r="I8" s="473"/>
      <c r="J8" s="473"/>
      <c r="K8" s="473"/>
      <c r="L8" s="473"/>
      <c r="M8" s="473"/>
      <c r="N8" s="473"/>
    </row>
    <row r="9" spans="1:14" ht="16.5" x14ac:dyDescent="0.25">
      <c r="A9" s="473"/>
      <c r="B9" s="473"/>
      <c r="C9" s="473"/>
      <c r="D9" s="473"/>
      <c r="E9" s="473"/>
      <c r="F9" s="473"/>
      <c r="G9" s="473"/>
      <c r="H9" s="473"/>
      <c r="I9" s="473"/>
      <c r="J9" s="473"/>
      <c r="K9" s="473"/>
      <c r="L9" s="473"/>
      <c r="M9" s="473"/>
      <c r="N9" s="473"/>
    </row>
    <row r="10" spans="1:14" ht="16.5" x14ac:dyDescent="0.25">
      <c r="A10" s="771" t="s">
        <v>1337</v>
      </c>
      <c r="B10" s="771"/>
      <c r="C10" s="771"/>
      <c r="D10" s="526">
        <v>4843.3550599999999</v>
      </c>
      <c r="E10" s="527"/>
      <c r="F10" s="473"/>
      <c r="G10" s="473"/>
      <c r="H10" s="473"/>
      <c r="I10" s="473"/>
      <c r="J10" s="473"/>
      <c r="K10" s="473"/>
      <c r="L10" s="473"/>
      <c r="M10" s="473"/>
      <c r="N10" s="473"/>
    </row>
    <row r="11" spans="1:14" ht="16.5" x14ac:dyDescent="0.25">
      <c r="A11" s="771" t="s">
        <v>1351</v>
      </c>
      <c r="B11" s="771"/>
      <c r="C11" s="771"/>
      <c r="D11" s="526">
        <f>D10+G18-G31</f>
        <v>-42.380700000008801</v>
      </c>
      <c r="E11" s="473"/>
      <c r="F11" s="473"/>
      <c r="G11" s="473"/>
      <c r="H11" s="473"/>
      <c r="I11" s="528"/>
      <c r="J11" s="473"/>
      <c r="K11" s="473"/>
      <c r="L11" s="473"/>
      <c r="M11" s="473"/>
      <c r="N11" s="473"/>
    </row>
    <row r="12" spans="1:14" ht="16.5" x14ac:dyDescent="0.25">
      <c r="A12" s="772" t="s">
        <v>716</v>
      </c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</row>
    <row r="13" spans="1:14" ht="16.5" x14ac:dyDescent="0.25">
      <c r="A13" s="473"/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</row>
    <row r="14" spans="1:14" s="25" customFormat="1" x14ac:dyDescent="0.25">
      <c r="A14" s="767" t="s">
        <v>681</v>
      </c>
      <c r="B14" s="767" t="s">
        <v>710</v>
      </c>
      <c r="C14" s="767" t="s">
        <v>829</v>
      </c>
      <c r="D14" s="767"/>
      <c r="E14" s="767"/>
      <c r="F14" s="767"/>
      <c r="G14" s="767" t="s">
        <v>1350</v>
      </c>
      <c r="H14" s="767"/>
      <c r="I14" s="767"/>
      <c r="J14" s="767"/>
      <c r="K14" s="767" t="s">
        <v>1338</v>
      </c>
      <c r="L14" s="767"/>
      <c r="M14" s="767"/>
      <c r="N14" s="767"/>
    </row>
    <row r="15" spans="1:14" s="25" customFormat="1" x14ac:dyDescent="0.25">
      <c r="A15" s="767"/>
      <c r="B15" s="767"/>
      <c r="C15" s="767"/>
      <c r="D15" s="767"/>
      <c r="E15" s="767"/>
      <c r="F15" s="767"/>
      <c r="G15" s="767"/>
      <c r="H15" s="767"/>
      <c r="I15" s="767"/>
      <c r="J15" s="767"/>
      <c r="K15" s="767"/>
      <c r="L15" s="767"/>
      <c r="M15" s="767"/>
      <c r="N15" s="767"/>
    </row>
    <row r="16" spans="1:14" s="25" customFormat="1" ht="15.75" x14ac:dyDescent="0.25">
      <c r="A16" s="767"/>
      <c r="B16" s="767"/>
      <c r="C16" s="764" t="s">
        <v>678</v>
      </c>
      <c r="D16" s="761" t="s">
        <v>231</v>
      </c>
      <c r="E16" s="762"/>
      <c r="F16" s="763"/>
      <c r="G16" s="764" t="s">
        <v>678</v>
      </c>
      <c r="H16" s="761" t="s">
        <v>231</v>
      </c>
      <c r="I16" s="762"/>
      <c r="J16" s="763"/>
      <c r="K16" s="764" t="s">
        <v>678</v>
      </c>
      <c r="L16" s="475"/>
      <c r="M16" s="761" t="s">
        <v>231</v>
      </c>
      <c r="N16" s="763"/>
    </row>
    <row r="17" spans="1:14" s="25" customFormat="1" ht="47.25" x14ac:dyDescent="0.25">
      <c r="A17" s="767"/>
      <c r="B17" s="767"/>
      <c r="C17" s="765"/>
      <c r="D17" s="474" t="s">
        <v>705</v>
      </c>
      <c r="E17" s="476" t="s">
        <v>680</v>
      </c>
      <c r="F17" s="476" t="s">
        <v>679</v>
      </c>
      <c r="G17" s="765"/>
      <c r="H17" s="474" t="s">
        <v>705</v>
      </c>
      <c r="I17" s="476" t="s">
        <v>680</v>
      </c>
      <c r="J17" s="476" t="s">
        <v>679</v>
      </c>
      <c r="K17" s="765"/>
      <c r="L17" s="474" t="s">
        <v>705</v>
      </c>
      <c r="M17" s="476" t="s">
        <v>680</v>
      </c>
      <c r="N17" s="476" t="s">
        <v>679</v>
      </c>
    </row>
    <row r="18" spans="1:14" s="25" customFormat="1" ht="15.75" x14ac:dyDescent="0.25">
      <c r="A18" s="218" t="s">
        <v>685</v>
      </c>
      <c r="B18" s="219" t="s">
        <v>711</v>
      </c>
      <c r="C18" s="220">
        <f>SUM(C20:C24)</f>
        <v>104055.07164000001</v>
      </c>
      <c r="D18" s="220">
        <f>SUM(D20:D24)</f>
        <v>39572.673840000003</v>
      </c>
      <c r="E18" s="220">
        <f>SUM(E20:E24)</f>
        <v>29746.21776</v>
      </c>
      <c r="F18" s="220">
        <f>SUM(F20:F24)</f>
        <v>34736.180039999999</v>
      </c>
      <c r="G18" s="220">
        <f>SUM(G20:G24)</f>
        <v>104012.50109000001</v>
      </c>
      <c r="H18" s="220">
        <f t="shared" ref="H18:M18" si="0">SUM(H20:H23)</f>
        <v>39572.673840000003</v>
      </c>
      <c r="I18" s="220">
        <f>SUM(I20:I24)</f>
        <v>29746.21776</v>
      </c>
      <c r="J18" s="220">
        <f>SUM(J20:J23)</f>
        <v>34693.609490000003</v>
      </c>
      <c r="K18" s="220">
        <f t="shared" si="0"/>
        <v>42.570550000000367</v>
      </c>
      <c r="L18" s="220">
        <f>SUM(L20:L24)</f>
        <v>0</v>
      </c>
      <c r="M18" s="220">
        <f t="shared" si="0"/>
        <v>0</v>
      </c>
      <c r="N18" s="220">
        <f>SUM(N20:N23)</f>
        <v>42.570550000000367</v>
      </c>
    </row>
    <row r="19" spans="1:14" s="25" customFormat="1" ht="16.5" x14ac:dyDescent="0.25">
      <c r="A19" s="197"/>
      <c r="B19" s="198" t="s">
        <v>712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</row>
    <row r="20" spans="1:14" s="25" customFormat="1" ht="47.25" x14ac:dyDescent="0.25">
      <c r="A20" s="197" t="s">
        <v>687</v>
      </c>
      <c r="B20" s="202" t="s">
        <v>1339</v>
      </c>
      <c r="C20" s="203">
        <f>SUM(E20:F20)</f>
        <v>26774</v>
      </c>
      <c r="D20" s="204">
        <v>0</v>
      </c>
      <c r="E20" s="201">
        <v>0</v>
      </c>
      <c r="F20" s="204">
        <v>26774</v>
      </c>
      <c r="G20" s="203">
        <f>SUM(I20:J20)</f>
        <v>26731.42945</v>
      </c>
      <c r="H20" s="204">
        <v>0</v>
      </c>
      <c r="I20" s="201">
        <v>0</v>
      </c>
      <c r="J20" s="205">
        <v>26731.42945</v>
      </c>
      <c r="K20" s="199">
        <f>N20</f>
        <v>42.570550000000367</v>
      </c>
      <c r="L20" s="529">
        <f t="shared" ref="L20:N24" si="1">D20-H20</f>
        <v>0</v>
      </c>
      <c r="M20" s="205">
        <f t="shared" si="1"/>
        <v>0</v>
      </c>
      <c r="N20" s="205">
        <f>F20-J20</f>
        <v>42.570550000000367</v>
      </c>
    </row>
    <row r="21" spans="1:14" s="25" customFormat="1" ht="47.25" x14ac:dyDescent="0.25">
      <c r="A21" s="197" t="s">
        <v>695</v>
      </c>
      <c r="B21" s="202" t="s">
        <v>1340</v>
      </c>
      <c r="C21" s="203">
        <f>SUM(E21:F21)</f>
        <v>24982.24425</v>
      </c>
      <c r="D21" s="204">
        <v>0</v>
      </c>
      <c r="E21" s="204">
        <v>24982.24425</v>
      </c>
      <c r="F21" s="204">
        <v>0</v>
      </c>
      <c r="G21" s="203">
        <f>SUM(I21:J21)</f>
        <v>24982.24425</v>
      </c>
      <c r="H21" s="204">
        <v>0</v>
      </c>
      <c r="I21" s="204">
        <v>24982.24425</v>
      </c>
      <c r="J21" s="201">
        <v>0</v>
      </c>
      <c r="K21" s="199">
        <f>N21+M21</f>
        <v>0</v>
      </c>
      <c r="L21" s="529">
        <f t="shared" si="1"/>
        <v>0</v>
      </c>
      <c r="M21" s="201">
        <f t="shared" si="1"/>
        <v>0</v>
      </c>
      <c r="N21" s="205">
        <f t="shared" si="1"/>
        <v>0</v>
      </c>
    </row>
    <row r="22" spans="1:14" s="25" customFormat="1" ht="31.5" x14ac:dyDescent="0.25">
      <c r="A22" s="197" t="s">
        <v>713</v>
      </c>
      <c r="B22" s="202" t="s">
        <v>494</v>
      </c>
      <c r="C22" s="203">
        <f>SUM(D22:F22)</f>
        <v>41655.446150000003</v>
      </c>
      <c r="D22" s="204">
        <v>39572.673840000003</v>
      </c>
      <c r="E22" s="204">
        <v>2082.7723099999998</v>
      </c>
      <c r="F22" s="204">
        <v>0</v>
      </c>
      <c r="G22" s="203">
        <f>SUM(H22:J22)</f>
        <v>41655.446150000003</v>
      </c>
      <c r="H22" s="204">
        <v>39572.673840000003</v>
      </c>
      <c r="I22" s="204">
        <v>2082.7723099999998</v>
      </c>
      <c r="J22" s="204">
        <v>0</v>
      </c>
      <c r="K22" s="199">
        <f>C22-G22</f>
        <v>0</v>
      </c>
      <c r="L22" s="529">
        <f t="shared" si="1"/>
        <v>0</v>
      </c>
      <c r="M22" s="205">
        <f t="shared" si="1"/>
        <v>0</v>
      </c>
      <c r="N22" s="205">
        <f t="shared" si="1"/>
        <v>0</v>
      </c>
    </row>
    <row r="23" spans="1:14" s="25" customFormat="1" ht="15.75" x14ac:dyDescent="0.25">
      <c r="A23" s="197" t="s">
        <v>714</v>
      </c>
      <c r="B23" s="202" t="s">
        <v>715</v>
      </c>
      <c r="C23" s="203">
        <f>SUM(D23:F23)</f>
        <v>7962.1800400000002</v>
      </c>
      <c r="D23" s="203"/>
      <c r="E23" s="204"/>
      <c r="F23" s="204">
        <v>7962.1800400000002</v>
      </c>
      <c r="G23" s="203">
        <f>SUM(I23:J23)</f>
        <v>7962.1800400000002</v>
      </c>
      <c r="H23" s="203"/>
      <c r="I23" s="204"/>
      <c r="J23" s="204">
        <v>7962.1800400000002</v>
      </c>
      <c r="K23" s="199">
        <f>N23</f>
        <v>0</v>
      </c>
      <c r="L23" s="529">
        <f t="shared" si="1"/>
        <v>0</v>
      </c>
      <c r="M23" s="205">
        <f t="shared" si="1"/>
        <v>0</v>
      </c>
      <c r="N23" s="205">
        <f t="shared" si="1"/>
        <v>0</v>
      </c>
    </row>
    <row r="24" spans="1:14" s="25" customFormat="1" ht="15.75" x14ac:dyDescent="0.25">
      <c r="A24" s="197" t="s">
        <v>757</v>
      </c>
      <c r="B24" s="202" t="s">
        <v>783</v>
      </c>
      <c r="C24" s="203">
        <f>D24+E24+F24</f>
        <v>2681.2012</v>
      </c>
      <c r="D24" s="203"/>
      <c r="E24" s="204">
        <v>2681.2012</v>
      </c>
      <c r="F24" s="204"/>
      <c r="G24" s="203">
        <f>I24</f>
        <v>2681.2012</v>
      </c>
      <c r="H24" s="203">
        <v>0</v>
      </c>
      <c r="I24" s="204">
        <v>2681.2012</v>
      </c>
      <c r="J24" s="204">
        <v>0</v>
      </c>
      <c r="K24" s="199">
        <f>C24-G24</f>
        <v>0</v>
      </c>
      <c r="L24" s="529">
        <f t="shared" si="1"/>
        <v>0</v>
      </c>
      <c r="M24" s="205">
        <f t="shared" si="1"/>
        <v>0</v>
      </c>
      <c r="N24" s="204">
        <f t="shared" si="1"/>
        <v>0</v>
      </c>
    </row>
    <row r="25" spans="1:14" s="25" customFormat="1" ht="20.25" customHeight="1" x14ac:dyDescent="0.25">
      <c r="A25" s="766" t="s">
        <v>717</v>
      </c>
      <c r="B25" s="766"/>
      <c r="C25" s="766"/>
      <c r="D25" s="766"/>
      <c r="E25" s="766"/>
      <c r="F25" s="766"/>
      <c r="G25" s="766"/>
      <c r="H25" s="766"/>
      <c r="I25" s="766"/>
      <c r="J25" s="766"/>
      <c r="K25" s="766"/>
      <c r="L25" s="766"/>
      <c r="M25" s="766"/>
      <c r="N25" s="766"/>
    </row>
    <row r="26" spans="1:14" ht="16.5" x14ac:dyDescent="0.25">
      <c r="A26" s="166"/>
      <c r="B26" s="166"/>
      <c r="C26" s="473"/>
      <c r="D26" s="473"/>
      <c r="E26" s="473"/>
      <c r="F26" s="473"/>
      <c r="G26" s="473"/>
      <c r="H26" s="473"/>
      <c r="I26" s="473"/>
      <c r="J26" s="473"/>
    </row>
    <row r="27" spans="1:14" x14ac:dyDescent="0.25">
      <c r="A27" s="767" t="s">
        <v>681</v>
      </c>
      <c r="B27" s="767" t="s">
        <v>684</v>
      </c>
      <c r="C27" s="767" t="s">
        <v>829</v>
      </c>
      <c r="D27" s="767"/>
      <c r="E27" s="767"/>
      <c r="F27" s="767"/>
      <c r="G27" s="767" t="s">
        <v>1353</v>
      </c>
      <c r="H27" s="767"/>
      <c r="I27" s="767"/>
      <c r="J27" s="767"/>
      <c r="K27" s="767" t="s">
        <v>1338</v>
      </c>
      <c r="L27" s="767"/>
      <c r="M27" s="767"/>
      <c r="N27" s="767"/>
    </row>
    <row r="28" spans="1:14" x14ac:dyDescent="0.25">
      <c r="A28" s="767"/>
      <c r="B28" s="767"/>
      <c r="C28" s="767"/>
      <c r="D28" s="767"/>
      <c r="E28" s="767"/>
      <c r="F28" s="767"/>
      <c r="G28" s="767"/>
      <c r="H28" s="767"/>
      <c r="I28" s="767"/>
      <c r="J28" s="767"/>
      <c r="K28" s="767"/>
      <c r="L28" s="767"/>
      <c r="M28" s="767"/>
      <c r="N28" s="767"/>
    </row>
    <row r="29" spans="1:14" ht="15.75" x14ac:dyDescent="0.25">
      <c r="A29" s="767"/>
      <c r="B29" s="767"/>
      <c r="C29" s="764" t="s">
        <v>678</v>
      </c>
      <c r="D29" s="768" t="s">
        <v>231</v>
      </c>
      <c r="E29" s="769"/>
      <c r="F29" s="770"/>
      <c r="G29" s="764" t="s">
        <v>678</v>
      </c>
      <c r="H29" s="768" t="s">
        <v>231</v>
      </c>
      <c r="I29" s="769"/>
      <c r="J29" s="770"/>
      <c r="K29" s="764" t="s">
        <v>678</v>
      </c>
      <c r="L29" s="761" t="s">
        <v>231</v>
      </c>
      <c r="M29" s="762"/>
      <c r="N29" s="763"/>
    </row>
    <row r="30" spans="1:14" ht="47.25" x14ac:dyDescent="0.25">
      <c r="A30" s="767"/>
      <c r="B30" s="767"/>
      <c r="C30" s="765"/>
      <c r="D30" s="474" t="s">
        <v>705</v>
      </c>
      <c r="E30" s="476" t="s">
        <v>680</v>
      </c>
      <c r="F30" s="476" t="s">
        <v>679</v>
      </c>
      <c r="G30" s="765"/>
      <c r="H30" s="474" t="s">
        <v>705</v>
      </c>
      <c r="I30" s="476" t="s">
        <v>680</v>
      </c>
      <c r="J30" s="476" t="s">
        <v>679</v>
      </c>
      <c r="K30" s="765"/>
      <c r="L30" s="474" t="s">
        <v>705</v>
      </c>
      <c r="M30" s="476" t="s">
        <v>680</v>
      </c>
      <c r="N30" s="476" t="s">
        <v>679</v>
      </c>
    </row>
    <row r="31" spans="1:14" ht="31.5" x14ac:dyDescent="0.25">
      <c r="A31" s="167" t="s">
        <v>685</v>
      </c>
      <c r="B31" s="168" t="s">
        <v>686</v>
      </c>
      <c r="C31" s="185">
        <f t="shared" ref="C31:N31" si="2">C32+C82</f>
        <v>108898.42670000001</v>
      </c>
      <c r="D31" s="185">
        <f t="shared" si="2"/>
        <v>39572.673840000003</v>
      </c>
      <c r="E31" s="185">
        <f t="shared" si="2"/>
        <v>29746.21776</v>
      </c>
      <c r="F31" s="185">
        <f t="shared" si="2"/>
        <v>39579.453580000001</v>
      </c>
      <c r="G31" s="185">
        <f t="shared" si="2"/>
        <v>108898.23685000002</v>
      </c>
      <c r="H31" s="185">
        <f t="shared" si="2"/>
        <v>39572.673840000003</v>
      </c>
      <c r="I31" s="185">
        <f t="shared" si="2"/>
        <v>29746.21776</v>
      </c>
      <c r="J31" s="185">
        <f t="shared" si="2"/>
        <v>39579.345249999998</v>
      </c>
      <c r="K31" s="185">
        <f t="shared" si="2"/>
        <v>0.10833000000047832</v>
      </c>
      <c r="L31" s="185">
        <f t="shared" si="2"/>
        <v>0</v>
      </c>
      <c r="M31" s="185">
        <f t="shared" si="2"/>
        <v>0</v>
      </c>
      <c r="N31" s="185">
        <f t="shared" si="2"/>
        <v>0.10832999999911408</v>
      </c>
    </row>
    <row r="32" spans="1:14" s="171" customFormat="1" ht="31.5" x14ac:dyDescent="0.25">
      <c r="A32" s="169" t="s">
        <v>687</v>
      </c>
      <c r="B32" s="170" t="s">
        <v>688</v>
      </c>
      <c r="C32" s="186">
        <f t="shared" ref="C32:N32" si="3">C33+C35+C38+C40+C77+C79</f>
        <v>104048.51425000001</v>
      </c>
      <c r="D32" s="186">
        <f t="shared" si="3"/>
        <v>39572.673840000003</v>
      </c>
      <c r="E32" s="186">
        <f t="shared" si="3"/>
        <v>27065.01656</v>
      </c>
      <c r="F32" s="186">
        <f t="shared" si="3"/>
        <v>37410.742330000001</v>
      </c>
      <c r="G32" s="186">
        <f t="shared" si="3"/>
        <v>104048.32440000001</v>
      </c>
      <c r="H32" s="186">
        <f t="shared" si="3"/>
        <v>39572.673840000003</v>
      </c>
      <c r="I32" s="186">
        <f t="shared" si="3"/>
        <v>27065.01656</v>
      </c>
      <c r="J32" s="186">
        <f t="shared" si="3"/>
        <v>37410.633999999998</v>
      </c>
      <c r="K32" s="186">
        <f t="shared" si="3"/>
        <v>0.10833000000047832</v>
      </c>
      <c r="L32" s="186">
        <f t="shared" si="3"/>
        <v>0</v>
      </c>
      <c r="M32" s="186">
        <f t="shared" si="3"/>
        <v>0</v>
      </c>
      <c r="N32" s="186">
        <f t="shared" si="3"/>
        <v>0.10832999999911408</v>
      </c>
    </row>
    <row r="33" spans="1:14" s="174" customFormat="1" ht="15.75" x14ac:dyDescent="0.25">
      <c r="A33" s="172" t="s">
        <v>689</v>
      </c>
      <c r="B33" s="173" t="s">
        <v>690</v>
      </c>
      <c r="C33" s="187">
        <f>C34</f>
        <v>500</v>
      </c>
      <c r="D33" s="187">
        <v>0</v>
      </c>
      <c r="E33" s="187">
        <v>0</v>
      </c>
      <c r="F33" s="187">
        <f>F34</f>
        <v>500</v>
      </c>
      <c r="G33" s="187">
        <f>G34</f>
        <v>500</v>
      </c>
      <c r="H33" s="187">
        <v>0</v>
      </c>
      <c r="I33" s="187">
        <v>0</v>
      </c>
      <c r="J33" s="187">
        <f>J34</f>
        <v>500</v>
      </c>
      <c r="K33" s="187">
        <f>C33-G33</f>
        <v>0</v>
      </c>
      <c r="L33" s="187">
        <f>D33-H33</f>
        <v>0</v>
      </c>
      <c r="M33" s="187">
        <f>E33-I33</f>
        <v>0</v>
      </c>
      <c r="N33" s="187">
        <f>F33-J33</f>
        <v>0</v>
      </c>
    </row>
    <row r="34" spans="1:14" s="177" customFormat="1" ht="31.5" x14ac:dyDescent="0.25">
      <c r="A34" s="175"/>
      <c r="B34" s="176" t="s">
        <v>698</v>
      </c>
      <c r="C34" s="188">
        <f>F34</f>
        <v>500</v>
      </c>
      <c r="D34" s="188">
        <v>0</v>
      </c>
      <c r="E34" s="188">
        <v>0</v>
      </c>
      <c r="F34" s="188">
        <v>500</v>
      </c>
      <c r="G34" s="188">
        <f>J34</f>
        <v>500</v>
      </c>
      <c r="H34" s="188">
        <v>0</v>
      </c>
      <c r="I34" s="188">
        <v>0</v>
      </c>
      <c r="J34" s="188">
        <v>500</v>
      </c>
      <c r="K34" s="188">
        <f>N34</f>
        <v>0</v>
      </c>
      <c r="L34" s="188">
        <f t="shared" ref="L34:N93" si="4">D34-H34</f>
        <v>0</v>
      </c>
      <c r="M34" s="188">
        <f t="shared" si="4"/>
        <v>0</v>
      </c>
      <c r="N34" s="188">
        <f t="shared" si="4"/>
        <v>0</v>
      </c>
    </row>
    <row r="35" spans="1:14" s="174" customFormat="1" ht="15.75" x14ac:dyDescent="0.25">
      <c r="A35" s="172" t="s">
        <v>691</v>
      </c>
      <c r="B35" s="173" t="s">
        <v>770</v>
      </c>
      <c r="C35" s="187">
        <f>C36+C37</f>
        <v>3220.5</v>
      </c>
      <c r="D35" s="187">
        <v>0</v>
      </c>
      <c r="E35" s="187">
        <v>0</v>
      </c>
      <c r="F35" s="187">
        <f>F36+F37</f>
        <v>3220.4184799999998</v>
      </c>
      <c r="G35" s="187">
        <f>G36+G37</f>
        <v>3220.4184799999998</v>
      </c>
      <c r="H35" s="187">
        <v>0</v>
      </c>
      <c r="I35" s="187">
        <v>0</v>
      </c>
      <c r="J35" s="187">
        <f>J36++J37</f>
        <v>3220.4184799999998</v>
      </c>
      <c r="K35" s="187">
        <f>K36</f>
        <v>0</v>
      </c>
      <c r="L35" s="187">
        <f t="shared" si="4"/>
        <v>0</v>
      </c>
      <c r="M35" s="187">
        <f t="shared" si="4"/>
        <v>0</v>
      </c>
      <c r="N35" s="187">
        <f t="shared" si="4"/>
        <v>0</v>
      </c>
    </row>
    <row r="36" spans="1:14" s="177" customFormat="1" ht="31.5" x14ac:dyDescent="0.25">
      <c r="A36" s="175"/>
      <c r="B36" s="176" t="s">
        <v>784</v>
      </c>
      <c r="C36" s="188">
        <f>F36</f>
        <v>3150</v>
      </c>
      <c r="D36" s="188">
        <v>0</v>
      </c>
      <c r="E36" s="188">
        <v>0</v>
      </c>
      <c r="F36" s="188">
        <v>3150</v>
      </c>
      <c r="G36" s="188">
        <v>3150</v>
      </c>
      <c r="H36" s="188">
        <v>0</v>
      </c>
      <c r="I36" s="188">
        <v>0</v>
      </c>
      <c r="J36" s="188">
        <v>3150</v>
      </c>
      <c r="K36" s="188">
        <f>N36</f>
        <v>0</v>
      </c>
      <c r="L36" s="188">
        <f t="shared" si="4"/>
        <v>0</v>
      </c>
      <c r="M36" s="188">
        <f t="shared" si="4"/>
        <v>0</v>
      </c>
      <c r="N36" s="188">
        <f t="shared" si="4"/>
        <v>0</v>
      </c>
    </row>
    <row r="37" spans="1:14" s="177" customFormat="1" ht="47.25" x14ac:dyDescent="0.25">
      <c r="A37" s="175"/>
      <c r="B37" s="176" t="s">
        <v>1341</v>
      </c>
      <c r="C37" s="188">
        <v>70.5</v>
      </c>
      <c r="D37" s="188">
        <v>0</v>
      </c>
      <c r="E37" s="188">
        <v>0</v>
      </c>
      <c r="F37" s="188">
        <v>70.418480000000002</v>
      </c>
      <c r="G37" s="188">
        <f>J37</f>
        <v>70.418480000000002</v>
      </c>
      <c r="H37" s="188">
        <v>0</v>
      </c>
      <c r="I37" s="188">
        <v>0</v>
      </c>
      <c r="J37" s="188">
        <v>70.418480000000002</v>
      </c>
      <c r="K37" s="188">
        <v>0</v>
      </c>
      <c r="L37" s="188">
        <v>0</v>
      </c>
      <c r="M37" s="188">
        <v>0</v>
      </c>
      <c r="N37" s="188">
        <v>0</v>
      </c>
    </row>
    <row r="38" spans="1:14" s="174" customFormat="1" ht="31.5" x14ac:dyDescent="0.25">
      <c r="A38" s="172" t="s">
        <v>692</v>
      </c>
      <c r="B38" s="173" t="s">
        <v>777</v>
      </c>
      <c r="C38" s="187">
        <f>C39</f>
        <v>974.9</v>
      </c>
      <c r="D38" s="187">
        <v>0</v>
      </c>
      <c r="E38" s="187">
        <v>0</v>
      </c>
      <c r="F38" s="187">
        <f>F39</f>
        <v>974.9</v>
      </c>
      <c r="G38" s="187">
        <f>G39</f>
        <v>974.9</v>
      </c>
      <c r="H38" s="187">
        <v>0</v>
      </c>
      <c r="I38" s="187">
        <v>0</v>
      </c>
      <c r="J38" s="187">
        <f>J39</f>
        <v>974.9</v>
      </c>
      <c r="K38" s="187">
        <f>K39</f>
        <v>0</v>
      </c>
      <c r="L38" s="187">
        <f t="shared" si="4"/>
        <v>0</v>
      </c>
      <c r="M38" s="187">
        <f t="shared" si="4"/>
        <v>0</v>
      </c>
      <c r="N38" s="187">
        <f t="shared" si="4"/>
        <v>0</v>
      </c>
    </row>
    <row r="39" spans="1:14" s="177" customFormat="1" ht="31.5" x14ac:dyDescent="0.25">
      <c r="A39" s="175"/>
      <c r="B39" s="176" t="s">
        <v>785</v>
      </c>
      <c r="C39" s="188">
        <f>F39</f>
        <v>974.9</v>
      </c>
      <c r="D39" s="188">
        <v>0</v>
      </c>
      <c r="E39" s="188">
        <v>0</v>
      </c>
      <c r="F39" s="188">
        <v>974.9</v>
      </c>
      <c r="G39" s="188">
        <f>J39</f>
        <v>974.9</v>
      </c>
      <c r="H39" s="188">
        <v>0</v>
      </c>
      <c r="I39" s="188">
        <v>0</v>
      </c>
      <c r="J39" s="188">
        <v>974.9</v>
      </c>
      <c r="K39" s="188">
        <f>N39</f>
        <v>0</v>
      </c>
      <c r="L39" s="188">
        <f t="shared" si="4"/>
        <v>0</v>
      </c>
      <c r="M39" s="188">
        <f t="shared" si="4"/>
        <v>0</v>
      </c>
      <c r="N39" s="188">
        <f t="shared" si="4"/>
        <v>0</v>
      </c>
    </row>
    <row r="40" spans="1:14" s="174" customFormat="1" ht="15.75" x14ac:dyDescent="0.25">
      <c r="A40" s="172" t="s">
        <v>693</v>
      </c>
      <c r="B40" s="178" t="s">
        <v>699</v>
      </c>
      <c r="C40" s="187">
        <f>C41+C70+C59</f>
        <v>34770.644249999998</v>
      </c>
      <c r="D40" s="187">
        <v>0</v>
      </c>
      <c r="E40" s="187">
        <f>E41+E70+E59</f>
        <v>24982.24425</v>
      </c>
      <c r="F40" s="187">
        <f>F41+F70+F59</f>
        <v>9788.3999999999978</v>
      </c>
      <c r="G40" s="187">
        <f>G41+G70+G59</f>
        <v>34770.544249999999</v>
      </c>
      <c r="H40" s="187">
        <v>0</v>
      </c>
      <c r="I40" s="187">
        <f>I41+I70+I59</f>
        <v>24982.24425</v>
      </c>
      <c r="J40" s="187">
        <f>J41+J70+J59</f>
        <v>9788.2999999999993</v>
      </c>
      <c r="K40" s="187">
        <f>K41+K70+K59</f>
        <v>9.9999999999909051E-2</v>
      </c>
      <c r="L40" s="187">
        <f t="shared" si="4"/>
        <v>0</v>
      </c>
      <c r="M40" s="187">
        <f t="shared" si="4"/>
        <v>0</v>
      </c>
      <c r="N40" s="187">
        <f t="shared" si="4"/>
        <v>9.9999999998544808E-2</v>
      </c>
    </row>
    <row r="41" spans="1:14" s="177" customFormat="1" ht="15.75" x14ac:dyDescent="0.25">
      <c r="A41" s="175"/>
      <c r="B41" s="221" t="s">
        <v>700</v>
      </c>
      <c r="C41" s="188">
        <f>E41+F41</f>
        <v>27770.655210000001</v>
      </c>
      <c r="D41" s="188">
        <v>0</v>
      </c>
      <c r="E41" s="188">
        <f>SUM(E42:E58)</f>
        <v>24982.24425</v>
      </c>
      <c r="F41" s="188">
        <f>F42+F43+F44+F45+F46+F47+F48+F49+F50+F51+F52+F53+F54+F55+F56+F57+F58</f>
        <v>2788.4109599999997</v>
      </c>
      <c r="G41" s="188">
        <f>SUM(I41+J41)</f>
        <v>27770.655210000001</v>
      </c>
      <c r="H41" s="188">
        <v>0</v>
      </c>
      <c r="I41" s="188">
        <f>SUM(I42:I58)</f>
        <v>24982.24425</v>
      </c>
      <c r="J41" s="188">
        <f>J42+J43+J44+J45+J46+J47+J48+J49+J50+J51+J52+J53+J54+J55+J56+J57+J58</f>
        <v>2788.4109599999997</v>
      </c>
      <c r="K41" s="188">
        <f>SUM(M41+N41)</f>
        <v>0</v>
      </c>
      <c r="L41" s="188">
        <f t="shared" si="4"/>
        <v>0</v>
      </c>
      <c r="M41" s="188">
        <f t="shared" ref="M41:M58" si="5">E41-I41</f>
        <v>0</v>
      </c>
      <c r="N41" s="188">
        <f t="shared" ref="N41:N58" si="6">F41-J41</f>
        <v>0</v>
      </c>
    </row>
    <row r="42" spans="1:14" s="217" customFormat="1" ht="15.75" x14ac:dyDescent="0.25">
      <c r="A42" s="216">
        <v>1</v>
      </c>
      <c r="B42" s="222" t="s">
        <v>756</v>
      </c>
      <c r="C42" s="211">
        <f t="shared" ref="C42:C55" si="7">D42+E42+F42</f>
        <v>589.50175999999999</v>
      </c>
      <c r="D42" s="211">
        <v>0</v>
      </c>
      <c r="E42" s="211">
        <v>530.55157999999994</v>
      </c>
      <c r="F42" s="211">
        <v>58.950180000000003</v>
      </c>
      <c r="G42" s="211">
        <f t="shared" ref="G42:G55" si="8">H42+I42+J42</f>
        <v>589.50175999999999</v>
      </c>
      <c r="H42" s="211">
        <v>0</v>
      </c>
      <c r="I42" s="211">
        <v>530.55157999999994</v>
      </c>
      <c r="J42" s="211">
        <v>58.950180000000003</v>
      </c>
      <c r="K42" s="211">
        <f t="shared" ref="K42:K50" si="9">M42+N42</f>
        <v>0</v>
      </c>
      <c r="L42" s="211">
        <f t="shared" si="4"/>
        <v>0</v>
      </c>
      <c r="M42" s="188">
        <f t="shared" si="5"/>
        <v>0</v>
      </c>
      <c r="N42" s="188">
        <f t="shared" si="6"/>
        <v>0</v>
      </c>
    </row>
    <row r="43" spans="1:14" s="217" customFormat="1" ht="15.75" x14ac:dyDescent="0.25">
      <c r="A43" s="216">
        <v>2</v>
      </c>
      <c r="B43" s="222" t="s">
        <v>755</v>
      </c>
      <c r="C43" s="211">
        <f t="shared" si="7"/>
        <v>391.66</v>
      </c>
      <c r="D43" s="211">
        <v>0</v>
      </c>
      <c r="E43" s="211">
        <v>352.49400000000003</v>
      </c>
      <c r="F43" s="211">
        <v>39.165999999999997</v>
      </c>
      <c r="G43" s="211">
        <f t="shared" si="8"/>
        <v>391.66</v>
      </c>
      <c r="H43" s="211">
        <v>0</v>
      </c>
      <c r="I43" s="211">
        <v>352.49400000000003</v>
      </c>
      <c r="J43" s="211">
        <v>39.165999999999997</v>
      </c>
      <c r="K43" s="211">
        <f t="shared" si="9"/>
        <v>0</v>
      </c>
      <c r="L43" s="211">
        <f t="shared" si="4"/>
        <v>0</v>
      </c>
      <c r="M43" s="188">
        <f t="shared" si="5"/>
        <v>0</v>
      </c>
      <c r="N43" s="188">
        <f t="shared" si="6"/>
        <v>0</v>
      </c>
    </row>
    <row r="44" spans="1:14" s="217" customFormat="1" ht="15.75" x14ac:dyDescent="0.25">
      <c r="A44" s="216">
        <v>3</v>
      </c>
      <c r="B44" s="222" t="s">
        <v>754</v>
      </c>
      <c r="C44" s="211">
        <f t="shared" si="7"/>
        <v>599.95680000000004</v>
      </c>
      <c r="D44" s="211">
        <v>0</v>
      </c>
      <c r="E44" s="211">
        <v>539.96112000000005</v>
      </c>
      <c r="F44" s="211">
        <v>59.99568</v>
      </c>
      <c r="G44" s="211">
        <f t="shared" si="8"/>
        <v>599.95680000000004</v>
      </c>
      <c r="H44" s="211">
        <v>0</v>
      </c>
      <c r="I44" s="211">
        <v>539.96112000000005</v>
      </c>
      <c r="J44" s="211">
        <v>59.99568</v>
      </c>
      <c r="K44" s="211">
        <f t="shared" si="9"/>
        <v>0</v>
      </c>
      <c r="L44" s="211">
        <f t="shared" si="4"/>
        <v>0</v>
      </c>
      <c r="M44" s="188">
        <f t="shared" si="5"/>
        <v>0</v>
      </c>
      <c r="N44" s="188">
        <f t="shared" si="6"/>
        <v>0</v>
      </c>
    </row>
    <row r="45" spans="1:14" s="217" customFormat="1" ht="15.75" x14ac:dyDescent="0.25">
      <c r="A45" s="216">
        <v>4</v>
      </c>
      <c r="B45" s="222" t="s">
        <v>753</v>
      </c>
      <c r="C45" s="211">
        <f t="shared" si="7"/>
        <v>955.16412000000003</v>
      </c>
      <c r="D45" s="211">
        <v>0</v>
      </c>
      <c r="E45" s="211">
        <v>859.64769999999999</v>
      </c>
      <c r="F45" s="211">
        <v>95.516419999999997</v>
      </c>
      <c r="G45" s="211">
        <f t="shared" si="8"/>
        <v>955.16412000000003</v>
      </c>
      <c r="H45" s="211">
        <v>0</v>
      </c>
      <c r="I45" s="211">
        <v>859.64769999999999</v>
      </c>
      <c r="J45" s="211">
        <v>95.516419999999997</v>
      </c>
      <c r="K45" s="211">
        <f t="shared" si="9"/>
        <v>0</v>
      </c>
      <c r="L45" s="211">
        <f t="shared" si="4"/>
        <v>0</v>
      </c>
      <c r="M45" s="188">
        <f t="shared" si="5"/>
        <v>0</v>
      </c>
      <c r="N45" s="188">
        <f t="shared" si="6"/>
        <v>0</v>
      </c>
    </row>
    <row r="46" spans="1:14" s="217" customFormat="1" ht="15.75" x14ac:dyDescent="0.25">
      <c r="A46" s="216">
        <v>5</v>
      </c>
      <c r="B46" s="222" t="s">
        <v>752</v>
      </c>
      <c r="C46" s="211">
        <f t="shared" si="7"/>
        <v>639.20119999999997</v>
      </c>
      <c r="D46" s="211">
        <v>0</v>
      </c>
      <c r="E46" s="211">
        <v>575.28107999999997</v>
      </c>
      <c r="F46" s="211">
        <v>63.920119999999997</v>
      </c>
      <c r="G46" s="211">
        <f t="shared" si="8"/>
        <v>639.20119999999997</v>
      </c>
      <c r="H46" s="211">
        <v>0</v>
      </c>
      <c r="I46" s="211">
        <v>575.28107999999997</v>
      </c>
      <c r="J46" s="211">
        <v>63.920119999999997</v>
      </c>
      <c r="K46" s="211">
        <f t="shared" si="9"/>
        <v>0</v>
      </c>
      <c r="L46" s="211">
        <f t="shared" si="4"/>
        <v>0</v>
      </c>
      <c r="M46" s="188">
        <f t="shared" si="5"/>
        <v>0</v>
      </c>
      <c r="N46" s="188">
        <f t="shared" si="6"/>
        <v>0</v>
      </c>
    </row>
    <row r="47" spans="1:14" s="217" customFormat="1" ht="15.75" x14ac:dyDescent="0.25">
      <c r="A47" s="216">
        <v>6</v>
      </c>
      <c r="B47" s="222" t="s">
        <v>751</v>
      </c>
      <c r="C47" s="211">
        <f t="shared" si="7"/>
        <v>836.15066000000002</v>
      </c>
      <c r="D47" s="211">
        <v>0</v>
      </c>
      <c r="E47" s="211">
        <v>752.53558999999996</v>
      </c>
      <c r="F47" s="211">
        <v>83.615070000000003</v>
      </c>
      <c r="G47" s="211">
        <f t="shared" si="8"/>
        <v>836.15066000000002</v>
      </c>
      <c r="H47" s="211">
        <v>0</v>
      </c>
      <c r="I47" s="211">
        <v>752.53558999999996</v>
      </c>
      <c r="J47" s="211">
        <v>83.615070000000003</v>
      </c>
      <c r="K47" s="211">
        <f t="shared" si="9"/>
        <v>0</v>
      </c>
      <c r="L47" s="211">
        <f t="shared" si="4"/>
        <v>0</v>
      </c>
      <c r="M47" s="188">
        <f t="shared" si="5"/>
        <v>0</v>
      </c>
      <c r="N47" s="188">
        <f t="shared" si="6"/>
        <v>0</v>
      </c>
    </row>
    <row r="48" spans="1:14" s="217" customFormat="1" ht="31.5" x14ac:dyDescent="0.25">
      <c r="A48" s="216">
        <v>7</v>
      </c>
      <c r="B48" s="222" t="s">
        <v>750</v>
      </c>
      <c r="C48" s="211">
        <f t="shared" si="7"/>
        <v>1311.2463499999999</v>
      </c>
      <c r="D48" s="211">
        <v>0</v>
      </c>
      <c r="E48" s="211">
        <v>1168.7763199999999</v>
      </c>
      <c r="F48" s="211">
        <v>142.47003000000001</v>
      </c>
      <c r="G48" s="211">
        <f t="shared" si="8"/>
        <v>1311.2463499999999</v>
      </c>
      <c r="H48" s="211">
        <v>0</v>
      </c>
      <c r="I48" s="211">
        <v>1168.7763199999999</v>
      </c>
      <c r="J48" s="211">
        <v>142.47003000000001</v>
      </c>
      <c r="K48" s="211">
        <f t="shared" si="9"/>
        <v>0</v>
      </c>
      <c r="L48" s="211">
        <f t="shared" si="4"/>
        <v>0</v>
      </c>
      <c r="M48" s="188">
        <f t="shared" si="5"/>
        <v>0</v>
      </c>
      <c r="N48" s="188">
        <f t="shared" si="6"/>
        <v>0</v>
      </c>
    </row>
    <row r="49" spans="1:14" s="217" customFormat="1" ht="15.75" x14ac:dyDescent="0.25">
      <c r="A49" s="216">
        <v>8</v>
      </c>
      <c r="B49" s="222" t="s">
        <v>749</v>
      </c>
      <c r="C49" s="211">
        <f t="shared" si="7"/>
        <v>1237.67299</v>
      </c>
      <c r="D49" s="211">
        <v>0</v>
      </c>
      <c r="E49" s="211">
        <v>1113.90569</v>
      </c>
      <c r="F49" s="211">
        <v>123.76730000000001</v>
      </c>
      <c r="G49" s="211">
        <f t="shared" si="8"/>
        <v>1237.67299</v>
      </c>
      <c r="H49" s="211">
        <v>0</v>
      </c>
      <c r="I49" s="211">
        <v>1113.90569</v>
      </c>
      <c r="J49" s="211">
        <v>123.76730000000001</v>
      </c>
      <c r="K49" s="211">
        <f t="shared" si="9"/>
        <v>0</v>
      </c>
      <c r="L49" s="211">
        <f t="shared" si="4"/>
        <v>0</v>
      </c>
      <c r="M49" s="188">
        <f t="shared" si="5"/>
        <v>0</v>
      </c>
      <c r="N49" s="188">
        <f t="shared" si="6"/>
        <v>0</v>
      </c>
    </row>
    <row r="50" spans="1:14" s="217" customFormat="1" ht="31.5" x14ac:dyDescent="0.25">
      <c r="A50" s="216">
        <v>9</v>
      </c>
      <c r="B50" s="222" t="s">
        <v>748</v>
      </c>
      <c r="C50" s="211">
        <f t="shared" si="7"/>
        <v>870.02467999999999</v>
      </c>
      <c r="D50" s="211">
        <v>0</v>
      </c>
      <c r="E50" s="211">
        <v>783.02220999999997</v>
      </c>
      <c r="F50" s="211">
        <v>87.002470000000002</v>
      </c>
      <c r="G50" s="211">
        <f t="shared" si="8"/>
        <v>870.02467999999999</v>
      </c>
      <c r="H50" s="211">
        <v>0</v>
      </c>
      <c r="I50" s="211">
        <v>783.02220999999997</v>
      </c>
      <c r="J50" s="211">
        <v>87.002470000000002</v>
      </c>
      <c r="K50" s="211">
        <f t="shared" si="9"/>
        <v>0</v>
      </c>
      <c r="L50" s="211">
        <f t="shared" si="4"/>
        <v>0</v>
      </c>
      <c r="M50" s="188">
        <f t="shared" si="5"/>
        <v>0</v>
      </c>
      <c r="N50" s="188">
        <f t="shared" si="6"/>
        <v>0</v>
      </c>
    </row>
    <row r="51" spans="1:14" s="217" customFormat="1" ht="15.75" x14ac:dyDescent="0.25">
      <c r="A51" s="216">
        <v>10</v>
      </c>
      <c r="B51" s="222" t="s">
        <v>774</v>
      </c>
      <c r="C51" s="211">
        <f>D51+E51+F51</f>
        <v>1009.57044</v>
      </c>
      <c r="D51" s="211">
        <v>0</v>
      </c>
      <c r="E51" s="211">
        <v>908.61338999999998</v>
      </c>
      <c r="F51" s="211">
        <v>100.95705</v>
      </c>
      <c r="G51" s="211">
        <f>H51+I51+J51</f>
        <v>1009.57044</v>
      </c>
      <c r="H51" s="211">
        <v>0</v>
      </c>
      <c r="I51" s="211">
        <v>908.61338999999998</v>
      </c>
      <c r="J51" s="211">
        <v>100.95705</v>
      </c>
      <c r="K51" s="211">
        <v>0</v>
      </c>
      <c r="L51" s="211">
        <f t="shared" si="4"/>
        <v>0</v>
      </c>
      <c r="M51" s="188">
        <f t="shared" si="5"/>
        <v>0</v>
      </c>
      <c r="N51" s="188">
        <f t="shared" si="6"/>
        <v>0</v>
      </c>
    </row>
    <row r="52" spans="1:14" s="217" customFormat="1" ht="15.75" x14ac:dyDescent="0.25">
      <c r="A52" s="216">
        <v>10</v>
      </c>
      <c r="B52" s="222" t="s">
        <v>1342</v>
      </c>
      <c r="C52" s="211">
        <f>D52+E52+F52</f>
        <v>1498.1799900000001</v>
      </c>
      <c r="D52" s="211">
        <v>0</v>
      </c>
      <c r="E52" s="211">
        <v>1348.3619900000001</v>
      </c>
      <c r="F52" s="211">
        <v>149.81800000000001</v>
      </c>
      <c r="G52" s="211">
        <f>H52+I52+J52</f>
        <v>1498.1799900000001</v>
      </c>
      <c r="H52" s="211">
        <v>0</v>
      </c>
      <c r="I52" s="211">
        <v>1348.3619900000001</v>
      </c>
      <c r="J52" s="211">
        <v>149.81800000000001</v>
      </c>
      <c r="K52" s="211">
        <v>0</v>
      </c>
      <c r="L52" s="211">
        <f t="shared" si="4"/>
        <v>0</v>
      </c>
      <c r="M52" s="188">
        <f t="shared" si="5"/>
        <v>0</v>
      </c>
      <c r="N52" s="188">
        <f t="shared" si="6"/>
        <v>0</v>
      </c>
    </row>
    <row r="53" spans="1:14" s="217" customFormat="1" ht="15.75" x14ac:dyDescent="0.25">
      <c r="A53" s="216">
        <v>10</v>
      </c>
      <c r="B53" s="222" t="s">
        <v>775</v>
      </c>
      <c r="C53" s="211">
        <f>D53+E53+F53</f>
        <v>763.09100999999998</v>
      </c>
      <c r="D53" s="211">
        <v>0</v>
      </c>
      <c r="E53" s="211">
        <v>686.78189999999995</v>
      </c>
      <c r="F53" s="211">
        <v>76.309110000000004</v>
      </c>
      <c r="G53" s="211">
        <f>H53+I53+J53</f>
        <v>763.09100999999998</v>
      </c>
      <c r="H53" s="211">
        <v>0</v>
      </c>
      <c r="I53" s="211">
        <v>686.78189999999995</v>
      </c>
      <c r="J53" s="211">
        <v>76.309110000000004</v>
      </c>
      <c r="K53" s="211">
        <v>0</v>
      </c>
      <c r="L53" s="211">
        <f t="shared" si="4"/>
        <v>0</v>
      </c>
      <c r="M53" s="188">
        <f t="shared" si="5"/>
        <v>0</v>
      </c>
      <c r="N53" s="188">
        <f t="shared" si="6"/>
        <v>0</v>
      </c>
    </row>
    <row r="54" spans="1:14" s="217" customFormat="1" ht="15.75" x14ac:dyDescent="0.25">
      <c r="A54" s="216">
        <v>10</v>
      </c>
      <c r="B54" s="222" t="s">
        <v>776</v>
      </c>
      <c r="C54" s="211">
        <f>D54+E54+F54</f>
        <v>3400.1456000000003</v>
      </c>
      <c r="D54" s="211">
        <v>0</v>
      </c>
      <c r="E54" s="211">
        <v>3060.1310400000002</v>
      </c>
      <c r="F54" s="211">
        <v>340.01456000000002</v>
      </c>
      <c r="G54" s="211">
        <f>H54+I54+J54</f>
        <v>3400.1456000000003</v>
      </c>
      <c r="H54" s="211">
        <v>0</v>
      </c>
      <c r="I54" s="211">
        <v>3060.1310400000002</v>
      </c>
      <c r="J54" s="211">
        <v>340.01456000000002</v>
      </c>
      <c r="K54" s="211">
        <v>0</v>
      </c>
      <c r="L54" s="211">
        <f t="shared" si="4"/>
        <v>0</v>
      </c>
      <c r="M54" s="188">
        <f t="shared" si="5"/>
        <v>0</v>
      </c>
      <c r="N54" s="188">
        <f t="shared" si="6"/>
        <v>0</v>
      </c>
    </row>
    <row r="55" spans="1:14" s="217" customFormat="1" ht="15.75" x14ac:dyDescent="0.25">
      <c r="A55" s="216">
        <v>10</v>
      </c>
      <c r="B55" s="222" t="s">
        <v>747</v>
      </c>
      <c r="C55" s="211">
        <f t="shared" si="7"/>
        <v>11755.270689999999</v>
      </c>
      <c r="D55" s="211">
        <v>0</v>
      </c>
      <c r="E55" s="211">
        <v>10579.743619999999</v>
      </c>
      <c r="F55" s="211">
        <v>1175.5270700000001</v>
      </c>
      <c r="G55" s="211">
        <f t="shared" si="8"/>
        <v>11755.270689999999</v>
      </c>
      <c r="H55" s="211">
        <v>0</v>
      </c>
      <c r="I55" s="211">
        <v>10579.743619999999</v>
      </c>
      <c r="J55" s="211">
        <v>1175.5270700000001</v>
      </c>
      <c r="K55" s="211">
        <v>0</v>
      </c>
      <c r="L55" s="211">
        <f t="shared" si="4"/>
        <v>0</v>
      </c>
      <c r="M55" s="188">
        <f t="shared" si="5"/>
        <v>0</v>
      </c>
      <c r="N55" s="188">
        <f t="shared" si="6"/>
        <v>0</v>
      </c>
    </row>
    <row r="56" spans="1:14" s="217" customFormat="1" ht="15.75" x14ac:dyDescent="0.25">
      <c r="A56" s="216">
        <v>11</v>
      </c>
      <c r="B56" s="222" t="s">
        <v>1343</v>
      </c>
      <c r="C56" s="211">
        <f>SUM(E56:F56)</f>
        <v>841.40924000000007</v>
      </c>
      <c r="D56" s="211"/>
      <c r="E56" s="211">
        <v>757.26831000000004</v>
      </c>
      <c r="F56" s="211">
        <v>84.140929999999997</v>
      </c>
      <c r="G56" s="211">
        <f>H56+I56+J56</f>
        <v>841.40924000000007</v>
      </c>
      <c r="H56" s="211">
        <v>0</v>
      </c>
      <c r="I56" s="211">
        <v>757.26831000000004</v>
      </c>
      <c r="J56" s="211">
        <v>84.140929999999997</v>
      </c>
      <c r="K56" s="211">
        <v>0</v>
      </c>
      <c r="L56" s="211">
        <f t="shared" si="4"/>
        <v>0</v>
      </c>
      <c r="M56" s="188">
        <f t="shared" si="5"/>
        <v>0</v>
      </c>
      <c r="N56" s="188">
        <f t="shared" si="6"/>
        <v>0</v>
      </c>
    </row>
    <row r="57" spans="1:14" s="217" customFormat="1" ht="15.75" x14ac:dyDescent="0.25">
      <c r="A57" s="216">
        <v>12</v>
      </c>
      <c r="B57" s="222" t="s">
        <v>1344</v>
      </c>
      <c r="C57" s="211">
        <f>SUM(E57:F57)</f>
        <v>472.40967999999998</v>
      </c>
      <c r="D57" s="211"/>
      <c r="E57" s="211">
        <v>425.16870999999998</v>
      </c>
      <c r="F57" s="211">
        <v>47.240969999999997</v>
      </c>
      <c r="G57" s="211">
        <f>H57+I57+J57</f>
        <v>472.40967999999998</v>
      </c>
      <c r="H57" s="211">
        <v>0</v>
      </c>
      <c r="I57" s="211">
        <v>425.16870999999998</v>
      </c>
      <c r="J57" s="211">
        <v>47.240969999999997</v>
      </c>
      <c r="K57" s="211">
        <v>0</v>
      </c>
      <c r="L57" s="211">
        <f t="shared" si="4"/>
        <v>0</v>
      </c>
      <c r="M57" s="188">
        <f t="shared" si="5"/>
        <v>0</v>
      </c>
      <c r="N57" s="188">
        <f t="shared" si="6"/>
        <v>0</v>
      </c>
    </row>
    <row r="58" spans="1:14" s="217" customFormat="1" ht="15.75" x14ac:dyDescent="0.25">
      <c r="A58" s="216">
        <v>13</v>
      </c>
      <c r="B58" s="222" t="s">
        <v>1345</v>
      </c>
      <c r="C58" s="211">
        <v>600</v>
      </c>
      <c r="D58" s="211"/>
      <c r="E58" s="211">
        <v>540</v>
      </c>
      <c r="F58" s="211">
        <v>60</v>
      </c>
      <c r="G58" s="211">
        <f>H58+I58+J58</f>
        <v>600</v>
      </c>
      <c r="H58" s="211">
        <v>0</v>
      </c>
      <c r="I58" s="211">
        <v>540</v>
      </c>
      <c r="J58" s="211">
        <v>60</v>
      </c>
      <c r="K58" s="211">
        <v>0</v>
      </c>
      <c r="L58" s="211">
        <f t="shared" si="4"/>
        <v>0</v>
      </c>
      <c r="M58" s="188">
        <f t="shared" si="5"/>
        <v>0</v>
      </c>
      <c r="N58" s="188">
        <f t="shared" si="6"/>
        <v>0</v>
      </c>
    </row>
    <row r="59" spans="1:14" s="235" customFormat="1" ht="15.75" x14ac:dyDescent="0.25">
      <c r="A59" s="233"/>
      <c r="B59" s="223" t="s">
        <v>701</v>
      </c>
      <c r="C59" s="234">
        <f>E59+F59</f>
        <v>4221.6341999999995</v>
      </c>
      <c r="D59" s="234">
        <v>0</v>
      </c>
      <c r="E59" s="234">
        <v>0</v>
      </c>
      <c r="F59" s="234">
        <f>SUM(F60:F69)</f>
        <v>4221.6341999999995</v>
      </c>
      <c r="G59" s="234">
        <f>SUM(H59:J59)</f>
        <v>4221.6341999999995</v>
      </c>
      <c r="H59" s="234">
        <v>0</v>
      </c>
      <c r="I59" s="234">
        <v>0</v>
      </c>
      <c r="J59" s="234">
        <f>SUM(J60:J69)</f>
        <v>4221.6341999999995</v>
      </c>
      <c r="K59" s="234">
        <v>0</v>
      </c>
      <c r="L59" s="234">
        <f t="shared" si="4"/>
        <v>0</v>
      </c>
      <c r="M59" s="234">
        <f t="shared" si="4"/>
        <v>0</v>
      </c>
      <c r="N59" s="234">
        <f t="shared" si="4"/>
        <v>0</v>
      </c>
    </row>
    <row r="60" spans="1:14" s="177" customFormat="1" ht="15.75" x14ac:dyDescent="0.25">
      <c r="A60" s="216">
        <v>1</v>
      </c>
      <c r="B60" s="222" t="s">
        <v>746</v>
      </c>
      <c r="C60" s="211">
        <f t="shared" ref="C60:C68" si="10">E60+F60</f>
        <v>307.84118000000001</v>
      </c>
      <c r="D60" s="211">
        <v>0</v>
      </c>
      <c r="E60" s="211">
        <v>0</v>
      </c>
      <c r="F60" s="211">
        <v>307.84118000000001</v>
      </c>
      <c r="G60" s="211">
        <v>307.84118000000001</v>
      </c>
      <c r="H60" s="211">
        <v>0</v>
      </c>
      <c r="I60" s="211">
        <v>0</v>
      </c>
      <c r="J60" s="211">
        <v>307.84118000000001</v>
      </c>
      <c r="K60" s="211">
        <v>0</v>
      </c>
      <c r="L60" s="211">
        <f t="shared" si="4"/>
        <v>0</v>
      </c>
      <c r="M60" s="211">
        <f t="shared" si="4"/>
        <v>0</v>
      </c>
      <c r="N60" s="211">
        <f t="shared" si="4"/>
        <v>0</v>
      </c>
    </row>
    <row r="61" spans="1:14" s="177" customFormat="1" ht="15.75" x14ac:dyDescent="0.25">
      <c r="A61" s="216">
        <v>2</v>
      </c>
      <c r="B61" s="222" t="s">
        <v>745</v>
      </c>
      <c r="C61" s="211">
        <f t="shared" si="10"/>
        <v>433.47827000000001</v>
      </c>
      <c r="D61" s="211">
        <v>0</v>
      </c>
      <c r="E61" s="211">
        <v>0</v>
      </c>
      <c r="F61" s="211">
        <v>433.47827000000001</v>
      </c>
      <c r="G61" s="211">
        <v>433.47827000000001</v>
      </c>
      <c r="H61" s="211">
        <v>0</v>
      </c>
      <c r="I61" s="211">
        <v>0</v>
      </c>
      <c r="J61" s="211">
        <v>433.47827000000001</v>
      </c>
      <c r="K61" s="211">
        <v>0</v>
      </c>
      <c r="L61" s="211">
        <f t="shared" si="4"/>
        <v>0</v>
      </c>
      <c r="M61" s="211">
        <f t="shared" si="4"/>
        <v>0</v>
      </c>
      <c r="N61" s="211">
        <f t="shared" si="4"/>
        <v>0</v>
      </c>
    </row>
    <row r="62" spans="1:14" s="177" customFormat="1" ht="31.5" x14ac:dyDescent="0.25">
      <c r="A62" s="216">
        <v>3</v>
      </c>
      <c r="B62" s="222" t="s">
        <v>744</v>
      </c>
      <c r="C62" s="211">
        <f t="shared" si="10"/>
        <v>487.89600000000002</v>
      </c>
      <c r="D62" s="211">
        <v>0</v>
      </c>
      <c r="E62" s="211">
        <v>0</v>
      </c>
      <c r="F62" s="211">
        <v>487.89600000000002</v>
      </c>
      <c r="G62" s="211">
        <v>487.89600000000002</v>
      </c>
      <c r="H62" s="211">
        <v>0</v>
      </c>
      <c r="I62" s="211">
        <v>0</v>
      </c>
      <c r="J62" s="211">
        <v>487.89600000000002</v>
      </c>
      <c r="K62" s="211">
        <v>0</v>
      </c>
      <c r="L62" s="211">
        <f t="shared" si="4"/>
        <v>0</v>
      </c>
      <c r="M62" s="211">
        <f t="shared" si="4"/>
        <v>0</v>
      </c>
      <c r="N62" s="211">
        <f t="shared" si="4"/>
        <v>0</v>
      </c>
    </row>
    <row r="63" spans="1:14" s="177" customFormat="1" ht="31.5" x14ac:dyDescent="0.25">
      <c r="A63" s="216">
        <v>4</v>
      </c>
      <c r="B63" s="222" t="s">
        <v>743</v>
      </c>
      <c r="C63" s="211">
        <f t="shared" si="10"/>
        <v>600</v>
      </c>
      <c r="D63" s="211">
        <v>0</v>
      </c>
      <c r="E63" s="211">
        <v>0</v>
      </c>
      <c r="F63" s="211">
        <v>600</v>
      </c>
      <c r="G63" s="211">
        <v>600</v>
      </c>
      <c r="H63" s="211">
        <v>0</v>
      </c>
      <c r="I63" s="211">
        <v>0</v>
      </c>
      <c r="J63" s="211">
        <v>600</v>
      </c>
      <c r="K63" s="211">
        <v>0</v>
      </c>
      <c r="L63" s="211">
        <f t="shared" si="4"/>
        <v>0</v>
      </c>
      <c r="M63" s="211">
        <f t="shared" si="4"/>
        <v>0</v>
      </c>
      <c r="N63" s="211">
        <f t="shared" si="4"/>
        <v>0</v>
      </c>
    </row>
    <row r="64" spans="1:14" s="177" customFormat="1" ht="15.75" x14ac:dyDescent="0.25">
      <c r="A64" s="216">
        <v>5</v>
      </c>
      <c r="B64" s="222" t="s">
        <v>742</v>
      </c>
      <c r="C64" s="211">
        <f t="shared" si="10"/>
        <v>600</v>
      </c>
      <c r="D64" s="211">
        <v>0</v>
      </c>
      <c r="E64" s="211">
        <v>0</v>
      </c>
      <c r="F64" s="211">
        <v>600</v>
      </c>
      <c r="G64" s="211">
        <v>600</v>
      </c>
      <c r="H64" s="211">
        <v>0</v>
      </c>
      <c r="I64" s="211">
        <v>0</v>
      </c>
      <c r="J64" s="211">
        <v>600</v>
      </c>
      <c r="K64" s="211">
        <v>0</v>
      </c>
      <c r="L64" s="211">
        <f t="shared" si="4"/>
        <v>0</v>
      </c>
      <c r="M64" s="211">
        <f t="shared" si="4"/>
        <v>0</v>
      </c>
      <c r="N64" s="211">
        <f t="shared" si="4"/>
        <v>0</v>
      </c>
    </row>
    <row r="65" spans="1:15" s="177" customFormat="1" ht="31.5" x14ac:dyDescent="0.25">
      <c r="A65" s="216">
        <v>6</v>
      </c>
      <c r="B65" s="222" t="s">
        <v>741</v>
      </c>
      <c r="C65" s="211">
        <f t="shared" si="10"/>
        <v>161.06215</v>
      </c>
      <c r="D65" s="211">
        <v>0</v>
      </c>
      <c r="E65" s="211">
        <v>0</v>
      </c>
      <c r="F65" s="211">
        <v>161.06215</v>
      </c>
      <c r="G65" s="211">
        <v>161.06215</v>
      </c>
      <c r="H65" s="211">
        <v>0</v>
      </c>
      <c r="I65" s="211">
        <v>0</v>
      </c>
      <c r="J65" s="211">
        <v>161.06215</v>
      </c>
      <c r="K65" s="211">
        <v>0</v>
      </c>
      <c r="L65" s="211">
        <f t="shared" si="4"/>
        <v>0</v>
      </c>
      <c r="M65" s="211">
        <f t="shared" si="4"/>
        <v>0</v>
      </c>
      <c r="N65" s="211">
        <f t="shared" si="4"/>
        <v>0</v>
      </c>
    </row>
    <row r="66" spans="1:15" s="177" customFormat="1" ht="31.5" x14ac:dyDescent="0.25">
      <c r="A66" s="216">
        <v>7</v>
      </c>
      <c r="B66" s="222" t="s">
        <v>740</v>
      </c>
      <c r="C66" s="211">
        <f t="shared" si="10"/>
        <v>581.57885999999996</v>
      </c>
      <c r="D66" s="211">
        <v>0</v>
      </c>
      <c r="E66" s="211">
        <v>0</v>
      </c>
      <c r="F66" s="211">
        <v>581.57885999999996</v>
      </c>
      <c r="G66" s="211">
        <v>581.57885999999996</v>
      </c>
      <c r="H66" s="211">
        <v>0</v>
      </c>
      <c r="I66" s="211">
        <v>0</v>
      </c>
      <c r="J66" s="211">
        <v>581.57885999999996</v>
      </c>
      <c r="K66" s="211">
        <v>0</v>
      </c>
      <c r="L66" s="211">
        <f t="shared" si="4"/>
        <v>0</v>
      </c>
      <c r="M66" s="211">
        <f t="shared" si="4"/>
        <v>0</v>
      </c>
      <c r="N66" s="211">
        <f t="shared" si="4"/>
        <v>0</v>
      </c>
    </row>
    <row r="67" spans="1:15" s="177" customFormat="1" ht="31.5" x14ac:dyDescent="0.25">
      <c r="A67" s="216">
        <v>8</v>
      </c>
      <c r="B67" s="215" t="s">
        <v>739</v>
      </c>
      <c r="C67" s="211">
        <f t="shared" si="10"/>
        <v>567.47469000000001</v>
      </c>
      <c r="D67" s="211">
        <v>0</v>
      </c>
      <c r="E67" s="211">
        <v>0</v>
      </c>
      <c r="F67" s="211">
        <v>567.47469000000001</v>
      </c>
      <c r="G67" s="211">
        <v>567.47469000000001</v>
      </c>
      <c r="H67" s="211">
        <v>0</v>
      </c>
      <c r="I67" s="211">
        <v>0</v>
      </c>
      <c r="J67" s="211">
        <v>567.47469000000001</v>
      </c>
      <c r="K67" s="211">
        <v>0</v>
      </c>
      <c r="L67" s="211">
        <f t="shared" si="4"/>
        <v>0</v>
      </c>
      <c r="M67" s="211">
        <f t="shared" si="4"/>
        <v>0</v>
      </c>
      <c r="N67" s="211">
        <f t="shared" si="4"/>
        <v>0</v>
      </c>
    </row>
    <row r="68" spans="1:15" s="177" customFormat="1" ht="15.75" x14ac:dyDescent="0.25">
      <c r="A68" s="216">
        <v>9</v>
      </c>
      <c r="B68" s="215" t="s">
        <v>738</v>
      </c>
      <c r="C68" s="211">
        <f t="shared" si="10"/>
        <v>298.40305000000001</v>
      </c>
      <c r="D68" s="211">
        <v>0</v>
      </c>
      <c r="E68" s="211">
        <v>0</v>
      </c>
      <c r="F68" s="211">
        <v>298.40305000000001</v>
      </c>
      <c r="G68" s="188">
        <f>J68</f>
        <v>298.40305000000001</v>
      </c>
      <c r="H68" s="211">
        <v>0</v>
      </c>
      <c r="I68" s="211">
        <v>0</v>
      </c>
      <c r="J68" s="211">
        <v>298.40305000000001</v>
      </c>
      <c r="K68" s="211">
        <v>0</v>
      </c>
      <c r="L68" s="211">
        <f t="shared" si="4"/>
        <v>0</v>
      </c>
      <c r="M68" s="211">
        <f t="shared" si="4"/>
        <v>0</v>
      </c>
      <c r="N68" s="211">
        <f t="shared" si="4"/>
        <v>0</v>
      </c>
    </row>
    <row r="69" spans="1:15" s="177" customFormat="1" ht="15.75" x14ac:dyDescent="0.25">
      <c r="A69" s="216">
        <v>12</v>
      </c>
      <c r="B69" s="222" t="s">
        <v>1346</v>
      </c>
      <c r="C69" s="211">
        <f>F69</f>
        <v>183.9</v>
      </c>
      <c r="D69" s="211">
        <v>0</v>
      </c>
      <c r="E69" s="211">
        <v>0</v>
      </c>
      <c r="F69" s="211">
        <v>183.9</v>
      </c>
      <c r="G69" s="211">
        <v>183.9</v>
      </c>
      <c r="H69" s="211">
        <v>0</v>
      </c>
      <c r="I69" s="211">
        <v>0</v>
      </c>
      <c r="J69" s="211">
        <v>183.9</v>
      </c>
      <c r="K69" s="211">
        <v>0</v>
      </c>
      <c r="L69" s="211">
        <f t="shared" si="4"/>
        <v>0</v>
      </c>
      <c r="M69" s="211">
        <f t="shared" si="4"/>
        <v>0</v>
      </c>
      <c r="N69" s="211">
        <f t="shared" si="4"/>
        <v>0</v>
      </c>
      <c r="O69" s="214"/>
    </row>
    <row r="70" spans="1:15" s="235" customFormat="1" ht="15.75" x14ac:dyDescent="0.25">
      <c r="A70" s="233"/>
      <c r="B70" s="221" t="s">
        <v>702</v>
      </c>
      <c r="C70" s="234">
        <f t="shared" ref="C70:C76" si="11">F70</f>
        <v>2778.35484</v>
      </c>
      <c r="D70" s="234">
        <v>0</v>
      </c>
      <c r="E70" s="234">
        <v>0</v>
      </c>
      <c r="F70" s="234">
        <f>SUM(F71:F76)</f>
        <v>2778.35484</v>
      </c>
      <c r="G70" s="234">
        <f>J70</f>
        <v>2778.2548400000001</v>
      </c>
      <c r="H70" s="234">
        <v>0</v>
      </c>
      <c r="I70" s="234">
        <v>0</v>
      </c>
      <c r="J70" s="234">
        <f>SUM(J71:J76)</f>
        <v>2778.2548400000001</v>
      </c>
      <c r="K70" s="234">
        <f t="shared" ref="K70:K73" si="12">C70-G70</f>
        <v>9.9999999999909051E-2</v>
      </c>
      <c r="L70" s="234">
        <f t="shared" si="4"/>
        <v>0</v>
      </c>
      <c r="M70" s="234">
        <f t="shared" si="4"/>
        <v>0</v>
      </c>
      <c r="N70" s="234">
        <f t="shared" si="4"/>
        <v>9.9999999999909051E-2</v>
      </c>
    </row>
    <row r="71" spans="1:15" s="177" customFormat="1" ht="15.75" x14ac:dyDescent="0.25">
      <c r="A71" s="216">
        <v>1</v>
      </c>
      <c r="B71" s="215" t="s">
        <v>1347</v>
      </c>
      <c r="C71" s="211">
        <f t="shared" si="11"/>
        <v>300</v>
      </c>
      <c r="D71" s="211">
        <v>0</v>
      </c>
      <c r="E71" s="211">
        <v>0</v>
      </c>
      <c r="F71" s="211">
        <v>300</v>
      </c>
      <c r="G71" s="211">
        <v>300</v>
      </c>
      <c r="H71" s="211">
        <v>0</v>
      </c>
      <c r="I71" s="211">
        <v>0</v>
      </c>
      <c r="J71" s="211">
        <v>300</v>
      </c>
      <c r="K71" s="211">
        <f t="shared" si="12"/>
        <v>0</v>
      </c>
      <c r="L71" s="211">
        <f t="shared" si="4"/>
        <v>0</v>
      </c>
      <c r="M71" s="211">
        <f t="shared" si="4"/>
        <v>0</v>
      </c>
      <c r="N71" s="211">
        <f t="shared" si="4"/>
        <v>0</v>
      </c>
    </row>
    <row r="72" spans="1:15" s="177" customFormat="1" ht="15.75" x14ac:dyDescent="0.25">
      <c r="A72" s="216">
        <v>2</v>
      </c>
      <c r="B72" s="215" t="s">
        <v>827</v>
      </c>
      <c r="C72" s="211">
        <f t="shared" si="11"/>
        <v>600</v>
      </c>
      <c r="D72" s="211">
        <v>0</v>
      </c>
      <c r="E72" s="211">
        <v>0</v>
      </c>
      <c r="F72" s="211">
        <v>600</v>
      </c>
      <c r="G72" s="211">
        <f>J72</f>
        <v>600</v>
      </c>
      <c r="H72" s="211">
        <v>0</v>
      </c>
      <c r="I72" s="211">
        <v>0</v>
      </c>
      <c r="J72" s="211">
        <v>600</v>
      </c>
      <c r="K72" s="211">
        <f t="shared" si="12"/>
        <v>0</v>
      </c>
      <c r="L72" s="211">
        <f t="shared" si="4"/>
        <v>0</v>
      </c>
      <c r="M72" s="211">
        <f t="shared" si="4"/>
        <v>0</v>
      </c>
      <c r="N72" s="211">
        <f t="shared" si="4"/>
        <v>0</v>
      </c>
      <c r="O72" s="214"/>
    </row>
    <row r="73" spans="1:15" s="177" customFormat="1" ht="15.75" x14ac:dyDescent="0.25">
      <c r="A73" s="216">
        <v>3</v>
      </c>
      <c r="B73" s="215" t="s">
        <v>1348</v>
      </c>
      <c r="C73" s="211">
        <f t="shared" si="11"/>
        <v>600</v>
      </c>
      <c r="D73" s="211">
        <v>0</v>
      </c>
      <c r="E73" s="211">
        <v>0</v>
      </c>
      <c r="F73" s="211">
        <v>600</v>
      </c>
      <c r="G73" s="211">
        <f>J73</f>
        <v>600</v>
      </c>
      <c r="H73" s="211">
        <v>0</v>
      </c>
      <c r="I73" s="211">
        <v>0</v>
      </c>
      <c r="J73" s="211">
        <v>600</v>
      </c>
      <c r="K73" s="211">
        <f t="shared" si="12"/>
        <v>0</v>
      </c>
      <c r="L73" s="211">
        <f t="shared" si="4"/>
        <v>0</v>
      </c>
      <c r="M73" s="211">
        <f t="shared" si="4"/>
        <v>0</v>
      </c>
      <c r="N73" s="211">
        <f t="shared" si="4"/>
        <v>0</v>
      </c>
      <c r="O73" s="214"/>
    </row>
    <row r="74" spans="1:15" s="177" customFormat="1" ht="15.75" x14ac:dyDescent="0.25">
      <c r="A74" s="216"/>
      <c r="B74" s="215" t="s">
        <v>737</v>
      </c>
      <c r="C74" s="211">
        <f t="shared" si="11"/>
        <v>600</v>
      </c>
      <c r="D74" s="211">
        <v>0</v>
      </c>
      <c r="E74" s="211">
        <v>0</v>
      </c>
      <c r="F74" s="211">
        <v>600</v>
      </c>
      <c r="G74" s="188">
        <f>I74+J74</f>
        <v>599.9</v>
      </c>
      <c r="H74" s="211">
        <v>0</v>
      </c>
      <c r="I74" s="211">
        <v>0</v>
      </c>
      <c r="J74" s="211">
        <v>599.9</v>
      </c>
      <c r="K74" s="211">
        <f t="shared" ref="K74:K75" si="13">C74-G74</f>
        <v>0.10000000000002274</v>
      </c>
      <c r="L74" s="211">
        <f t="shared" ref="L74:L75" si="14">D74-H74</f>
        <v>0</v>
      </c>
      <c r="M74" s="211">
        <f t="shared" ref="M74:M75" si="15">E74-I74</f>
        <v>0</v>
      </c>
      <c r="N74" s="211">
        <f t="shared" ref="N74:N75" si="16">F74-J74</f>
        <v>0.10000000000002274</v>
      </c>
      <c r="O74" s="214"/>
    </row>
    <row r="75" spans="1:15" s="177" customFormat="1" ht="15.75" x14ac:dyDescent="0.25">
      <c r="A75" s="216"/>
      <c r="B75" s="215" t="s">
        <v>826</v>
      </c>
      <c r="C75" s="211">
        <f t="shared" si="11"/>
        <v>600</v>
      </c>
      <c r="D75" s="211">
        <v>0</v>
      </c>
      <c r="E75" s="211">
        <v>0</v>
      </c>
      <c r="F75" s="211">
        <v>600</v>
      </c>
      <c r="G75" s="188">
        <f>I75+J75</f>
        <v>600</v>
      </c>
      <c r="H75" s="211">
        <v>0</v>
      </c>
      <c r="I75" s="211">
        <v>0</v>
      </c>
      <c r="J75" s="211">
        <v>600</v>
      </c>
      <c r="K75" s="211">
        <f t="shared" si="13"/>
        <v>0</v>
      </c>
      <c r="L75" s="211">
        <f t="shared" si="14"/>
        <v>0</v>
      </c>
      <c r="M75" s="211">
        <f t="shared" si="15"/>
        <v>0</v>
      </c>
      <c r="N75" s="211">
        <f t="shared" si="16"/>
        <v>0</v>
      </c>
      <c r="O75" s="214"/>
    </row>
    <row r="76" spans="1:15" s="177" customFormat="1" ht="15.75" x14ac:dyDescent="0.25">
      <c r="A76" s="216"/>
      <c r="B76" s="215" t="s">
        <v>1352</v>
      </c>
      <c r="C76" s="211">
        <f t="shared" si="11"/>
        <v>78.354839999999996</v>
      </c>
      <c r="D76" s="211">
        <v>0</v>
      </c>
      <c r="E76" s="211">
        <v>0</v>
      </c>
      <c r="F76" s="211">
        <v>78.354839999999996</v>
      </c>
      <c r="G76" s="211">
        <f t="shared" ref="G76" si="17">J76</f>
        <v>78.354839999999996</v>
      </c>
      <c r="H76" s="211">
        <v>0</v>
      </c>
      <c r="I76" s="211">
        <v>0</v>
      </c>
      <c r="J76" s="211">
        <v>78.354839999999996</v>
      </c>
      <c r="K76" s="211"/>
      <c r="L76" s="211"/>
      <c r="M76" s="211"/>
      <c r="N76" s="211"/>
      <c r="O76" s="214"/>
    </row>
    <row r="77" spans="1:15" s="174" customFormat="1" ht="15.75" x14ac:dyDescent="0.25">
      <c r="A77" s="172" t="s">
        <v>786</v>
      </c>
      <c r="B77" s="178" t="s">
        <v>694</v>
      </c>
      <c r="C77" s="187">
        <f>E77+F77</f>
        <v>22717.7</v>
      </c>
      <c r="D77" s="187">
        <v>0</v>
      </c>
      <c r="E77" s="187">
        <v>0</v>
      </c>
      <c r="F77" s="187">
        <f>F78</f>
        <v>22717.7</v>
      </c>
      <c r="G77" s="187">
        <f>I77+J77</f>
        <v>22717.69167</v>
      </c>
      <c r="H77" s="187">
        <v>0</v>
      </c>
      <c r="I77" s="187">
        <v>0</v>
      </c>
      <c r="J77" s="187">
        <f>J78</f>
        <v>22717.69167</v>
      </c>
      <c r="K77" s="187">
        <f t="shared" ref="K77:K81" si="18">M77+N77</f>
        <v>8.3300000005692709E-3</v>
      </c>
      <c r="L77" s="187">
        <f t="shared" si="4"/>
        <v>0</v>
      </c>
      <c r="M77" s="189">
        <f t="shared" si="4"/>
        <v>0</v>
      </c>
      <c r="N77" s="187">
        <f t="shared" si="4"/>
        <v>8.3300000005692709E-3</v>
      </c>
    </row>
    <row r="78" spans="1:15" s="177" customFormat="1" ht="31.5" x14ac:dyDescent="0.25">
      <c r="A78" s="175"/>
      <c r="B78" s="184" t="s">
        <v>703</v>
      </c>
      <c r="C78" s="188">
        <f>E78+F78</f>
        <v>22717.7</v>
      </c>
      <c r="D78" s="188">
        <v>0</v>
      </c>
      <c r="E78" s="188">
        <v>0</v>
      </c>
      <c r="F78" s="188">
        <v>22717.7</v>
      </c>
      <c r="G78" s="188">
        <f>I78+J78</f>
        <v>22717.69167</v>
      </c>
      <c r="H78" s="188">
        <v>0</v>
      </c>
      <c r="I78" s="188">
        <v>0</v>
      </c>
      <c r="J78" s="188">
        <v>22717.69167</v>
      </c>
      <c r="K78" s="188">
        <f t="shared" si="18"/>
        <v>8.3300000005692709E-3</v>
      </c>
      <c r="L78" s="188">
        <f t="shared" si="4"/>
        <v>0</v>
      </c>
      <c r="M78" s="190">
        <f t="shared" si="4"/>
        <v>0</v>
      </c>
      <c r="N78" s="188">
        <f t="shared" si="4"/>
        <v>8.3300000005692709E-3</v>
      </c>
    </row>
    <row r="79" spans="1:15" s="174" customFormat="1" ht="15.75" x14ac:dyDescent="0.25">
      <c r="A79" s="172" t="s">
        <v>787</v>
      </c>
      <c r="B79" s="178" t="s">
        <v>485</v>
      </c>
      <c r="C79" s="187">
        <f>E79+F79+D79</f>
        <v>41864.770000000004</v>
      </c>
      <c r="D79" s="187">
        <f>D80</f>
        <v>39572.673840000003</v>
      </c>
      <c r="E79" s="187">
        <f>E80</f>
        <v>2082.7723099999998</v>
      </c>
      <c r="F79" s="187">
        <f>F80</f>
        <v>209.32384999999999</v>
      </c>
      <c r="G79" s="187">
        <f>I79+J79+H79</f>
        <v>41864.770000000004</v>
      </c>
      <c r="H79" s="187">
        <f>H80</f>
        <v>39572.673840000003</v>
      </c>
      <c r="I79" s="187">
        <f>I80</f>
        <v>2082.7723099999998</v>
      </c>
      <c r="J79" s="187">
        <f>J80</f>
        <v>209.32384999999999</v>
      </c>
      <c r="K79" s="187">
        <f t="shared" si="18"/>
        <v>0</v>
      </c>
      <c r="L79" s="187">
        <f t="shared" si="4"/>
        <v>0</v>
      </c>
      <c r="M79" s="189">
        <f t="shared" si="4"/>
        <v>0</v>
      </c>
      <c r="N79" s="187">
        <f t="shared" si="4"/>
        <v>0</v>
      </c>
    </row>
    <row r="80" spans="1:15" s="177" customFormat="1" ht="15.75" x14ac:dyDescent="0.25">
      <c r="A80" s="175"/>
      <c r="B80" s="184" t="s">
        <v>704</v>
      </c>
      <c r="C80" s="188">
        <f>E80+F80+D80</f>
        <v>41864.770000000004</v>
      </c>
      <c r="D80" s="188">
        <f>'[3]Приложение 2'!F218</f>
        <v>39572.673840000003</v>
      </c>
      <c r="E80" s="188">
        <f>'[3]Приложение 2'!F219</f>
        <v>2082.7723099999998</v>
      </c>
      <c r="F80" s="188">
        <f>'[3]Приложение 2'!F220</f>
        <v>209.32384999999999</v>
      </c>
      <c r="G80" s="211">
        <f>SUM(H80:J80)</f>
        <v>41864.770000000004</v>
      </c>
      <c r="H80" s="211">
        <v>39572.673840000003</v>
      </c>
      <c r="I80" s="211">
        <v>2082.7723099999998</v>
      </c>
      <c r="J80" s="211">
        <v>209.32384999999999</v>
      </c>
      <c r="K80" s="188">
        <f t="shared" si="18"/>
        <v>0</v>
      </c>
      <c r="L80" s="188">
        <f t="shared" si="4"/>
        <v>0</v>
      </c>
      <c r="M80" s="190">
        <f t="shared" si="4"/>
        <v>0</v>
      </c>
      <c r="N80" s="188">
        <f t="shared" si="4"/>
        <v>0</v>
      </c>
    </row>
    <row r="81" spans="1:14" s="177" customFormat="1" ht="15.75" x14ac:dyDescent="0.25">
      <c r="A81" s="175"/>
      <c r="B81" s="213" t="s">
        <v>736</v>
      </c>
      <c r="C81" s="211">
        <f>D81+E81+F81</f>
        <v>41864.770000000004</v>
      </c>
      <c r="D81" s="211">
        <v>39572.673840000003</v>
      </c>
      <c r="E81" s="211">
        <v>2082.7723099999998</v>
      </c>
      <c r="F81" s="211">
        <v>209.32384999999999</v>
      </c>
      <c r="G81" s="211">
        <f>SUM(H81:J81)</f>
        <v>41864.770000000004</v>
      </c>
      <c r="H81" s="211">
        <v>39572.673840000003</v>
      </c>
      <c r="I81" s="211">
        <v>2082.7723099999998</v>
      </c>
      <c r="J81" s="211">
        <v>209.32384999999999</v>
      </c>
      <c r="K81" s="211">
        <f t="shared" si="18"/>
        <v>0</v>
      </c>
      <c r="L81" s="211">
        <f t="shared" si="4"/>
        <v>0</v>
      </c>
      <c r="M81" s="212">
        <f t="shared" si="4"/>
        <v>0</v>
      </c>
      <c r="N81" s="211">
        <f t="shared" si="4"/>
        <v>0</v>
      </c>
    </row>
    <row r="82" spans="1:14" s="171" customFormat="1" ht="31.5" x14ac:dyDescent="0.25">
      <c r="A82" s="169" t="s">
        <v>695</v>
      </c>
      <c r="B82" s="170" t="s">
        <v>696</v>
      </c>
      <c r="C82" s="186">
        <f>C83+C91</f>
        <v>4849.9124499999998</v>
      </c>
      <c r="D82" s="186">
        <v>0</v>
      </c>
      <c r="E82" s="186">
        <f>E83+E91</f>
        <v>2681.2012</v>
      </c>
      <c r="F82" s="186">
        <f>F83+F91</f>
        <v>2168.7112499999998</v>
      </c>
      <c r="G82" s="186">
        <f>J82+I82</f>
        <v>4849.9124499999998</v>
      </c>
      <c r="H82" s="186">
        <v>0</v>
      </c>
      <c r="I82" s="186">
        <f>I83+I91</f>
        <v>2681.2012</v>
      </c>
      <c r="J82" s="186">
        <f>J83+J91</f>
        <v>2168.7112499999998</v>
      </c>
      <c r="K82" s="186">
        <f>K84</f>
        <v>0</v>
      </c>
      <c r="L82" s="186">
        <f t="shared" si="4"/>
        <v>0</v>
      </c>
      <c r="M82" s="191">
        <f t="shared" si="4"/>
        <v>0</v>
      </c>
      <c r="N82" s="186">
        <f t="shared" si="4"/>
        <v>0</v>
      </c>
    </row>
    <row r="83" spans="1:14" s="177" customFormat="1" ht="15.75" x14ac:dyDescent="0.25">
      <c r="A83" s="172" t="s">
        <v>697</v>
      </c>
      <c r="B83" s="173" t="s">
        <v>518</v>
      </c>
      <c r="C83" s="192">
        <f>C84+C85</f>
        <v>4642.9124499999998</v>
      </c>
      <c r="D83" s="192">
        <f>D84+D85</f>
        <v>0</v>
      </c>
      <c r="E83" s="192">
        <f>E84+E85</f>
        <v>2681.2012</v>
      </c>
      <c r="F83" s="192">
        <f>F84+F85</f>
        <v>1961.7112499999998</v>
      </c>
      <c r="G83" s="192">
        <f>I83+J83</f>
        <v>4642.9124499999998</v>
      </c>
      <c r="H83" s="192">
        <f>H84+H85</f>
        <v>0</v>
      </c>
      <c r="I83" s="192">
        <f>I84+I85</f>
        <v>2681.2012</v>
      </c>
      <c r="J83" s="192">
        <f>J84+J85</f>
        <v>1961.7112499999998</v>
      </c>
      <c r="K83" s="192">
        <f>K84++K85</f>
        <v>0</v>
      </c>
      <c r="L83" s="192">
        <f t="shared" si="4"/>
        <v>0</v>
      </c>
      <c r="M83" s="193">
        <f t="shared" si="4"/>
        <v>0</v>
      </c>
      <c r="N83" s="192">
        <f t="shared" si="4"/>
        <v>0</v>
      </c>
    </row>
    <row r="84" spans="1:14" ht="31.5" x14ac:dyDescent="0.25">
      <c r="A84" s="179"/>
      <c r="B84" s="180" t="s">
        <v>708</v>
      </c>
      <c r="C84" s="194">
        <v>1663.8</v>
      </c>
      <c r="D84" s="194">
        <v>0</v>
      </c>
      <c r="E84" s="194">
        <v>0</v>
      </c>
      <c r="F84" s="194">
        <v>1663.8</v>
      </c>
      <c r="G84" s="194">
        <f>J84</f>
        <v>1663.8</v>
      </c>
      <c r="H84" s="194">
        <v>0</v>
      </c>
      <c r="I84" s="194">
        <v>0</v>
      </c>
      <c r="J84" s="194">
        <v>1663.8</v>
      </c>
      <c r="K84" s="194">
        <f>N84</f>
        <v>0</v>
      </c>
      <c r="L84" s="194">
        <f t="shared" si="4"/>
        <v>0</v>
      </c>
      <c r="M84" s="195">
        <f t="shared" si="4"/>
        <v>0</v>
      </c>
      <c r="N84" s="530">
        <f t="shared" si="4"/>
        <v>0</v>
      </c>
    </row>
    <row r="85" spans="1:14" ht="31.5" x14ac:dyDescent="0.25">
      <c r="A85" s="179"/>
      <c r="B85" s="180" t="s">
        <v>735</v>
      </c>
      <c r="C85" s="194">
        <f t="shared" ref="C85:J85" si="19">C86+C87+C88+C89+C90</f>
        <v>2979.1124500000001</v>
      </c>
      <c r="D85" s="194">
        <f t="shared" si="19"/>
        <v>0</v>
      </c>
      <c r="E85" s="194">
        <f t="shared" si="19"/>
        <v>2681.2012</v>
      </c>
      <c r="F85" s="194">
        <f t="shared" si="19"/>
        <v>297.91125</v>
      </c>
      <c r="G85" s="194">
        <f t="shared" si="19"/>
        <v>2979.1124500000001</v>
      </c>
      <c r="H85" s="194">
        <f t="shared" si="19"/>
        <v>0</v>
      </c>
      <c r="I85" s="194">
        <f t="shared" si="19"/>
        <v>2681.2012</v>
      </c>
      <c r="J85" s="194">
        <f t="shared" si="19"/>
        <v>297.91125</v>
      </c>
      <c r="K85" s="194">
        <v>0</v>
      </c>
      <c r="L85" s="194">
        <f t="shared" si="4"/>
        <v>0</v>
      </c>
      <c r="M85" s="195">
        <f t="shared" si="4"/>
        <v>0</v>
      </c>
      <c r="N85" s="196">
        <f t="shared" si="4"/>
        <v>0</v>
      </c>
    </row>
    <row r="86" spans="1:14" ht="15.75" x14ac:dyDescent="0.25">
      <c r="A86" s="179"/>
      <c r="B86" s="210" t="s">
        <v>734</v>
      </c>
      <c r="C86" s="209">
        <f>D86+E86+F86</f>
        <v>595.82249000000002</v>
      </c>
      <c r="D86" s="209">
        <v>0</v>
      </c>
      <c r="E86" s="209">
        <v>536.24023999999997</v>
      </c>
      <c r="F86" s="209">
        <v>59.582250000000002</v>
      </c>
      <c r="G86" s="209">
        <f>H86+I86+J86</f>
        <v>595.82249000000002</v>
      </c>
      <c r="H86" s="209">
        <v>0</v>
      </c>
      <c r="I86" s="209">
        <v>536.24023999999997</v>
      </c>
      <c r="J86" s="209">
        <v>59.582250000000002</v>
      </c>
      <c r="K86" s="209">
        <v>0</v>
      </c>
      <c r="L86" s="209">
        <f t="shared" si="4"/>
        <v>0</v>
      </c>
      <c r="M86" s="208">
        <f t="shared" si="4"/>
        <v>0</v>
      </c>
      <c r="N86" s="207">
        <f t="shared" si="4"/>
        <v>0</v>
      </c>
    </row>
    <row r="87" spans="1:14" ht="15.75" x14ac:dyDescent="0.25">
      <c r="A87" s="179"/>
      <c r="B87" s="210" t="s">
        <v>733</v>
      </c>
      <c r="C87" s="209">
        <f>D87+E87+F87</f>
        <v>595.82249000000002</v>
      </c>
      <c r="D87" s="209">
        <v>0</v>
      </c>
      <c r="E87" s="209">
        <v>536.24023999999997</v>
      </c>
      <c r="F87" s="209">
        <v>59.582250000000002</v>
      </c>
      <c r="G87" s="209">
        <f>H87+I87+J87</f>
        <v>595.82249000000002</v>
      </c>
      <c r="H87" s="209">
        <v>0</v>
      </c>
      <c r="I87" s="209">
        <v>536.24023999999997</v>
      </c>
      <c r="J87" s="209">
        <v>59.582250000000002</v>
      </c>
      <c r="K87" s="209">
        <v>0</v>
      </c>
      <c r="L87" s="209">
        <f t="shared" si="4"/>
        <v>0</v>
      </c>
      <c r="M87" s="208">
        <f t="shared" si="4"/>
        <v>0</v>
      </c>
      <c r="N87" s="207">
        <f t="shared" si="4"/>
        <v>0</v>
      </c>
    </row>
    <row r="88" spans="1:14" ht="15.75" x14ac:dyDescent="0.25">
      <c r="A88" s="179"/>
      <c r="B88" s="210" t="s">
        <v>732</v>
      </c>
      <c r="C88" s="209">
        <f>D88+E88+F88</f>
        <v>595.82249000000002</v>
      </c>
      <c r="D88" s="209">
        <v>0</v>
      </c>
      <c r="E88" s="209">
        <v>536.24023999999997</v>
      </c>
      <c r="F88" s="209">
        <v>59.582250000000002</v>
      </c>
      <c r="G88" s="209">
        <f>H88+I88+J88</f>
        <v>595.82249000000002</v>
      </c>
      <c r="H88" s="209">
        <v>0</v>
      </c>
      <c r="I88" s="209">
        <v>536.24023999999997</v>
      </c>
      <c r="J88" s="209">
        <v>59.582250000000002</v>
      </c>
      <c r="K88" s="209">
        <v>0</v>
      </c>
      <c r="L88" s="209">
        <f t="shared" si="4"/>
        <v>0</v>
      </c>
      <c r="M88" s="208">
        <f t="shared" si="4"/>
        <v>0</v>
      </c>
      <c r="N88" s="207">
        <f t="shared" si="4"/>
        <v>0</v>
      </c>
    </row>
    <row r="89" spans="1:14" ht="15.75" x14ac:dyDescent="0.25">
      <c r="A89" s="179"/>
      <c r="B89" s="210" t="s">
        <v>731</v>
      </c>
      <c r="C89" s="209">
        <f>D89+E89+F89</f>
        <v>595.82249000000002</v>
      </c>
      <c r="D89" s="209">
        <v>0</v>
      </c>
      <c r="E89" s="209">
        <v>536.24023999999997</v>
      </c>
      <c r="F89" s="209">
        <v>59.582250000000002</v>
      </c>
      <c r="G89" s="209">
        <f>H89+I89+J89</f>
        <v>595.82249000000002</v>
      </c>
      <c r="H89" s="209">
        <v>0</v>
      </c>
      <c r="I89" s="209">
        <v>536.24023999999997</v>
      </c>
      <c r="J89" s="209">
        <v>59.582250000000002</v>
      </c>
      <c r="K89" s="209">
        <v>0</v>
      </c>
      <c r="L89" s="209">
        <f t="shared" si="4"/>
        <v>0</v>
      </c>
      <c r="M89" s="208">
        <f t="shared" si="4"/>
        <v>0</v>
      </c>
      <c r="N89" s="207">
        <f t="shared" si="4"/>
        <v>0</v>
      </c>
    </row>
    <row r="90" spans="1:14" ht="15.75" x14ac:dyDescent="0.25">
      <c r="A90" s="179"/>
      <c r="B90" s="210" t="s">
        <v>730</v>
      </c>
      <c r="C90" s="209">
        <f>D90+E90+F90</f>
        <v>595.82249000000002</v>
      </c>
      <c r="D90" s="209">
        <v>0</v>
      </c>
      <c r="E90" s="209">
        <v>536.24023999999997</v>
      </c>
      <c r="F90" s="209">
        <v>59.582250000000002</v>
      </c>
      <c r="G90" s="209">
        <f>H90+I90+J90</f>
        <v>595.82249000000002</v>
      </c>
      <c r="H90" s="209">
        <v>0</v>
      </c>
      <c r="I90" s="209">
        <v>536.24023999999997</v>
      </c>
      <c r="J90" s="209">
        <v>59.582250000000002</v>
      </c>
      <c r="K90" s="209">
        <v>0</v>
      </c>
      <c r="L90" s="209">
        <f t="shared" si="4"/>
        <v>0</v>
      </c>
      <c r="M90" s="208">
        <f t="shared" si="4"/>
        <v>0</v>
      </c>
      <c r="N90" s="207">
        <f t="shared" si="4"/>
        <v>0</v>
      </c>
    </row>
    <row r="91" spans="1:14" s="177" customFormat="1" ht="31.5" x14ac:dyDescent="0.25">
      <c r="A91" s="172" t="s">
        <v>706</v>
      </c>
      <c r="B91" s="173" t="s">
        <v>471</v>
      </c>
      <c r="C91" s="192">
        <f>C92+C93</f>
        <v>207</v>
      </c>
      <c r="D91" s="192">
        <v>0</v>
      </c>
      <c r="E91" s="192">
        <v>0</v>
      </c>
      <c r="F91" s="192">
        <f>F92+F93</f>
        <v>207</v>
      </c>
      <c r="G91" s="192">
        <v>0</v>
      </c>
      <c r="H91" s="192">
        <v>0</v>
      </c>
      <c r="I91" s="192">
        <v>0</v>
      </c>
      <c r="J91" s="192">
        <v>207</v>
      </c>
      <c r="K91" s="192">
        <v>0</v>
      </c>
      <c r="L91" s="192">
        <f t="shared" si="4"/>
        <v>0</v>
      </c>
      <c r="M91" s="193">
        <f t="shared" si="4"/>
        <v>0</v>
      </c>
      <c r="N91" s="192">
        <f t="shared" si="4"/>
        <v>0</v>
      </c>
    </row>
    <row r="92" spans="1:14" ht="15.75" x14ac:dyDescent="0.25">
      <c r="A92" s="179"/>
      <c r="B92" s="180" t="s">
        <v>707</v>
      </c>
      <c r="C92" s="194">
        <f>F92</f>
        <v>192</v>
      </c>
      <c r="D92" s="194">
        <v>0</v>
      </c>
      <c r="E92" s="194">
        <v>0</v>
      </c>
      <c r="F92" s="194">
        <v>192</v>
      </c>
      <c r="G92" s="194">
        <f>J92</f>
        <v>192</v>
      </c>
      <c r="H92" s="194">
        <v>0</v>
      </c>
      <c r="I92" s="194">
        <v>0</v>
      </c>
      <c r="J92" s="194">
        <v>192</v>
      </c>
      <c r="K92" s="194">
        <v>0</v>
      </c>
      <c r="L92" s="194">
        <f t="shared" si="4"/>
        <v>0</v>
      </c>
      <c r="M92" s="195">
        <f t="shared" si="4"/>
        <v>0</v>
      </c>
      <c r="N92" s="196">
        <f t="shared" si="4"/>
        <v>0</v>
      </c>
    </row>
    <row r="93" spans="1:14" ht="31.5" x14ac:dyDescent="0.25">
      <c r="A93" s="179"/>
      <c r="B93" s="180" t="s">
        <v>709</v>
      </c>
      <c r="C93" s="194">
        <f>F93</f>
        <v>15</v>
      </c>
      <c r="D93" s="194">
        <v>0</v>
      </c>
      <c r="E93" s="194">
        <v>0</v>
      </c>
      <c r="F93" s="194">
        <v>15</v>
      </c>
      <c r="G93" s="194">
        <f>J93</f>
        <v>15</v>
      </c>
      <c r="H93" s="194">
        <v>0</v>
      </c>
      <c r="I93" s="194">
        <v>0</v>
      </c>
      <c r="J93" s="194">
        <v>15</v>
      </c>
      <c r="K93" s="194">
        <v>0</v>
      </c>
      <c r="L93" s="194">
        <f t="shared" si="4"/>
        <v>0</v>
      </c>
      <c r="M93" s="195">
        <f t="shared" si="4"/>
        <v>0</v>
      </c>
      <c r="N93" s="196">
        <f t="shared" si="4"/>
        <v>0</v>
      </c>
    </row>
    <row r="94" spans="1:14" ht="15.75" x14ac:dyDescent="0.25">
      <c r="A94" s="181"/>
      <c r="B94" s="182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</row>
    <row r="95" spans="1:14" ht="16.5" x14ac:dyDescent="0.25">
      <c r="B95" s="224" t="s">
        <v>788</v>
      </c>
      <c r="D95" s="225">
        <f>4843.35506+C18-C31</f>
        <v>0</v>
      </c>
    </row>
  </sheetData>
  <mergeCells count="32">
    <mergeCell ref="K1:N1"/>
    <mergeCell ref="K4:N4"/>
    <mergeCell ref="K5:N5"/>
    <mergeCell ref="A7:N7"/>
    <mergeCell ref="J2:N2"/>
    <mergeCell ref="G3:N3"/>
    <mergeCell ref="A10:C10"/>
    <mergeCell ref="A11:C11"/>
    <mergeCell ref="A12:N12"/>
    <mergeCell ref="A14:A17"/>
    <mergeCell ref="B14:B17"/>
    <mergeCell ref="C14:F15"/>
    <mergeCell ref="G14:J15"/>
    <mergeCell ref="K14:N15"/>
    <mergeCell ref="C16:C17"/>
    <mergeCell ref="D16:F16"/>
    <mergeCell ref="L29:N29"/>
    <mergeCell ref="G16:G17"/>
    <mergeCell ref="H16:J16"/>
    <mergeCell ref="K16:K17"/>
    <mergeCell ref="M16:N16"/>
    <mergeCell ref="A25:N25"/>
    <mergeCell ref="A27:A30"/>
    <mergeCell ref="B27:B30"/>
    <mergeCell ref="C27:F28"/>
    <mergeCell ref="G27:J28"/>
    <mergeCell ref="K27:N28"/>
    <mergeCell ref="C29:C30"/>
    <mergeCell ref="D29:F29"/>
    <mergeCell ref="G29:G30"/>
    <mergeCell ref="H29:J29"/>
    <mergeCell ref="K29:K30"/>
  </mergeCells>
  <pageMargins left="0.70866141732283472" right="0.70866141732283472" top="1.1417322834645669" bottom="0.35433070866141736" header="0.31496062992125984" footer="0.31496062992125984"/>
  <pageSetup paperSize="9" scale="40" orientation="landscape" r:id="rId1"/>
  <rowBreaks count="1" manualBreakCount="1">
    <brk id="49" max="13" man="1"/>
  </rowBreaks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499"/>
  <sheetViews>
    <sheetView view="pageBreakPreview" zoomScale="60" zoomScaleNormal="90" workbookViewId="0">
      <selection activeCell="E16" sqref="E16:F16"/>
    </sheetView>
  </sheetViews>
  <sheetFormatPr defaultRowHeight="12.75" x14ac:dyDescent="0.2"/>
  <cols>
    <col min="1" max="1" width="8" style="271" customWidth="1"/>
    <col min="2" max="2" width="26.28515625" style="271" customWidth="1"/>
    <col min="3" max="3" width="13.140625" style="271" customWidth="1"/>
    <col min="4" max="4" width="10.85546875" style="271" customWidth="1"/>
    <col min="5" max="5" width="14.5703125" style="531" customWidth="1"/>
    <col min="6" max="6" width="12.85546875" style="531" customWidth="1"/>
    <col min="7" max="7" width="10.140625" style="531" customWidth="1"/>
    <col min="8" max="8" width="12.85546875" style="531" customWidth="1"/>
    <col min="9" max="9" width="13.42578125" style="531" customWidth="1"/>
    <col min="10" max="11" width="7.140625" style="531" customWidth="1"/>
    <col min="12" max="12" width="12.5703125" style="532" customWidth="1"/>
    <col min="13" max="13" width="11.7109375" style="271" customWidth="1"/>
    <col min="14" max="14" width="13.140625" style="271" customWidth="1"/>
    <col min="15" max="15" width="12.5703125" style="271" customWidth="1"/>
    <col min="16" max="16" width="9.28515625" style="271" customWidth="1"/>
    <col min="17" max="17" width="12.7109375" style="271" customWidth="1"/>
    <col min="18" max="18" width="13.140625" style="271" customWidth="1"/>
    <col min="19" max="19" width="12.85546875" style="271" customWidth="1"/>
    <col min="20" max="20" width="14.42578125" style="271" customWidth="1"/>
    <col min="21" max="21" width="11" style="271" customWidth="1"/>
    <col min="22" max="23" width="13.140625" style="271" customWidth="1"/>
    <col min="24" max="25" width="8.42578125" style="271" customWidth="1"/>
    <col min="26" max="26" width="11.42578125" style="271" customWidth="1"/>
    <col min="27" max="27" width="14.5703125" style="271" customWidth="1"/>
    <col min="28" max="254" width="9.140625" style="449"/>
    <col min="255" max="255" width="8" style="449" customWidth="1"/>
    <col min="256" max="256" width="26.28515625" style="449" customWidth="1"/>
    <col min="257" max="257" width="13.140625" style="449" customWidth="1"/>
    <col min="258" max="258" width="10.85546875" style="449" customWidth="1"/>
    <col min="259" max="259" width="14.5703125" style="449" customWidth="1"/>
    <col min="260" max="260" width="12.85546875" style="449" customWidth="1"/>
    <col min="261" max="261" width="10.140625" style="449" customWidth="1"/>
    <col min="262" max="263" width="10.28515625" style="449" customWidth="1"/>
    <col min="264" max="265" width="7.140625" style="449" customWidth="1"/>
    <col min="266" max="266" width="12.5703125" style="449" customWidth="1"/>
    <col min="267" max="267" width="9.5703125" style="449" customWidth="1"/>
    <col min="268" max="268" width="13.140625" style="449" customWidth="1"/>
    <col min="269" max="269" width="12.5703125" style="449" customWidth="1"/>
    <col min="270" max="270" width="9.28515625" style="449" customWidth="1"/>
    <col min="271" max="271" width="12.7109375" style="449" customWidth="1"/>
    <col min="272" max="272" width="11" style="449" customWidth="1"/>
    <col min="273" max="273" width="12.85546875" style="449" customWidth="1"/>
    <col min="274" max="274" width="11.140625" style="449" customWidth="1"/>
    <col min="275" max="275" width="11" style="449" customWidth="1"/>
    <col min="276" max="277" width="13.140625" style="449" customWidth="1"/>
    <col min="278" max="279" width="8.42578125" style="449" customWidth="1"/>
    <col min="280" max="280" width="11.42578125" style="449" customWidth="1"/>
    <col min="281" max="281" width="14.5703125" style="449" customWidth="1"/>
    <col min="282" max="510" width="9.140625" style="449"/>
    <col min="511" max="511" width="8" style="449" customWidth="1"/>
    <col min="512" max="512" width="26.28515625" style="449" customWidth="1"/>
    <col min="513" max="513" width="13.140625" style="449" customWidth="1"/>
    <col min="514" max="514" width="10.85546875" style="449" customWidth="1"/>
    <col min="515" max="515" width="14.5703125" style="449" customWidth="1"/>
    <col min="516" max="516" width="12.85546875" style="449" customWidth="1"/>
    <col min="517" max="517" width="10.140625" style="449" customWidth="1"/>
    <col min="518" max="519" width="10.28515625" style="449" customWidth="1"/>
    <col min="520" max="521" width="7.140625" style="449" customWidth="1"/>
    <col min="522" max="522" width="12.5703125" style="449" customWidth="1"/>
    <col min="523" max="523" width="9.5703125" style="449" customWidth="1"/>
    <col min="524" max="524" width="13.140625" style="449" customWidth="1"/>
    <col min="525" max="525" width="12.5703125" style="449" customWidth="1"/>
    <col min="526" max="526" width="9.28515625" style="449" customWidth="1"/>
    <col min="527" max="527" width="12.7109375" style="449" customWidth="1"/>
    <col min="528" max="528" width="11" style="449" customWidth="1"/>
    <col min="529" max="529" width="12.85546875" style="449" customWidth="1"/>
    <col min="530" max="530" width="11.140625" style="449" customWidth="1"/>
    <col min="531" max="531" width="11" style="449" customWidth="1"/>
    <col min="532" max="533" width="13.140625" style="449" customWidth="1"/>
    <col min="534" max="535" width="8.42578125" style="449" customWidth="1"/>
    <col min="536" max="536" width="11.42578125" style="449" customWidth="1"/>
    <col min="537" max="537" width="14.5703125" style="449" customWidth="1"/>
    <col min="538" max="766" width="9.140625" style="449"/>
    <col min="767" max="767" width="8" style="449" customWidth="1"/>
    <col min="768" max="768" width="26.28515625" style="449" customWidth="1"/>
    <col min="769" max="769" width="13.140625" style="449" customWidth="1"/>
    <col min="770" max="770" width="10.85546875" style="449" customWidth="1"/>
    <col min="771" max="771" width="14.5703125" style="449" customWidth="1"/>
    <col min="772" max="772" width="12.85546875" style="449" customWidth="1"/>
    <col min="773" max="773" width="10.140625" style="449" customWidth="1"/>
    <col min="774" max="775" width="10.28515625" style="449" customWidth="1"/>
    <col min="776" max="777" width="7.140625" style="449" customWidth="1"/>
    <col min="778" max="778" width="12.5703125" style="449" customWidth="1"/>
    <col min="779" max="779" width="9.5703125" style="449" customWidth="1"/>
    <col min="780" max="780" width="13.140625" style="449" customWidth="1"/>
    <col min="781" max="781" width="12.5703125" style="449" customWidth="1"/>
    <col min="782" max="782" width="9.28515625" style="449" customWidth="1"/>
    <col min="783" max="783" width="12.7109375" style="449" customWidth="1"/>
    <col min="784" max="784" width="11" style="449" customWidth="1"/>
    <col min="785" max="785" width="12.85546875" style="449" customWidth="1"/>
    <col min="786" max="786" width="11.140625" style="449" customWidth="1"/>
    <col min="787" max="787" width="11" style="449" customWidth="1"/>
    <col min="788" max="789" width="13.140625" style="449" customWidth="1"/>
    <col min="790" max="791" width="8.42578125" style="449" customWidth="1"/>
    <col min="792" max="792" width="11.42578125" style="449" customWidth="1"/>
    <col min="793" max="793" width="14.5703125" style="449" customWidth="1"/>
    <col min="794" max="1022" width="9.140625" style="449"/>
    <col min="1023" max="1023" width="8" style="449" customWidth="1"/>
    <col min="1024" max="1024" width="26.28515625" style="449" customWidth="1"/>
    <col min="1025" max="1025" width="13.140625" style="449" customWidth="1"/>
    <col min="1026" max="1026" width="10.85546875" style="449" customWidth="1"/>
    <col min="1027" max="1027" width="14.5703125" style="449" customWidth="1"/>
    <col min="1028" max="1028" width="12.85546875" style="449" customWidth="1"/>
    <col min="1029" max="1029" width="10.140625" style="449" customWidth="1"/>
    <col min="1030" max="1031" width="10.28515625" style="449" customWidth="1"/>
    <col min="1032" max="1033" width="7.140625" style="449" customWidth="1"/>
    <col min="1034" max="1034" width="12.5703125" style="449" customWidth="1"/>
    <col min="1035" max="1035" width="9.5703125" style="449" customWidth="1"/>
    <col min="1036" max="1036" width="13.140625" style="449" customWidth="1"/>
    <col min="1037" max="1037" width="12.5703125" style="449" customWidth="1"/>
    <col min="1038" max="1038" width="9.28515625" style="449" customWidth="1"/>
    <col min="1039" max="1039" width="12.7109375" style="449" customWidth="1"/>
    <col min="1040" max="1040" width="11" style="449" customWidth="1"/>
    <col min="1041" max="1041" width="12.85546875" style="449" customWidth="1"/>
    <col min="1042" max="1042" width="11.140625" style="449" customWidth="1"/>
    <col min="1043" max="1043" width="11" style="449" customWidth="1"/>
    <col min="1044" max="1045" width="13.140625" style="449" customWidth="1"/>
    <col min="1046" max="1047" width="8.42578125" style="449" customWidth="1"/>
    <col min="1048" max="1048" width="11.42578125" style="449" customWidth="1"/>
    <col min="1049" max="1049" width="14.5703125" style="449" customWidth="1"/>
    <col min="1050" max="1278" width="9.140625" style="449"/>
    <col min="1279" max="1279" width="8" style="449" customWidth="1"/>
    <col min="1280" max="1280" width="26.28515625" style="449" customWidth="1"/>
    <col min="1281" max="1281" width="13.140625" style="449" customWidth="1"/>
    <col min="1282" max="1282" width="10.85546875" style="449" customWidth="1"/>
    <col min="1283" max="1283" width="14.5703125" style="449" customWidth="1"/>
    <col min="1284" max="1284" width="12.85546875" style="449" customWidth="1"/>
    <col min="1285" max="1285" width="10.140625" style="449" customWidth="1"/>
    <col min="1286" max="1287" width="10.28515625" style="449" customWidth="1"/>
    <col min="1288" max="1289" width="7.140625" style="449" customWidth="1"/>
    <col min="1290" max="1290" width="12.5703125" style="449" customWidth="1"/>
    <col min="1291" max="1291" width="9.5703125" style="449" customWidth="1"/>
    <col min="1292" max="1292" width="13.140625" style="449" customWidth="1"/>
    <col min="1293" max="1293" width="12.5703125" style="449" customWidth="1"/>
    <col min="1294" max="1294" width="9.28515625" style="449" customWidth="1"/>
    <col min="1295" max="1295" width="12.7109375" style="449" customWidth="1"/>
    <col min="1296" max="1296" width="11" style="449" customWidth="1"/>
    <col min="1297" max="1297" width="12.85546875" style="449" customWidth="1"/>
    <col min="1298" max="1298" width="11.140625" style="449" customWidth="1"/>
    <col min="1299" max="1299" width="11" style="449" customWidth="1"/>
    <col min="1300" max="1301" width="13.140625" style="449" customWidth="1"/>
    <col min="1302" max="1303" width="8.42578125" style="449" customWidth="1"/>
    <col min="1304" max="1304" width="11.42578125" style="449" customWidth="1"/>
    <col min="1305" max="1305" width="14.5703125" style="449" customWidth="1"/>
    <col min="1306" max="1534" width="9.140625" style="449"/>
    <col min="1535" max="1535" width="8" style="449" customWidth="1"/>
    <col min="1536" max="1536" width="26.28515625" style="449" customWidth="1"/>
    <col min="1537" max="1537" width="13.140625" style="449" customWidth="1"/>
    <col min="1538" max="1538" width="10.85546875" style="449" customWidth="1"/>
    <col min="1539" max="1539" width="14.5703125" style="449" customWidth="1"/>
    <col min="1540" max="1540" width="12.85546875" style="449" customWidth="1"/>
    <col min="1541" max="1541" width="10.140625" style="449" customWidth="1"/>
    <col min="1542" max="1543" width="10.28515625" style="449" customWidth="1"/>
    <col min="1544" max="1545" width="7.140625" style="449" customWidth="1"/>
    <col min="1546" max="1546" width="12.5703125" style="449" customWidth="1"/>
    <col min="1547" max="1547" width="9.5703125" style="449" customWidth="1"/>
    <col min="1548" max="1548" width="13.140625" style="449" customWidth="1"/>
    <col min="1549" max="1549" width="12.5703125" style="449" customWidth="1"/>
    <col min="1550" max="1550" width="9.28515625" style="449" customWidth="1"/>
    <col min="1551" max="1551" width="12.7109375" style="449" customWidth="1"/>
    <col min="1552" max="1552" width="11" style="449" customWidth="1"/>
    <col min="1553" max="1553" width="12.85546875" style="449" customWidth="1"/>
    <col min="1554" max="1554" width="11.140625" style="449" customWidth="1"/>
    <col min="1555" max="1555" width="11" style="449" customWidth="1"/>
    <col min="1556" max="1557" width="13.140625" style="449" customWidth="1"/>
    <col min="1558" max="1559" width="8.42578125" style="449" customWidth="1"/>
    <col min="1560" max="1560" width="11.42578125" style="449" customWidth="1"/>
    <col min="1561" max="1561" width="14.5703125" style="449" customWidth="1"/>
    <col min="1562" max="1790" width="9.140625" style="449"/>
    <col min="1791" max="1791" width="8" style="449" customWidth="1"/>
    <col min="1792" max="1792" width="26.28515625" style="449" customWidth="1"/>
    <col min="1793" max="1793" width="13.140625" style="449" customWidth="1"/>
    <col min="1794" max="1794" width="10.85546875" style="449" customWidth="1"/>
    <col min="1795" max="1795" width="14.5703125" style="449" customWidth="1"/>
    <col min="1796" max="1796" width="12.85546875" style="449" customWidth="1"/>
    <col min="1797" max="1797" width="10.140625" style="449" customWidth="1"/>
    <col min="1798" max="1799" width="10.28515625" style="449" customWidth="1"/>
    <col min="1800" max="1801" width="7.140625" style="449" customWidth="1"/>
    <col min="1802" max="1802" width="12.5703125" style="449" customWidth="1"/>
    <col min="1803" max="1803" width="9.5703125" style="449" customWidth="1"/>
    <col min="1804" max="1804" width="13.140625" style="449" customWidth="1"/>
    <col min="1805" max="1805" width="12.5703125" style="449" customWidth="1"/>
    <col min="1806" max="1806" width="9.28515625" style="449" customWidth="1"/>
    <col min="1807" max="1807" width="12.7109375" style="449" customWidth="1"/>
    <col min="1808" max="1808" width="11" style="449" customWidth="1"/>
    <col min="1809" max="1809" width="12.85546875" style="449" customWidth="1"/>
    <col min="1810" max="1810" width="11.140625" style="449" customWidth="1"/>
    <col min="1811" max="1811" width="11" style="449" customWidth="1"/>
    <col min="1812" max="1813" width="13.140625" style="449" customWidth="1"/>
    <col min="1814" max="1815" width="8.42578125" style="449" customWidth="1"/>
    <col min="1816" max="1816" width="11.42578125" style="449" customWidth="1"/>
    <col min="1817" max="1817" width="14.5703125" style="449" customWidth="1"/>
    <col min="1818" max="2046" width="9.140625" style="449"/>
    <col min="2047" max="2047" width="8" style="449" customWidth="1"/>
    <col min="2048" max="2048" width="26.28515625" style="449" customWidth="1"/>
    <col min="2049" max="2049" width="13.140625" style="449" customWidth="1"/>
    <col min="2050" max="2050" width="10.85546875" style="449" customWidth="1"/>
    <col min="2051" max="2051" width="14.5703125" style="449" customWidth="1"/>
    <col min="2052" max="2052" width="12.85546875" style="449" customWidth="1"/>
    <col min="2053" max="2053" width="10.140625" style="449" customWidth="1"/>
    <col min="2054" max="2055" width="10.28515625" style="449" customWidth="1"/>
    <col min="2056" max="2057" width="7.140625" style="449" customWidth="1"/>
    <col min="2058" max="2058" width="12.5703125" style="449" customWidth="1"/>
    <col min="2059" max="2059" width="9.5703125" style="449" customWidth="1"/>
    <col min="2060" max="2060" width="13.140625" style="449" customWidth="1"/>
    <col min="2061" max="2061" width="12.5703125" style="449" customWidth="1"/>
    <col min="2062" max="2062" width="9.28515625" style="449" customWidth="1"/>
    <col min="2063" max="2063" width="12.7109375" style="449" customWidth="1"/>
    <col min="2064" max="2064" width="11" style="449" customWidth="1"/>
    <col min="2065" max="2065" width="12.85546875" style="449" customWidth="1"/>
    <col min="2066" max="2066" width="11.140625" style="449" customWidth="1"/>
    <col min="2067" max="2067" width="11" style="449" customWidth="1"/>
    <col min="2068" max="2069" width="13.140625" style="449" customWidth="1"/>
    <col min="2070" max="2071" width="8.42578125" style="449" customWidth="1"/>
    <col min="2072" max="2072" width="11.42578125" style="449" customWidth="1"/>
    <col min="2073" max="2073" width="14.5703125" style="449" customWidth="1"/>
    <col min="2074" max="2302" width="9.140625" style="449"/>
    <col min="2303" max="2303" width="8" style="449" customWidth="1"/>
    <col min="2304" max="2304" width="26.28515625" style="449" customWidth="1"/>
    <col min="2305" max="2305" width="13.140625" style="449" customWidth="1"/>
    <col min="2306" max="2306" width="10.85546875" style="449" customWidth="1"/>
    <col min="2307" max="2307" width="14.5703125" style="449" customWidth="1"/>
    <col min="2308" max="2308" width="12.85546875" style="449" customWidth="1"/>
    <col min="2309" max="2309" width="10.140625" style="449" customWidth="1"/>
    <col min="2310" max="2311" width="10.28515625" style="449" customWidth="1"/>
    <col min="2312" max="2313" width="7.140625" style="449" customWidth="1"/>
    <col min="2314" max="2314" width="12.5703125" style="449" customWidth="1"/>
    <col min="2315" max="2315" width="9.5703125" style="449" customWidth="1"/>
    <col min="2316" max="2316" width="13.140625" style="449" customWidth="1"/>
    <col min="2317" max="2317" width="12.5703125" style="449" customWidth="1"/>
    <col min="2318" max="2318" width="9.28515625" style="449" customWidth="1"/>
    <col min="2319" max="2319" width="12.7109375" style="449" customWidth="1"/>
    <col min="2320" max="2320" width="11" style="449" customWidth="1"/>
    <col min="2321" max="2321" width="12.85546875" style="449" customWidth="1"/>
    <col min="2322" max="2322" width="11.140625" style="449" customWidth="1"/>
    <col min="2323" max="2323" width="11" style="449" customWidth="1"/>
    <col min="2324" max="2325" width="13.140625" style="449" customWidth="1"/>
    <col min="2326" max="2327" width="8.42578125" style="449" customWidth="1"/>
    <col min="2328" max="2328" width="11.42578125" style="449" customWidth="1"/>
    <col min="2329" max="2329" width="14.5703125" style="449" customWidth="1"/>
    <col min="2330" max="2558" width="9.140625" style="449"/>
    <col min="2559" max="2559" width="8" style="449" customWidth="1"/>
    <col min="2560" max="2560" width="26.28515625" style="449" customWidth="1"/>
    <col min="2561" max="2561" width="13.140625" style="449" customWidth="1"/>
    <col min="2562" max="2562" width="10.85546875" style="449" customWidth="1"/>
    <col min="2563" max="2563" width="14.5703125" style="449" customWidth="1"/>
    <col min="2564" max="2564" width="12.85546875" style="449" customWidth="1"/>
    <col min="2565" max="2565" width="10.140625" style="449" customWidth="1"/>
    <col min="2566" max="2567" width="10.28515625" style="449" customWidth="1"/>
    <col min="2568" max="2569" width="7.140625" style="449" customWidth="1"/>
    <col min="2570" max="2570" width="12.5703125" style="449" customWidth="1"/>
    <col min="2571" max="2571" width="9.5703125" style="449" customWidth="1"/>
    <col min="2572" max="2572" width="13.140625" style="449" customWidth="1"/>
    <col min="2573" max="2573" width="12.5703125" style="449" customWidth="1"/>
    <col min="2574" max="2574" width="9.28515625" style="449" customWidth="1"/>
    <col min="2575" max="2575" width="12.7109375" style="449" customWidth="1"/>
    <col min="2576" max="2576" width="11" style="449" customWidth="1"/>
    <col min="2577" max="2577" width="12.85546875" style="449" customWidth="1"/>
    <col min="2578" max="2578" width="11.140625" style="449" customWidth="1"/>
    <col min="2579" max="2579" width="11" style="449" customWidth="1"/>
    <col min="2580" max="2581" width="13.140625" style="449" customWidth="1"/>
    <col min="2582" max="2583" width="8.42578125" style="449" customWidth="1"/>
    <col min="2584" max="2584" width="11.42578125" style="449" customWidth="1"/>
    <col min="2585" max="2585" width="14.5703125" style="449" customWidth="1"/>
    <col min="2586" max="2814" width="9.140625" style="449"/>
    <col min="2815" max="2815" width="8" style="449" customWidth="1"/>
    <col min="2816" max="2816" width="26.28515625" style="449" customWidth="1"/>
    <col min="2817" max="2817" width="13.140625" style="449" customWidth="1"/>
    <col min="2818" max="2818" width="10.85546875" style="449" customWidth="1"/>
    <col min="2819" max="2819" width="14.5703125" style="449" customWidth="1"/>
    <col min="2820" max="2820" width="12.85546875" style="449" customWidth="1"/>
    <col min="2821" max="2821" width="10.140625" style="449" customWidth="1"/>
    <col min="2822" max="2823" width="10.28515625" style="449" customWidth="1"/>
    <col min="2824" max="2825" width="7.140625" style="449" customWidth="1"/>
    <col min="2826" max="2826" width="12.5703125" style="449" customWidth="1"/>
    <col min="2827" max="2827" width="9.5703125" style="449" customWidth="1"/>
    <col min="2828" max="2828" width="13.140625" style="449" customWidth="1"/>
    <col min="2829" max="2829" width="12.5703125" style="449" customWidth="1"/>
    <col min="2830" max="2830" width="9.28515625" style="449" customWidth="1"/>
    <col min="2831" max="2831" width="12.7109375" style="449" customWidth="1"/>
    <col min="2832" max="2832" width="11" style="449" customWidth="1"/>
    <col min="2833" max="2833" width="12.85546875" style="449" customWidth="1"/>
    <col min="2834" max="2834" width="11.140625" style="449" customWidth="1"/>
    <col min="2835" max="2835" width="11" style="449" customWidth="1"/>
    <col min="2836" max="2837" width="13.140625" style="449" customWidth="1"/>
    <col min="2838" max="2839" width="8.42578125" style="449" customWidth="1"/>
    <col min="2840" max="2840" width="11.42578125" style="449" customWidth="1"/>
    <col min="2841" max="2841" width="14.5703125" style="449" customWidth="1"/>
    <col min="2842" max="3070" width="9.140625" style="449"/>
    <col min="3071" max="3071" width="8" style="449" customWidth="1"/>
    <col min="3072" max="3072" width="26.28515625" style="449" customWidth="1"/>
    <col min="3073" max="3073" width="13.140625" style="449" customWidth="1"/>
    <col min="3074" max="3074" width="10.85546875" style="449" customWidth="1"/>
    <col min="3075" max="3075" width="14.5703125" style="449" customWidth="1"/>
    <col min="3076" max="3076" width="12.85546875" style="449" customWidth="1"/>
    <col min="3077" max="3077" width="10.140625" style="449" customWidth="1"/>
    <col min="3078" max="3079" width="10.28515625" style="449" customWidth="1"/>
    <col min="3080" max="3081" width="7.140625" style="449" customWidth="1"/>
    <col min="3082" max="3082" width="12.5703125" style="449" customWidth="1"/>
    <col min="3083" max="3083" width="9.5703125" style="449" customWidth="1"/>
    <col min="3084" max="3084" width="13.140625" style="449" customWidth="1"/>
    <col min="3085" max="3085" width="12.5703125" style="449" customWidth="1"/>
    <col min="3086" max="3086" width="9.28515625" style="449" customWidth="1"/>
    <col min="3087" max="3087" width="12.7109375" style="449" customWidth="1"/>
    <col min="3088" max="3088" width="11" style="449" customWidth="1"/>
    <col min="3089" max="3089" width="12.85546875" style="449" customWidth="1"/>
    <col min="3090" max="3090" width="11.140625" style="449" customWidth="1"/>
    <col min="3091" max="3091" width="11" style="449" customWidth="1"/>
    <col min="3092" max="3093" width="13.140625" style="449" customWidth="1"/>
    <col min="3094" max="3095" width="8.42578125" style="449" customWidth="1"/>
    <col min="3096" max="3096" width="11.42578125" style="449" customWidth="1"/>
    <col min="3097" max="3097" width="14.5703125" style="449" customWidth="1"/>
    <col min="3098" max="3326" width="9.140625" style="449"/>
    <col min="3327" max="3327" width="8" style="449" customWidth="1"/>
    <col min="3328" max="3328" width="26.28515625" style="449" customWidth="1"/>
    <col min="3329" max="3329" width="13.140625" style="449" customWidth="1"/>
    <col min="3330" max="3330" width="10.85546875" style="449" customWidth="1"/>
    <col min="3331" max="3331" width="14.5703125" style="449" customWidth="1"/>
    <col min="3332" max="3332" width="12.85546875" style="449" customWidth="1"/>
    <col min="3333" max="3333" width="10.140625" style="449" customWidth="1"/>
    <col min="3334" max="3335" width="10.28515625" style="449" customWidth="1"/>
    <col min="3336" max="3337" width="7.140625" style="449" customWidth="1"/>
    <col min="3338" max="3338" width="12.5703125" style="449" customWidth="1"/>
    <col min="3339" max="3339" width="9.5703125" style="449" customWidth="1"/>
    <col min="3340" max="3340" width="13.140625" style="449" customWidth="1"/>
    <col min="3341" max="3341" width="12.5703125" style="449" customWidth="1"/>
    <col min="3342" max="3342" width="9.28515625" style="449" customWidth="1"/>
    <col min="3343" max="3343" width="12.7109375" style="449" customWidth="1"/>
    <col min="3344" max="3344" width="11" style="449" customWidth="1"/>
    <col min="3345" max="3345" width="12.85546875" style="449" customWidth="1"/>
    <col min="3346" max="3346" width="11.140625" style="449" customWidth="1"/>
    <col min="3347" max="3347" width="11" style="449" customWidth="1"/>
    <col min="3348" max="3349" width="13.140625" style="449" customWidth="1"/>
    <col min="3350" max="3351" width="8.42578125" style="449" customWidth="1"/>
    <col min="3352" max="3352" width="11.42578125" style="449" customWidth="1"/>
    <col min="3353" max="3353" width="14.5703125" style="449" customWidth="1"/>
    <col min="3354" max="3582" width="9.140625" style="449"/>
    <col min="3583" max="3583" width="8" style="449" customWidth="1"/>
    <col min="3584" max="3584" width="26.28515625" style="449" customWidth="1"/>
    <col min="3585" max="3585" width="13.140625" style="449" customWidth="1"/>
    <col min="3586" max="3586" width="10.85546875" style="449" customWidth="1"/>
    <col min="3587" max="3587" width="14.5703125" style="449" customWidth="1"/>
    <col min="3588" max="3588" width="12.85546875" style="449" customWidth="1"/>
    <col min="3589" max="3589" width="10.140625" style="449" customWidth="1"/>
    <col min="3590" max="3591" width="10.28515625" style="449" customWidth="1"/>
    <col min="3592" max="3593" width="7.140625" style="449" customWidth="1"/>
    <col min="3594" max="3594" width="12.5703125" style="449" customWidth="1"/>
    <col min="3595" max="3595" width="9.5703125" style="449" customWidth="1"/>
    <col min="3596" max="3596" width="13.140625" style="449" customWidth="1"/>
    <col min="3597" max="3597" width="12.5703125" style="449" customWidth="1"/>
    <col min="3598" max="3598" width="9.28515625" style="449" customWidth="1"/>
    <col min="3599" max="3599" width="12.7109375" style="449" customWidth="1"/>
    <col min="3600" max="3600" width="11" style="449" customWidth="1"/>
    <col min="3601" max="3601" width="12.85546875" style="449" customWidth="1"/>
    <col min="3602" max="3602" width="11.140625" style="449" customWidth="1"/>
    <col min="3603" max="3603" width="11" style="449" customWidth="1"/>
    <col min="3604" max="3605" width="13.140625" style="449" customWidth="1"/>
    <col min="3606" max="3607" width="8.42578125" style="449" customWidth="1"/>
    <col min="3608" max="3608" width="11.42578125" style="449" customWidth="1"/>
    <col min="3609" max="3609" width="14.5703125" style="449" customWidth="1"/>
    <col min="3610" max="3838" width="9.140625" style="449"/>
    <col min="3839" max="3839" width="8" style="449" customWidth="1"/>
    <col min="3840" max="3840" width="26.28515625" style="449" customWidth="1"/>
    <col min="3841" max="3841" width="13.140625" style="449" customWidth="1"/>
    <col min="3842" max="3842" width="10.85546875" style="449" customWidth="1"/>
    <col min="3843" max="3843" width="14.5703125" style="449" customWidth="1"/>
    <col min="3844" max="3844" width="12.85546875" style="449" customWidth="1"/>
    <col min="3845" max="3845" width="10.140625" style="449" customWidth="1"/>
    <col min="3846" max="3847" width="10.28515625" style="449" customWidth="1"/>
    <col min="3848" max="3849" width="7.140625" style="449" customWidth="1"/>
    <col min="3850" max="3850" width="12.5703125" style="449" customWidth="1"/>
    <col min="3851" max="3851" width="9.5703125" style="449" customWidth="1"/>
    <col min="3852" max="3852" width="13.140625" style="449" customWidth="1"/>
    <col min="3853" max="3853" width="12.5703125" style="449" customWidth="1"/>
    <col min="3854" max="3854" width="9.28515625" style="449" customWidth="1"/>
    <col min="3855" max="3855" width="12.7109375" style="449" customWidth="1"/>
    <col min="3856" max="3856" width="11" style="449" customWidth="1"/>
    <col min="3857" max="3857" width="12.85546875" style="449" customWidth="1"/>
    <col min="3858" max="3858" width="11.140625" style="449" customWidth="1"/>
    <col min="3859" max="3859" width="11" style="449" customWidth="1"/>
    <col min="3860" max="3861" width="13.140625" style="449" customWidth="1"/>
    <col min="3862" max="3863" width="8.42578125" style="449" customWidth="1"/>
    <col min="3864" max="3864" width="11.42578125" style="449" customWidth="1"/>
    <col min="3865" max="3865" width="14.5703125" style="449" customWidth="1"/>
    <col min="3866" max="4094" width="9.140625" style="449"/>
    <col min="4095" max="4095" width="8" style="449" customWidth="1"/>
    <col min="4096" max="4096" width="26.28515625" style="449" customWidth="1"/>
    <col min="4097" max="4097" width="13.140625" style="449" customWidth="1"/>
    <col min="4098" max="4098" width="10.85546875" style="449" customWidth="1"/>
    <col min="4099" max="4099" width="14.5703125" style="449" customWidth="1"/>
    <col min="4100" max="4100" width="12.85546875" style="449" customWidth="1"/>
    <col min="4101" max="4101" width="10.140625" style="449" customWidth="1"/>
    <col min="4102" max="4103" width="10.28515625" style="449" customWidth="1"/>
    <col min="4104" max="4105" width="7.140625" style="449" customWidth="1"/>
    <col min="4106" max="4106" width="12.5703125" style="449" customWidth="1"/>
    <col min="4107" max="4107" width="9.5703125" style="449" customWidth="1"/>
    <col min="4108" max="4108" width="13.140625" style="449" customWidth="1"/>
    <col min="4109" max="4109" width="12.5703125" style="449" customWidth="1"/>
    <col min="4110" max="4110" width="9.28515625" style="449" customWidth="1"/>
    <col min="4111" max="4111" width="12.7109375" style="449" customWidth="1"/>
    <col min="4112" max="4112" width="11" style="449" customWidth="1"/>
    <col min="4113" max="4113" width="12.85546875" style="449" customWidth="1"/>
    <col min="4114" max="4114" width="11.140625" style="449" customWidth="1"/>
    <col min="4115" max="4115" width="11" style="449" customWidth="1"/>
    <col min="4116" max="4117" width="13.140625" style="449" customWidth="1"/>
    <col min="4118" max="4119" width="8.42578125" style="449" customWidth="1"/>
    <col min="4120" max="4120" width="11.42578125" style="449" customWidth="1"/>
    <col min="4121" max="4121" width="14.5703125" style="449" customWidth="1"/>
    <col min="4122" max="4350" width="9.140625" style="449"/>
    <col min="4351" max="4351" width="8" style="449" customWidth="1"/>
    <col min="4352" max="4352" width="26.28515625" style="449" customWidth="1"/>
    <col min="4353" max="4353" width="13.140625" style="449" customWidth="1"/>
    <col min="4354" max="4354" width="10.85546875" style="449" customWidth="1"/>
    <col min="4355" max="4355" width="14.5703125" style="449" customWidth="1"/>
    <col min="4356" max="4356" width="12.85546875" style="449" customWidth="1"/>
    <col min="4357" max="4357" width="10.140625" style="449" customWidth="1"/>
    <col min="4358" max="4359" width="10.28515625" style="449" customWidth="1"/>
    <col min="4360" max="4361" width="7.140625" style="449" customWidth="1"/>
    <col min="4362" max="4362" width="12.5703125" style="449" customWidth="1"/>
    <col min="4363" max="4363" width="9.5703125" style="449" customWidth="1"/>
    <col min="4364" max="4364" width="13.140625" style="449" customWidth="1"/>
    <col min="4365" max="4365" width="12.5703125" style="449" customWidth="1"/>
    <col min="4366" max="4366" width="9.28515625" style="449" customWidth="1"/>
    <col min="4367" max="4367" width="12.7109375" style="449" customWidth="1"/>
    <col min="4368" max="4368" width="11" style="449" customWidth="1"/>
    <col min="4369" max="4369" width="12.85546875" style="449" customWidth="1"/>
    <col min="4370" max="4370" width="11.140625" style="449" customWidth="1"/>
    <col min="4371" max="4371" width="11" style="449" customWidth="1"/>
    <col min="4372" max="4373" width="13.140625" style="449" customWidth="1"/>
    <col min="4374" max="4375" width="8.42578125" style="449" customWidth="1"/>
    <col min="4376" max="4376" width="11.42578125" style="449" customWidth="1"/>
    <col min="4377" max="4377" width="14.5703125" style="449" customWidth="1"/>
    <col min="4378" max="4606" width="9.140625" style="449"/>
    <col min="4607" max="4607" width="8" style="449" customWidth="1"/>
    <col min="4608" max="4608" width="26.28515625" style="449" customWidth="1"/>
    <col min="4609" max="4609" width="13.140625" style="449" customWidth="1"/>
    <col min="4610" max="4610" width="10.85546875" style="449" customWidth="1"/>
    <col min="4611" max="4611" width="14.5703125" style="449" customWidth="1"/>
    <col min="4612" max="4612" width="12.85546875" style="449" customWidth="1"/>
    <col min="4613" max="4613" width="10.140625" style="449" customWidth="1"/>
    <col min="4614" max="4615" width="10.28515625" style="449" customWidth="1"/>
    <col min="4616" max="4617" width="7.140625" style="449" customWidth="1"/>
    <col min="4618" max="4618" width="12.5703125" style="449" customWidth="1"/>
    <col min="4619" max="4619" width="9.5703125" style="449" customWidth="1"/>
    <col min="4620" max="4620" width="13.140625" style="449" customWidth="1"/>
    <col min="4621" max="4621" width="12.5703125" style="449" customWidth="1"/>
    <col min="4622" max="4622" width="9.28515625" style="449" customWidth="1"/>
    <col min="4623" max="4623" width="12.7109375" style="449" customWidth="1"/>
    <col min="4624" max="4624" width="11" style="449" customWidth="1"/>
    <col min="4625" max="4625" width="12.85546875" style="449" customWidth="1"/>
    <col min="4626" max="4626" width="11.140625" style="449" customWidth="1"/>
    <col min="4627" max="4627" width="11" style="449" customWidth="1"/>
    <col min="4628" max="4629" width="13.140625" style="449" customWidth="1"/>
    <col min="4630" max="4631" width="8.42578125" style="449" customWidth="1"/>
    <col min="4632" max="4632" width="11.42578125" style="449" customWidth="1"/>
    <col min="4633" max="4633" width="14.5703125" style="449" customWidth="1"/>
    <col min="4634" max="4862" width="9.140625" style="449"/>
    <col min="4863" max="4863" width="8" style="449" customWidth="1"/>
    <col min="4864" max="4864" width="26.28515625" style="449" customWidth="1"/>
    <col min="4865" max="4865" width="13.140625" style="449" customWidth="1"/>
    <col min="4866" max="4866" width="10.85546875" style="449" customWidth="1"/>
    <col min="4867" max="4867" width="14.5703125" style="449" customWidth="1"/>
    <col min="4868" max="4868" width="12.85546875" style="449" customWidth="1"/>
    <col min="4869" max="4869" width="10.140625" style="449" customWidth="1"/>
    <col min="4870" max="4871" width="10.28515625" style="449" customWidth="1"/>
    <col min="4872" max="4873" width="7.140625" style="449" customWidth="1"/>
    <col min="4874" max="4874" width="12.5703125" style="449" customWidth="1"/>
    <col min="4875" max="4875" width="9.5703125" style="449" customWidth="1"/>
    <col min="4876" max="4876" width="13.140625" style="449" customWidth="1"/>
    <col min="4877" max="4877" width="12.5703125" style="449" customWidth="1"/>
    <col min="4878" max="4878" width="9.28515625" style="449" customWidth="1"/>
    <col min="4879" max="4879" width="12.7109375" style="449" customWidth="1"/>
    <col min="4880" max="4880" width="11" style="449" customWidth="1"/>
    <col min="4881" max="4881" width="12.85546875" style="449" customWidth="1"/>
    <col min="4882" max="4882" width="11.140625" style="449" customWidth="1"/>
    <col min="4883" max="4883" width="11" style="449" customWidth="1"/>
    <col min="4884" max="4885" width="13.140625" style="449" customWidth="1"/>
    <col min="4886" max="4887" width="8.42578125" style="449" customWidth="1"/>
    <col min="4888" max="4888" width="11.42578125" style="449" customWidth="1"/>
    <col min="4889" max="4889" width="14.5703125" style="449" customWidth="1"/>
    <col min="4890" max="5118" width="9.140625" style="449"/>
    <col min="5119" max="5119" width="8" style="449" customWidth="1"/>
    <col min="5120" max="5120" width="26.28515625" style="449" customWidth="1"/>
    <col min="5121" max="5121" width="13.140625" style="449" customWidth="1"/>
    <col min="5122" max="5122" width="10.85546875" style="449" customWidth="1"/>
    <col min="5123" max="5123" width="14.5703125" style="449" customWidth="1"/>
    <col min="5124" max="5124" width="12.85546875" style="449" customWidth="1"/>
    <col min="5125" max="5125" width="10.140625" style="449" customWidth="1"/>
    <col min="5126" max="5127" width="10.28515625" style="449" customWidth="1"/>
    <col min="5128" max="5129" width="7.140625" style="449" customWidth="1"/>
    <col min="5130" max="5130" width="12.5703125" style="449" customWidth="1"/>
    <col min="5131" max="5131" width="9.5703125" style="449" customWidth="1"/>
    <col min="5132" max="5132" width="13.140625" style="449" customWidth="1"/>
    <col min="5133" max="5133" width="12.5703125" style="449" customWidth="1"/>
    <col min="5134" max="5134" width="9.28515625" style="449" customWidth="1"/>
    <col min="5135" max="5135" width="12.7109375" style="449" customWidth="1"/>
    <col min="5136" max="5136" width="11" style="449" customWidth="1"/>
    <col min="5137" max="5137" width="12.85546875" style="449" customWidth="1"/>
    <col min="5138" max="5138" width="11.140625" style="449" customWidth="1"/>
    <col min="5139" max="5139" width="11" style="449" customWidth="1"/>
    <col min="5140" max="5141" width="13.140625" style="449" customWidth="1"/>
    <col min="5142" max="5143" width="8.42578125" style="449" customWidth="1"/>
    <col min="5144" max="5144" width="11.42578125" style="449" customWidth="1"/>
    <col min="5145" max="5145" width="14.5703125" style="449" customWidth="1"/>
    <col min="5146" max="5374" width="9.140625" style="449"/>
    <col min="5375" max="5375" width="8" style="449" customWidth="1"/>
    <col min="5376" max="5376" width="26.28515625" style="449" customWidth="1"/>
    <col min="5377" max="5377" width="13.140625" style="449" customWidth="1"/>
    <col min="5378" max="5378" width="10.85546875" style="449" customWidth="1"/>
    <col min="5379" max="5379" width="14.5703125" style="449" customWidth="1"/>
    <col min="5380" max="5380" width="12.85546875" style="449" customWidth="1"/>
    <col min="5381" max="5381" width="10.140625" style="449" customWidth="1"/>
    <col min="5382" max="5383" width="10.28515625" style="449" customWidth="1"/>
    <col min="5384" max="5385" width="7.140625" style="449" customWidth="1"/>
    <col min="5386" max="5386" width="12.5703125" style="449" customWidth="1"/>
    <col min="5387" max="5387" width="9.5703125" style="449" customWidth="1"/>
    <col min="5388" max="5388" width="13.140625" style="449" customWidth="1"/>
    <col min="5389" max="5389" width="12.5703125" style="449" customWidth="1"/>
    <col min="5390" max="5390" width="9.28515625" style="449" customWidth="1"/>
    <col min="5391" max="5391" width="12.7109375" style="449" customWidth="1"/>
    <col min="5392" max="5392" width="11" style="449" customWidth="1"/>
    <col min="5393" max="5393" width="12.85546875" style="449" customWidth="1"/>
    <col min="5394" max="5394" width="11.140625" style="449" customWidth="1"/>
    <col min="5395" max="5395" width="11" style="449" customWidth="1"/>
    <col min="5396" max="5397" width="13.140625" style="449" customWidth="1"/>
    <col min="5398" max="5399" width="8.42578125" style="449" customWidth="1"/>
    <col min="5400" max="5400" width="11.42578125" style="449" customWidth="1"/>
    <col min="5401" max="5401" width="14.5703125" style="449" customWidth="1"/>
    <col min="5402" max="5630" width="9.140625" style="449"/>
    <col min="5631" max="5631" width="8" style="449" customWidth="1"/>
    <col min="5632" max="5632" width="26.28515625" style="449" customWidth="1"/>
    <col min="5633" max="5633" width="13.140625" style="449" customWidth="1"/>
    <col min="5634" max="5634" width="10.85546875" style="449" customWidth="1"/>
    <col min="5635" max="5635" width="14.5703125" style="449" customWidth="1"/>
    <col min="5636" max="5636" width="12.85546875" style="449" customWidth="1"/>
    <col min="5637" max="5637" width="10.140625" style="449" customWidth="1"/>
    <col min="5638" max="5639" width="10.28515625" style="449" customWidth="1"/>
    <col min="5640" max="5641" width="7.140625" style="449" customWidth="1"/>
    <col min="5642" max="5642" width="12.5703125" style="449" customWidth="1"/>
    <col min="5643" max="5643" width="9.5703125" style="449" customWidth="1"/>
    <col min="5644" max="5644" width="13.140625" style="449" customWidth="1"/>
    <col min="5645" max="5645" width="12.5703125" style="449" customWidth="1"/>
    <col min="5646" max="5646" width="9.28515625" style="449" customWidth="1"/>
    <col min="5647" max="5647" width="12.7109375" style="449" customWidth="1"/>
    <col min="5648" max="5648" width="11" style="449" customWidth="1"/>
    <col min="5649" max="5649" width="12.85546875" style="449" customWidth="1"/>
    <col min="5650" max="5650" width="11.140625" style="449" customWidth="1"/>
    <col min="5651" max="5651" width="11" style="449" customWidth="1"/>
    <col min="5652" max="5653" width="13.140625" style="449" customWidth="1"/>
    <col min="5654" max="5655" width="8.42578125" style="449" customWidth="1"/>
    <col min="5656" max="5656" width="11.42578125" style="449" customWidth="1"/>
    <col min="5657" max="5657" width="14.5703125" style="449" customWidth="1"/>
    <col min="5658" max="5886" width="9.140625" style="449"/>
    <col min="5887" max="5887" width="8" style="449" customWidth="1"/>
    <col min="5888" max="5888" width="26.28515625" style="449" customWidth="1"/>
    <col min="5889" max="5889" width="13.140625" style="449" customWidth="1"/>
    <col min="5890" max="5890" width="10.85546875" style="449" customWidth="1"/>
    <col min="5891" max="5891" width="14.5703125" style="449" customWidth="1"/>
    <col min="5892" max="5892" width="12.85546875" style="449" customWidth="1"/>
    <col min="5893" max="5893" width="10.140625" style="449" customWidth="1"/>
    <col min="5894" max="5895" width="10.28515625" style="449" customWidth="1"/>
    <col min="5896" max="5897" width="7.140625" style="449" customWidth="1"/>
    <col min="5898" max="5898" width="12.5703125" style="449" customWidth="1"/>
    <col min="5899" max="5899" width="9.5703125" style="449" customWidth="1"/>
    <col min="5900" max="5900" width="13.140625" style="449" customWidth="1"/>
    <col min="5901" max="5901" width="12.5703125" style="449" customWidth="1"/>
    <col min="5902" max="5902" width="9.28515625" style="449" customWidth="1"/>
    <col min="5903" max="5903" width="12.7109375" style="449" customWidth="1"/>
    <col min="5904" max="5904" width="11" style="449" customWidth="1"/>
    <col min="5905" max="5905" width="12.85546875" style="449" customWidth="1"/>
    <col min="5906" max="5906" width="11.140625" style="449" customWidth="1"/>
    <col min="5907" max="5907" width="11" style="449" customWidth="1"/>
    <col min="5908" max="5909" width="13.140625" style="449" customWidth="1"/>
    <col min="5910" max="5911" width="8.42578125" style="449" customWidth="1"/>
    <col min="5912" max="5912" width="11.42578125" style="449" customWidth="1"/>
    <col min="5913" max="5913" width="14.5703125" style="449" customWidth="1"/>
    <col min="5914" max="6142" width="9.140625" style="449"/>
    <col min="6143" max="6143" width="8" style="449" customWidth="1"/>
    <col min="6144" max="6144" width="26.28515625" style="449" customWidth="1"/>
    <col min="6145" max="6145" width="13.140625" style="449" customWidth="1"/>
    <col min="6146" max="6146" width="10.85546875" style="449" customWidth="1"/>
    <col min="6147" max="6147" width="14.5703125" style="449" customWidth="1"/>
    <col min="6148" max="6148" width="12.85546875" style="449" customWidth="1"/>
    <col min="6149" max="6149" width="10.140625" style="449" customWidth="1"/>
    <col min="6150" max="6151" width="10.28515625" style="449" customWidth="1"/>
    <col min="6152" max="6153" width="7.140625" style="449" customWidth="1"/>
    <col min="6154" max="6154" width="12.5703125" style="449" customWidth="1"/>
    <col min="6155" max="6155" width="9.5703125" style="449" customWidth="1"/>
    <col min="6156" max="6156" width="13.140625" style="449" customWidth="1"/>
    <col min="6157" max="6157" width="12.5703125" style="449" customWidth="1"/>
    <col min="6158" max="6158" width="9.28515625" style="449" customWidth="1"/>
    <col min="6159" max="6159" width="12.7109375" style="449" customWidth="1"/>
    <col min="6160" max="6160" width="11" style="449" customWidth="1"/>
    <col min="6161" max="6161" width="12.85546875" style="449" customWidth="1"/>
    <col min="6162" max="6162" width="11.140625" style="449" customWidth="1"/>
    <col min="6163" max="6163" width="11" style="449" customWidth="1"/>
    <col min="6164" max="6165" width="13.140625" style="449" customWidth="1"/>
    <col min="6166" max="6167" width="8.42578125" style="449" customWidth="1"/>
    <col min="6168" max="6168" width="11.42578125" style="449" customWidth="1"/>
    <col min="6169" max="6169" width="14.5703125" style="449" customWidth="1"/>
    <col min="6170" max="6398" width="9.140625" style="449"/>
    <col min="6399" max="6399" width="8" style="449" customWidth="1"/>
    <col min="6400" max="6400" width="26.28515625" style="449" customWidth="1"/>
    <col min="6401" max="6401" width="13.140625" style="449" customWidth="1"/>
    <col min="6402" max="6402" width="10.85546875" style="449" customWidth="1"/>
    <col min="6403" max="6403" width="14.5703125" style="449" customWidth="1"/>
    <col min="6404" max="6404" width="12.85546875" style="449" customWidth="1"/>
    <col min="6405" max="6405" width="10.140625" style="449" customWidth="1"/>
    <col min="6406" max="6407" width="10.28515625" style="449" customWidth="1"/>
    <col min="6408" max="6409" width="7.140625" style="449" customWidth="1"/>
    <col min="6410" max="6410" width="12.5703125" style="449" customWidth="1"/>
    <col min="6411" max="6411" width="9.5703125" style="449" customWidth="1"/>
    <col min="6412" max="6412" width="13.140625" style="449" customWidth="1"/>
    <col min="6413" max="6413" width="12.5703125" style="449" customWidth="1"/>
    <col min="6414" max="6414" width="9.28515625" style="449" customWidth="1"/>
    <col min="6415" max="6415" width="12.7109375" style="449" customWidth="1"/>
    <col min="6416" max="6416" width="11" style="449" customWidth="1"/>
    <col min="6417" max="6417" width="12.85546875" style="449" customWidth="1"/>
    <col min="6418" max="6418" width="11.140625" style="449" customWidth="1"/>
    <col min="6419" max="6419" width="11" style="449" customWidth="1"/>
    <col min="6420" max="6421" width="13.140625" style="449" customWidth="1"/>
    <col min="6422" max="6423" width="8.42578125" style="449" customWidth="1"/>
    <col min="6424" max="6424" width="11.42578125" style="449" customWidth="1"/>
    <col min="6425" max="6425" width="14.5703125" style="449" customWidth="1"/>
    <col min="6426" max="6654" width="9.140625" style="449"/>
    <col min="6655" max="6655" width="8" style="449" customWidth="1"/>
    <col min="6656" max="6656" width="26.28515625" style="449" customWidth="1"/>
    <col min="6657" max="6657" width="13.140625" style="449" customWidth="1"/>
    <col min="6658" max="6658" width="10.85546875" style="449" customWidth="1"/>
    <col min="6659" max="6659" width="14.5703125" style="449" customWidth="1"/>
    <col min="6660" max="6660" width="12.85546875" style="449" customWidth="1"/>
    <col min="6661" max="6661" width="10.140625" style="449" customWidth="1"/>
    <col min="6662" max="6663" width="10.28515625" style="449" customWidth="1"/>
    <col min="6664" max="6665" width="7.140625" style="449" customWidth="1"/>
    <col min="6666" max="6666" width="12.5703125" style="449" customWidth="1"/>
    <col min="6667" max="6667" width="9.5703125" style="449" customWidth="1"/>
    <col min="6668" max="6668" width="13.140625" style="449" customWidth="1"/>
    <col min="6669" max="6669" width="12.5703125" style="449" customWidth="1"/>
    <col min="6670" max="6670" width="9.28515625" style="449" customWidth="1"/>
    <col min="6671" max="6671" width="12.7109375" style="449" customWidth="1"/>
    <col min="6672" max="6672" width="11" style="449" customWidth="1"/>
    <col min="6673" max="6673" width="12.85546875" style="449" customWidth="1"/>
    <col min="6674" max="6674" width="11.140625" style="449" customWidth="1"/>
    <col min="6675" max="6675" width="11" style="449" customWidth="1"/>
    <col min="6676" max="6677" width="13.140625" style="449" customWidth="1"/>
    <col min="6678" max="6679" width="8.42578125" style="449" customWidth="1"/>
    <col min="6680" max="6680" width="11.42578125" style="449" customWidth="1"/>
    <col min="6681" max="6681" width="14.5703125" style="449" customWidth="1"/>
    <col min="6682" max="6910" width="9.140625" style="449"/>
    <col min="6911" max="6911" width="8" style="449" customWidth="1"/>
    <col min="6912" max="6912" width="26.28515625" style="449" customWidth="1"/>
    <col min="6913" max="6913" width="13.140625" style="449" customWidth="1"/>
    <col min="6914" max="6914" width="10.85546875" style="449" customWidth="1"/>
    <col min="6915" max="6915" width="14.5703125" style="449" customWidth="1"/>
    <col min="6916" max="6916" width="12.85546875" style="449" customWidth="1"/>
    <col min="6917" max="6917" width="10.140625" style="449" customWidth="1"/>
    <col min="6918" max="6919" width="10.28515625" style="449" customWidth="1"/>
    <col min="6920" max="6921" width="7.140625" style="449" customWidth="1"/>
    <col min="6922" max="6922" width="12.5703125" style="449" customWidth="1"/>
    <col min="6923" max="6923" width="9.5703125" style="449" customWidth="1"/>
    <col min="6924" max="6924" width="13.140625" style="449" customWidth="1"/>
    <col min="6925" max="6925" width="12.5703125" style="449" customWidth="1"/>
    <col min="6926" max="6926" width="9.28515625" style="449" customWidth="1"/>
    <col min="6927" max="6927" width="12.7109375" style="449" customWidth="1"/>
    <col min="6928" max="6928" width="11" style="449" customWidth="1"/>
    <col min="6929" max="6929" width="12.85546875" style="449" customWidth="1"/>
    <col min="6930" max="6930" width="11.140625" style="449" customWidth="1"/>
    <col min="6931" max="6931" width="11" style="449" customWidth="1"/>
    <col min="6932" max="6933" width="13.140625" style="449" customWidth="1"/>
    <col min="6934" max="6935" width="8.42578125" style="449" customWidth="1"/>
    <col min="6936" max="6936" width="11.42578125" style="449" customWidth="1"/>
    <col min="6937" max="6937" width="14.5703125" style="449" customWidth="1"/>
    <col min="6938" max="7166" width="9.140625" style="449"/>
    <col min="7167" max="7167" width="8" style="449" customWidth="1"/>
    <col min="7168" max="7168" width="26.28515625" style="449" customWidth="1"/>
    <col min="7169" max="7169" width="13.140625" style="449" customWidth="1"/>
    <col min="7170" max="7170" width="10.85546875" style="449" customWidth="1"/>
    <col min="7171" max="7171" width="14.5703125" style="449" customWidth="1"/>
    <col min="7172" max="7172" width="12.85546875" style="449" customWidth="1"/>
    <col min="7173" max="7173" width="10.140625" style="449" customWidth="1"/>
    <col min="7174" max="7175" width="10.28515625" style="449" customWidth="1"/>
    <col min="7176" max="7177" width="7.140625" style="449" customWidth="1"/>
    <col min="7178" max="7178" width="12.5703125" style="449" customWidth="1"/>
    <col min="7179" max="7179" width="9.5703125" style="449" customWidth="1"/>
    <col min="7180" max="7180" width="13.140625" style="449" customWidth="1"/>
    <col min="7181" max="7181" width="12.5703125" style="449" customWidth="1"/>
    <col min="7182" max="7182" width="9.28515625" style="449" customWidth="1"/>
    <col min="7183" max="7183" width="12.7109375" style="449" customWidth="1"/>
    <col min="7184" max="7184" width="11" style="449" customWidth="1"/>
    <col min="7185" max="7185" width="12.85546875" style="449" customWidth="1"/>
    <col min="7186" max="7186" width="11.140625" style="449" customWidth="1"/>
    <col min="7187" max="7187" width="11" style="449" customWidth="1"/>
    <col min="7188" max="7189" width="13.140625" style="449" customWidth="1"/>
    <col min="7190" max="7191" width="8.42578125" style="449" customWidth="1"/>
    <col min="7192" max="7192" width="11.42578125" style="449" customWidth="1"/>
    <col min="7193" max="7193" width="14.5703125" style="449" customWidth="1"/>
    <col min="7194" max="7422" width="9.140625" style="449"/>
    <col min="7423" max="7423" width="8" style="449" customWidth="1"/>
    <col min="7424" max="7424" width="26.28515625" style="449" customWidth="1"/>
    <col min="7425" max="7425" width="13.140625" style="449" customWidth="1"/>
    <col min="7426" max="7426" width="10.85546875" style="449" customWidth="1"/>
    <col min="7427" max="7427" width="14.5703125" style="449" customWidth="1"/>
    <col min="7428" max="7428" width="12.85546875" style="449" customWidth="1"/>
    <col min="7429" max="7429" width="10.140625" style="449" customWidth="1"/>
    <col min="7430" max="7431" width="10.28515625" style="449" customWidth="1"/>
    <col min="7432" max="7433" width="7.140625" style="449" customWidth="1"/>
    <col min="7434" max="7434" width="12.5703125" style="449" customWidth="1"/>
    <col min="7435" max="7435" width="9.5703125" style="449" customWidth="1"/>
    <col min="7436" max="7436" width="13.140625" style="449" customWidth="1"/>
    <col min="7437" max="7437" width="12.5703125" style="449" customWidth="1"/>
    <col min="7438" max="7438" width="9.28515625" style="449" customWidth="1"/>
    <col min="7439" max="7439" width="12.7109375" style="449" customWidth="1"/>
    <col min="7440" max="7440" width="11" style="449" customWidth="1"/>
    <col min="7441" max="7441" width="12.85546875" style="449" customWidth="1"/>
    <col min="7442" max="7442" width="11.140625" style="449" customWidth="1"/>
    <col min="7443" max="7443" width="11" style="449" customWidth="1"/>
    <col min="7444" max="7445" width="13.140625" style="449" customWidth="1"/>
    <col min="7446" max="7447" width="8.42578125" style="449" customWidth="1"/>
    <col min="7448" max="7448" width="11.42578125" style="449" customWidth="1"/>
    <col min="7449" max="7449" width="14.5703125" style="449" customWidth="1"/>
    <col min="7450" max="7678" width="9.140625" style="449"/>
    <col min="7679" max="7679" width="8" style="449" customWidth="1"/>
    <col min="7680" max="7680" width="26.28515625" style="449" customWidth="1"/>
    <col min="7681" max="7681" width="13.140625" style="449" customWidth="1"/>
    <col min="7682" max="7682" width="10.85546875" style="449" customWidth="1"/>
    <col min="7683" max="7683" width="14.5703125" style="449" customWidth="1"/>
    <col min="7684" max="7684" width="12.85546875" style="449" customWidth="1"/>
    <col min="7685" max="7685" width="10.140625" style="449" customWidth="1"/>
    <col min="7686" max="7687" width="10.28515625" style="449" customWidth="1"/>
    <col min="7688" max="7689" width="7.140625" style="449" customWidth="1"/>
    <col min="7690" max="7690" width="12.5703125" style="449" customWidth="1"/>
    <col min="7691" max="7691" width="9.5703125" style="449" customWidth="1"/>
    <col min="7692" max="7692" width="13.140625" style="449" customWidth="1"/>
    <col min="7693" max="7693" width="12.5703125" style="449" customWidth="1"/>
    <col min="7694" max="7694" width="9.28515625" style="449" customWidth="1"/>
    <col min="7695" max="7695" width="12.7109375" style="449" customWidth="1"/>
    <col min="7696" max="7696" width="11" style="449" customWidth="1"/>
    <col min="7697" max="7697" width="12.85546875" style="449" customWidth="1"/>
    <col min="7698" max="7698" width="11.140625" style="449" customWidth="1"/>
    <col min="7699" max="7699" width="11" style="449" customWidth="1"/>
    <col min="7700" max="7701" width="13.140625" style="449" customWidth="1"/>
    <col min="7702" max="7703" width="8.42578125" style="449" customWidth="1"/>
    <col min="7704" max="7704" width="11.42578125" style="449" customWidth="1"/>
    <col min="7705" max="7705" width="14.5703125" style="449" customWidth="1"/>
    <col min="7706" max="7934" width="9.140625" style="449"/>
    <col min="7935" max="7935" width="8" style="449" customWidth="1"/>
    <col min="7936" max="7936" width="26.28515625" style="449" customWidth="1"/>
    <col min="7937" max="7937" width="13.140625" style="449" customWidth="1"/>
    <col min="7938" max="7938" width="10.85546875" style="449" customWidth="1"/>
    <col min="7939" max="7939" width="14.5703125" style="449" customWidth="1"/>
    <col min="7940" max="7940" width="12.85546875" style="449" customWidth="1"/>
    <col min="7941" max="7941" width="10.140625" style="449" customWidth="1"/>
    <col min="7942" max="7943" width="10.28515625" style="449" customWidth="1"/>
    <col min="7944" max="7945" width="7.140625" style="449" customWidth="1"/>
    <col min="7946" max="7946" width="12.5703125" style="449" customWidth="1"/>
    <col min="7947" max="7947" width="9.5703125" style="449" customWidth="1"/>
    <col min="7948" max="7948" width="13.140625" style="449" customWidth="1"/>
    <col min="7949" max="7949" width="12.5703125" style="449" customWidth="1"/>
    <col min="7950" max="7950" width="9.28515625" style="449" customWidth="1"/>
    <col min="7951" max="7951" width="12.7109375" style="449" customWidth="1"/>
    <col min="7952" max="7952" width="11" style="449" customWidth="1"/>
    <col min="7953" max="7953" width="12.85546875" style="449" customWidth="1"/>
    <col min="7954" max="7954" width="11.140625" style="449" customWidth="1"/>
    <col min="7955" max="7955" width="11" style="449" customWidth="1"/>
    <col min="7956" max="7957" width="13.140625" style="449" customWidth="1"/>
    <col min="7958" max="7959" width="8.42578125" style="449" customWidth="1"/>
    <col min="7960" max="7960" width="11.42578125" style="449" customWidth="1"/>
    <col min="7961" max="7961" width="14.5703125" style="449" customWidth="1"/>
    <col min="7962" max="8190" width="9.140625" style="449"/>
    <col min="8191" max="8191" width="8" style="449" customWidth="1"/>
    <col min="8192" max="8192" width="26.28515625" style="449" customWidth="1"/>
    <col min="8193" max="8193" width="13.140625" style="449" customWidth="1"/>
    <col min="8194" max="8194" width="10.85546875" style="449" customWidth="1"/>
    <col min="8195" max="8195" width="14.5703125" style="449" customWidth="1"/>
    <col min="8196" max="8196" width="12.85546875" style="449" customWidth="1"/>
    <col min="8197" max="8197" width="10.140625" style="449" customWidth="1"/>
    <col min="8198" max="8199" width="10.28515625" style="449" customWidth="1"/>
    <col min="8200" max="8201" width="7.140625" style="449" customWidth="1"/>
    <col min="8202" max="8202" width="12.5703125" style="449" customWidth="1"/>
    <col min="8203" max="8203" width="9.5703125" style="449" customWidth="1"/>
    <col min="8204" max="8204" width="13.140625" style="449" customWidth="1"/>
    <col min="8205" max="8205" width="12.5703125" style="449" customWidth="1"/>
    <col min="8206" max="8206" width="9.28515625" style="449" customWidth="1"/>
    <col min="8207" max="8207" width="12.7109375" style="449" customWidth="1"/>
    <col min="8208" max="8208" width="11" style="449" customWidth="1"/>
    <col min="8209" max="8209" width="12.85546875" style="449" customWidth="1"/>
    <col min="8210" max="8210" width="11.140625" style="449" customWidth="1"/>
    <col min="8211" max="8211" width="11" style="449" customWidth="1"/>
    <col min="8212" max="8213" width="13.140625" style="449" customWidth="1"/>
    <col min="8214" max="8215" width="8.42578125" style="449" customWidth="1"/>
    <col min="8216" max="8216" width="11.42578125" style="449" customWidth="1"/>
    <col min="8217" max="8217" width="14.5703125" style="449" customWidth="1"/>
    <col min="8218" max="8446" width="9.140625" style="449"/>
    <col min="8447" max="8447" width="8" style="449" customWidth="1"/>
    <col min="8448" max="8448" width="26.28515625" style="449" customWidth="1"/>
    <col min="8449" max="8449" width="13.140625" style="449" customWidth="1"/>
    <col min="8450" max="8450" width="10.85546875" style="449" customWidth="1"/>
    <col min="8451" max="8451" width="14.5703125" style="449" customWidth="1"/>
    <col min="8452" max="8452" width="12.85546875" style="449" customWidth="1"/>
    <col min="8453" max="8453" width="10.140625" style="449" customWidth="1"/>
    <col min="8454" max="8455" width="10.28515625" style="449" customWidth="1"/>
    <col min="8456" max="8457" width="7.140625" style="449" customWidth="1"/>
    <col min="8458" max="8458" width="12.5703125" style="449" customWidth="1"/>
    <col min="8459" max="8459" width="9.5703125" style="449" customWidth="1"/>
    <col min="8460" max="8460" width="13.140625" style="449" customWidth="1"/>
    <col min="8461" max="8461" width="12.5703125" style="449" customWidth="1"/>
    <col min="8462" max="8462" width="9.28515625" style="449" customWidth="1"/>
    <col min="8463" max="8463" width="12.7109375" style="449" customWidth="1"/>
    <col min="8464" max="8464" width="11" style="449" customWidth="1"/>
    <col min="8465" max="8465" width="12.85546875" style="449" customWidth="1"/>
    <col min="8466" max="8466" width="11.140625" style="449" customWidth="1"/>
    <col min="8467" max="8467" width="11" style="449" customWidth="1"/>
    <col min="8468" max="8469" width="13.140625" style="449" customWidth="1"/>
    <col min="8470" max="8471" width="8.42578125" style="449" customWidth="1"/>
    <col min="8472" max="8472" width="11.42578125" style="449" customWidth="1"/>
    <col min="8473" max="8473" width="14.5703125" style="449" customWidth="1"/>
    <col min="8474" max="8702" width="9.140625" style="449"/>
    <col min="8703" max="8703" width="8" style="449" customWidth="1"/>
    <col min="8704" max="8704" width="26.28515625" style="449" customWidth="1"/>
    <col min="8705" max="8705" width="13.140625" style="449" customWidth="1"/>
    <col min="8706" max="8706" width="10.85546875" style="449" customWidth="1"/>
    <col min="8707" max="8707" width="14.5703125" style="449" customWidth="1"/>
    <col min="8708" max="8708" width="12.85546875" style="449" customWidth="1"/>
    <col min="8709" max="8709" width="10.140625" style="449" customWidth="1"/>
    <col min="8710" max="8711" width="10.28515625" style="449" customWidth="1"/>
    <col min="8712" max="8713" width="7.140625" style="449" customWidth="1"/>
    <col min="8714" max="8714" width="12.5703125" style="449" customWidth="1"/>
    <col min="8715" max="8715" width="9.5703125" style="449" customWidth="1"/>
    <col min="8716" max="8716" width="13.140625" style="449" customWidth="1"/>
    <col min="8717" max="8717" width="12.5703125" style="449" customWidth="1"/>
    <col min="8718" max="8718" width="9.28515625" style="449" customWidth="1"/>
    <col min="8719" max="8719" width="12.7109375" style="449" customWidth="1"/>
    <col min="8720" max="8720" width="11" style="449" customWidth="1"/>
    <col min="8721" max="8721" width="12.85546875" style="449" customWidth="1"/>
    <col min="8722" max="8722" width="11.140625" style="449" customWidth="1"/>
    <col min="8723" max="8723" width="11" style="449" customWidth="1"/>
    <col min="8724" max="8725" width="13.140625" style="449" customWidth="1"/>
    <col min="8726" max="8727" width="8.42578125" style="449" customWidth="1"/>
    <col min="8728" max="8728" width="11.42578125" style="449" customWidth="1"/>
    <col min="8729" max="8729" width="14.5703125" style="449" customWidth="1"/>
    <col min="8730" max="8958" width="9.140625" style="449"/>
    <col min="8959" max="8959" width="8" style="449" customWidth="1"/>
    <col min="8960" max="8960" width="26.28515625" style="449" customWidth="1"/>
    <col min="8961" max="8961" width="13.140625" style="449" customWidth="1"/>
    <col min="8962" max="8962" width="10.85546875" style="449" customWidth="1"/>
    <col min="8963" max="8963" width="14.5703125" style="449" customWidth="1"/>
    <col min="8964" max="8964" width="12.85546875" style="449" customWidth="1"/>
    <col min="8965" max="8965" width="10.140625" style="449" customWidth="1"/>
    <col min="8966" max="8967" width="10.28515625" style="449" customWidth="1"/>
    <col min="8968" max="8969" width="7.140625" style="449" customWidth="1"/>
    <col min="8970" max="8970" width="12.5703125" style="449" customWidth="1"/>
    <col min="8971" max="8971" width="9.5703125" style="449" customWidth="1"/>
    <col min="8972" max="8972" width="13.140625" style="449" customWidth="1"/>
    <col min="8973" max="8973" width="12.5703125" style="449" customWidth="1"/>
    <col min="8974" max="8974" width="9.28515625" style="449" customWidth="1"/>
    <col min="8975" max="8975" width="12.7109375" style="449" customWidth="1"/>
    <col min="8976" max="8976" width="11" style="449" customWidth="1"/>
    <col min="8977" max="8977" width="12.85546875" style="449" customWidth="1"/>
    <col min="8978" max="8978" width="11.140625" style="449" customWidth="1"/>
    <col min="8979" max="8979" width="11" style="449" customWidth="1"/>
    <col min="8980" max="8981" width="13.140625" style="449" customWidth="1"/>
    <col min="8982" max="8983" width="8.42578125" style="449" customWidth="1"/>
    <col min="8984" max="8984" width="11.42578125" style="449" customWidth="1"/>
    <col min="8985" max="8985" width="14.5703125" style="449" customWidth="1"/>
    <col min="8986" max="9214" width="9.140625" style="449"/>
    <col min="9215" max="9215" width="8" style="449" customWidth="1"/>
    <col min="9216" max="9216" width="26.28515625" style="449" customWidth="1"/>
    <col min="9217" max="9217" width="13.140625" style="449" customWidth="1"/>
    <col min="9218" max="9218" width="10.85546875" style="449" customWidth="1"/>
    <col min="9219" max="9219" width="14.5703125" style="449" customWidth="1"/>
    <col min="9220" max="9220" width="12.85546875" style="449" customWidth="1"/>
    <col min="9221" max="9221" width="10.140625" style="449" customWidth="1"/>
    <col min="9222" max="9223" width="10.28515625" style="449" customWidth="1"/>
    <col min="9224" max="9225" width="7.140625" style="449" customWidth="1"/>
    <col min="9226" max="9226" width="12.5703125" style="449" customWidth="1"/>
    <col min="9227" max="9227" width="9.5703125" style="449" customWidth="1"/>
    <col min="9228" max="9228" width="13.140625" style="449" customWidth="1"/>
    <col min="9229" max="9229" width="12.5703125" style="449" customWidth="1"/>
    <col min="9230" max="9230" width="9.28515625" style="449" customWidth="1"/>
    <col min="9231" max="9231" width="12.7109375" style="449" customWidth="1"/>
    <col min="9232" max="9232" width="11" style="449" customWidth="1"/>
    <col min="9233" max="9233" width="12.85546875" style="449" customWidth="1"/>
    <col min="9234" max="9234" width="11.140625" style="449" customWidth="1"/>
    <col min="9235" max="9235" width="11" style="449" customWidth="1"/>
    <col min="9236" max="9237" width="13.140625" style="449" customWidth="1"/>
    <col min="9238" max="9239" width="8.42578125" style="449" customWidth="1"/>
    <col min="9240" max="9240" width="11.42578125" style="449" customWidth="1"/>
    <col min="9241" max="9241" width="14.5703125" style="449" customWidth="1"/>
    <col min="9242" max="9470" width="9.140625" style="449"/>
    <col min="9471" max="9471" width="8" style="449" customWidth="1"/>
    <col min="9472" max="9472" width="26.28515625" style="449" customWidth="1"/>
    <col min="9473" max="9473" width="13.140625" style="449" customWidth="1"/>
    <col min="9474" max="9474" width="10.85546875" style="449" customWidth="1"/>
    <col min="9475" max="9475" width="14.5703125" style="449" customWidth="1"/>
    <col min="9476" max="9476" width="12.85546875" style="449" customWidth="1"/>
    <col min="9477" max="9477" width="10.140625" style="449" customWidth="1"/>
    <col min="9478" max="9479" width="10.28515625" style="449" customWidth="1"/>
    <col min="9480" max="9481" width="7.140625" style="449" customWidth="1"/>
    <col min="9482" max="9482" width="12.5703125" style="449" customWidth="1"/>
    <col min="9483" max="9483" width="9.5703125" style="449" customWidth="1"/>
    <col min="9484" max="9484" width="13.140625" style="449" customWidth="1"/>
    <col min="9485" max="9485" width="12.5703125" style="449" customWidth="1"/>
    <col min="9486" max="9486" width="9.28515625" style="449" customWidth="1"/>
    <col min="9487" max="9487" width="12.7109375" style="449" customWidth="1"/>
    <col min="9488" max="9488" width="11" style="449" customWidth="1"/>
    <col min="9489" max="9489" width="12.85546875" style="449" customWidth="1"/>
    <col min="9490" max="9490" width="11.140625" style="449" customWidth="1"/>
    <col min="9491" max="9491" width="11" style="449" customWidth="1"/>
    <col min="9492" max="9493" width="13.140625" style="449" customWidth="1"/>
    <col min="9494" max="9495" width="8.42578125" style="449" customWidth="1"/>
    <col min="9496" max="9496" width="11.42578125" style="449" customWidth="1"/>
    <col min="9497" max="9497" width="14.5703125" style="449" customWidth="1"/>
    <col min="9498" max="9726" width="9.140625" style="449"/>
    <col min="9727" max="9727" width="8" style="449" customWidth="1"/>
    <col min="9728" max="9728" width="26.28515625" style="449" customWidth="1"/>
    <col min="9729" max="9729" width="13.140625" style="449" customWidth="1"/>
    <col min="9730" max="9730" width="10.85546875" style="449" customWidth="1"/>
    <col min="9731" max="9731" width="14.5703125" style="449" customWidth="1"/>
    <col min="9732" max="9732" width="12.85546875" style="449" customWidth="1"/>
    <col min="9733" max="9733" width="10.140625" style="449" customWidth="1"/>
    <col min="9734" max="9735" width="10.28515625" style="449" customWidth="1"/>
    <col min="9736" max="9737" width="7.140625" style="449" customWidth="1"/>
    <col min="9738" max="9738" width="12.5703125" style="449" customWidth="1"/>
    <col min="9739" max="9739" width="9.5703125" style="449" customWidth="1"/>
    <col min="9740" max="9740" width="13.140625" style="449" customWidth="1"/>
    <col min="9741" max="9741" width="12.5703125" style="449" customWidth="1"/>
    <col min="9742" max="9742" width="9.28515625" style="449" customWidth="1"/>
    <col min="9743" max="9743" width="12.7109375" style="449" customWidth="1"/>
    <col min="9744" max="9744" width="11" style="449" customWidth="1"/>
    <col min="9745" max="9745" width="12.85546875" style="449" customWidth="1"/>
    <col min="9746" max="9746" width="11.140625" style="449" customWidth="1"/>
    <col min="9747" max="9747" width="11" style="449" customWidth="1"/>
    <col min="9748" max="9749" width="13.140625" style="449" customWidth="1"/>
    <col min="9750" max="9751" width="8.42578125" style="449" customWidth="1"/>
    <col min="9752" max="9752" width="11.42578125" style="449" customWidth="1"/>
    <col min="9753" max="9753" width="14.5703125" style="449" customWidth="1"/>
    <col min="9754" max="9982" width="9.140625" style="449"/>
    <col min="9983" max="9983" width="8" style="449" customWidth="1"/>
    <col min="9984" max="9984" width="26.28515625" style="449" customWidth="1"/>
    <col min="9985" max="9985" width="13.140625" style="449" customWidth="1"/>
    <col min="9986" max="9986" width="10.85546875" style="449" customWidth="1"/>
    <col min="9987" max="9987" width="14.5703125" style="449" customWidth="1"/>
    <col min="9988" max="9988" width="12.85546875" style="449" customWidth="1"/>
    <col min="9989" max="9989" width="10.140625" style="449" customWidth="1"/>
    <col min="9990" max="9991" width="10.28515625" style="449" customWidth="1"/>
    <col min="9992" max="9993" width="7.140625" style="449" customWidth="1"/>
    <col min="9994" max="9994" width="12.5703125" style="449" customWidth="1"/>
    <col min="9995" max="9995" width="9.5703125" style="449" customWidth="1"/>
    <col min="9996" max="9996" width="13.140625" style="449" customWidth="1"/>
    <col min="9997" max="9997" width="12.5703125" style="449" customWidth="1"/>
    <col min="9998" max="9998" width="9.28515625" style="449" customWidth="1"/>
    <col min="9999" max="9999" width="12.7109375" style="449" customWidth="1"/>
    <col min="10000" max="10000" width="11" style="449" customWidth="1"/>
    <col min="10001" max="10001" width="12.85546875" style="449" customWidth="1"/>
    <col min="10002" max="10002" width="11.140625" style="449" customWidth="1"/>
    <col min="10003" max="10003" width="11" style="449" customWidth="1"/>
    <col min="10004" max="10005" width="13.140625" style="449" customWidth="1"/>
    <col min="10006" max="10007" width="8.42578125" style="449" customWidth="1"/>
    <col min="10008" max="10008" width="11.42578125" style="449" customWidth="1"/>
    <col min="10009" max="10009" width="14.5703125" style="449" customWidth="1"/>
    <col min="10010" max="10238" width="9.140625" style="449"/>
    <col min="10239" max="10239" width="8" style="449" customWidth="1"/>
    <col min="10240" max="10240" width="26.28515625" style="449" customWidth="1"/>
    <col min="10241" max="10241" width="13.140625" style="449" customWidth="1"/>
    <col min="10242" max="10242" width="10.85546875" style="449" customWidth="1"/>
    <col min="10243" max="10243" width="14.5703125" style="449" customWidth="1"/>
    <col min="10244" max="10244" width="12.85546875" style="449" customWidth="1"/>
    <col min="10245" max="10245" width="10.140625" style="449" customWidth="1"/>
    <col min="10246" max="10247" width="10.28515625" style="449" customWidth="1"/>
    <col min="10248" max="10249" width="7.140625" style="449" customWidth="1"/>
    <col min="10250" max="10250" width="12.5703125" style="449" customWidth="1"/>
    <col min="10251" max="10251" width="9.5703125" style="449" customWidth="1"/>
    <col min="10252" max="10252" width="13.140625" style="449" customWidth="1"/>
    <col min="10253" max="10253" width="12.5703125" style="449" customWidth="1"/>
    <col min="10254" max="10254" width="9.28515625" style="449" customWidth="1"/>
    <col min="10255" max="10255" width="12.7109375" style="449" customWidth="1"/>
    <col min="10256" max="10256" width="11" style="449" customWidth="1"/>
    <col min="10257" max="10257" width="12.85546875" style="449" customWidth="1"/>
    <col min="10258" max="10258" width="11.140625" style="449" customWidth="1"/>
    <col min="10259" max="10259" width="11" style="449" customWidth="1"/>
    <col min="10260" max="10261" width="13.140625" style="449" customWidth="1"/>
    <col min="10262" max="10263" width="8.42578125" style="449" customWidth="1"/>
    <col min="10264" max="10264" width="11.42578125" style="449" customWidth="1"/>
    <col min="10265" max="10265" width="14.5703125" style="449" customWidth="1"/>
    <col min="10266" max="10494" width="9.140625" style="449"/>
    <col min="10495" max="10495" width="8" style="449" customWidth="1"/>
    <col min="10496" max="10496" width="26.28515625" style="449" customWidth="1"/>
    <col min="10497" max="10497" width="13.140625" style="449" customWidth="1"/>
    <col min="10498" max="10498" width="10.85546875" style="449" customWidth="1"/>
    <col min="10499" max="10499" width="14.5703125" style="449" customWidth="1"/>
    <col min="10500" max="10500" width="12.85546875" style="449" customWidth="1"/>
    <col min="10501" max="10501" width="10.140625" style="449" customWidth="1"/>
    <col min="10502" max="10503" width="10.28515625" style="449" customWidth="1"/>
    <col min="10504" max="10505" width="7.140625" style="449" customWidth="1"/>
    <col min="10506" max="10506" width="12.5703125" style="449" customWidth="1"/>
    <col min="10507" max="10507" width="9.5703125" style="449" customWidth="1"/>
    <col min="10508" max="10508" width="13.140625" style="449" customWidth="1"/>
    <col min="10509" max="10509" width="12.5703125" style="449" customWidth="1"/>
    <col min="10510" max="10510" width="9.28515625" style="449" customWidth="1"/>
    <col min="10511" max="10511" width="12.7109375" style="449" customWidth="1"/>
    <col min="10512" max="10512" width="11" style="449" customWidth="1"/>
    <col min="10513" max="10513" width="12.85546875" style="449" customWidth="1"/>
    <col min="10514" max="10514" width="11.140625" style="449" customWidth="1"/>
    <col min="10515" max="10515" width="11" style="449" customWidth="1"/>
    <col min="10516" max="10517" width="13.140625" style="449" customWidth="1"/>
    <col min="10518" max="10519" width="8.42578125" style="449" customWidth="1"/>
    <col min="10520" max="10520" width="11.42578125" style="449" customWidth="1"/>
    <col min="10521" max="10521" width="14.5703125" style="449" customWidth="1"/>
    <col min="10522" max="10750" width="9.140625" style="449"/>
    <col min="10751" max="10751" width="8" style="449" customWidth="1"/>
    <col min="10752" max="10752" width="26.28515625" style="449" customWidth="1"/>
    <col min="10753" max="10753" width="13.140625" style="449" customWidth="1"/>
    <col min="10754" max="10754" width="10.85546875" style="449" customWidth="1"/>
    <col min="10755" max="10755" width="14.5703125" style="449" customWidth="1"/>
    <col min="10756" max="10756" width="12.85546875" style="449" customWidth="1"/>
    <col min="10757" max="10757" width="10.140625" style="449" customWidth="1"/>
    <col min="10758" max="10759" width="10.28515625" style="449" customWidth="1"/>
    <col min="10760" max="10761" width="7.140625" style="449" customWidth="1"/>
    <col min="10762" max="10762" width="12.5703125" style="449" customWidth="1"/>
    <col min="10763" max="10763" width="9.5703125" style="449" customWidth="1"/>
    <col min="10764" max="10764" width="13.140625" style="449" customWidth="1"/>
    <col min="10765" max="10765" width="12.5703125" style="449" customWidth="1"/>
    <col min="10766" max="10766" width="9.28515625" style="449" customWidth="1"/>
    <col min="10767" max="10767" width="12.7109375" style="449" customWidth="1"/>
    <col min="10768" max="10768" width="11" style="449" customWidth="1"/>
    <col min="10769" max="10769" width="12.85546875" style="449" customWidth="1"/>
    <col min="10770" max="10770" width="11.140625" style="449" customWidth="1"/>
    <col min="10771" max="10771" width="11" style="449" customWidth="1"/>
    <col min="10772" max="10773" width="13.140625" style="449" customWidth="1"/>
    <col min="10774" max="10775" width="8.42578125" style="449" customWidth="1"/>
    <col min="10776" max="10776" width="11.42578125" style="449" customWidth="1"/>
    <col min="10777" max="10777" width="14.5703125" style="449" customWidth="1"/>
    <col min="10778" max="11006" width="9.140625" style="449"/>
    <col min="11007" max="11007" width="8" style="449" customWidth="1"/>
    <col min="11008" max="11008" width="26.28515625" style="449" customWidth="1"/>
    <col min="11009" max="11009" width="13.140625" style="449" customWidth="1"/>
    <col min="11010" max="11010" width="10.85546875" style="449" customWidth="1"/>
    <col min="11011" max="11011" width="14.5703125" style="449" customWidth="1"/>
    <col min="11012" max="11012" width="12.85546875" style="449" customWidth="1"/>
    <col min="11013" max="11013" width="10.140625" style="449" customWidth="1"/>
    <col min="11014" max="11015" width="10.28515625" style="449" customWidth="1"/>
    <col min="11016" max="11017" width="7.140625" style="449" customWidth="1"/>
    <col min="11018" max="11018" width="12.5703125" style="449" customWidth="1"/>
    <col min="11019" max="11019" width="9.5703125" style="449" customWidth="1"/>
    <col min="11020" max="11020" width="13.140625" style="449" customWidth="1"/>
    <col min="11021" max="11021" width="12.5703125" style="449" customWidth="1"/>
    <col min="11022" max="11022" width="9.28515625" style="449" customWidth="1"/>
    <col min="11023" max="11023" width="12.7109375" style="449" customWidth="1"/>
    <col min="11024" max="11024" width="11" style="449" customWidth="1"/>
    <col min="11025" max="11025" width="12.85546875" style="449" customWidth="1"/>
    <col min="11026" max="11026" width="11.140625" style="449" customWidth="1"/>
    <col min="11027" max="11027" width="11" style="449" customWidth="1"/>
    <col min="11028" max="11029" width="13.140625" style="449" customWidth="1"/>
    <col min="11030" max="11031" width="8.42578125" style="449" customWidth="1"/>
    <col min="11032" max="11032" width="11.42578125" style="449" customWidth="1"/>
    <col min="11033" max="11033" width="14.5703125" style="449" customWidth="1"/>
    <col min="11034" max="11262" width="9.140625" style="449"/>
    <col min="11263" max="11263" width="8" style="449" customWidth="1"/>
    <col min="11264" max="11264" width="26.28515625" style="449" customWidth="1"/>
    <col min="11265" max="11265" width="13.140625" style="449" customWidth="1"/>
    <col min="11266" max="11266" width="10.85546875" style="449" customWidth="1"/>
    <col min="11267" max="11267" width="14.5703125" style="449" customWidth="1"/>
    <col min="11268" max="11268" width="12.85546875" style="449" customWidth="1"/>
    <col min="11269" max="11269" width="10.140625" style="449" customWidth="1"/>
    <col min="11270" max="11271" width="10.28515625" style="449" customWidth="1"/>
    <col min="11272" max="11273" width="7.140625" style="449" customWidth="1"/>
    <col min="11274" max="11274" width="12.5703125" style="449" customWidth="1"/>
    <col min="11275" max="11275" width="9.5703125" style="449" customWidth="1"/>
    <col min="11276" max="11276" width="13.140625" style="449" customWidth="1"/>
    <col min="11277" max="11277" width="12.5703125" style="449" customWidth="1"/>
    <col min="11278" max="11278" width="9.28515625" style="449" customWidth="1"/>
    <col min="11279" max="11279" width="12.7109375" style="449" customWidth="1"/>
    <col min="11280" max="11280" width="11" style="449" customWidth="1"/>
    <col min="11281" max="11281" width="12.85546875" style="449" customWidth="1"/>
    <col min="11282" max="11282" width="11.140625" style="449" customWidth="1"/>
    <col min="11283" max="11283" width="11" style="449" customWidth="1"/>
    <col min="11284" max="11285" width="13.140625" style="449" customWidth="1"/>
    <col min="11286" max="11287" width="8.42578125" style="449" customWidth="1"/>
    <col min="11288" max="11288" width="11.42578125" style="449" customWidth="1"/>
    <col min="11289" max="11289" width="14.5703125" style="449" customWidth="1"/>
    <col min="11290" max="11518" width="9.140625" style="449"/>
    <col min="11519" max="11519" width="8" style="449" customWidth="1"/>
    <col min="11520" max="11520" width="26.28515625" style="449" customWidth="1"/>
    <col min="11521" max="11521" width="13.140625" style="449" customWidth="1"/>
    <col min="11522" max="11522" width="10.85546875" style="449" customWidth="1"/>
    <col min="11523" max="11523" width="14.5703125" style="449" customWidth="1"/>
    <col min="11524" max="11524" width="12.85546875" style="449" customWidth="1"/>
    <col min="11525" max="11525" width="10.140625" style="449" customWidth="1"/>
    <col min="11526" max="11527" width="10.28515625" style="449" customWidth="1"/>
    <col min="11528" max="11529" width="7.140625" style="449" customWidth="1"/>
    <col min="11530" max="11530" width="12.5703125" style="449" customWidth="1"/>
    <col min="11531" max="11531" width="9.5703125" style="449" customWidth="1"/>
    <col min="11532" max="11532" width="13.140625" style="449" customWidth="1"/>
    <col min="11533" max="11533" width="12.5703125" style="449" customWidth="1"/>
    <col min="11534" max="11534" width="9.28515625" style="449" customWidth="1"/>
    <col min="11535" max="11535" width="12.7109375" style="449" customWidth="1"/>
    <col min="11536" max="11536" width="11" style="449" customWidth="1"/>
    <col min="11537" max="11537" width="12.85546875" style="449" customWidth="1"/>
    <col min="11538" max="11538" width="11.140625" style="449" customWidth="1"/>
    <col min="11539" max="11539" width="11" style="449" customWidth="1"/>
    <col min="11540" max="11541" width="13.140625" style="449" customWidth="1"/>
    <col min="11542" max="11543" width="8.42578125" style="449" customWidth="1"/>
    <col min="11544" max="11544" width="11.42578125" style="449" customWidth="1"/>
    <col min="11545" max="11545" width="14.5703125" style="449" customWidth="1"/>
    <col min="11546" max="11774" width="9.140625" style="449"/>
    <col min="11775" max="11775" width="8" style="449" customWidth="1"/>
    <col min="11776" max="11776" width="26.28515625" style="449" customWidth="1"/>
    <col min="11777" max="11777" width="13.140625" style="449" customWidth="1"/>
    <col min="11778" max="11778" width="10.85546875" style="449" customWidth="1"/>
    <col min="11779" max="11779" width="14.5703125" style="449" customWidth="1"/>
    <col min="11780" max="11780" width="12.85546875" style="449" customWidth="1"/>
    <col min="11781" max="11781" width="10.140625" style="449" customWidth="1"/>
    <col min="11782" max="11783" width="10.28515625" style="449" customWidth="1"/>
    <col min="11784" max="11785" width="7.140625" style="449" customWidth="1"/>
    <col min="11786" max="11786" width="12.5703125" style="449" customWidth="1"/>
    <col min="11787" max="11787" width="9.5703125" style="449" customWidth="1"/>
    <col min="11788" max="11788" width="13.140625" style="449" customWidth="1"/>
    <col min="11789" max="11789" width="12.5703125" style="449" customWidth="1"/>
    <col min="11790" max="11790" width="9.28515625" style="449" customWidth="1"/>
    <col min="11791" max="11791" width="12.7109375" style="449" customWidth="1"/>
    <col min="11792" max="11792" width="11" style="449" customWidth="1"/>
    <col min="11793" max="11793" width="12.85546875" style="449" customWidth="1"/>
    <col min="11794" max="11794" width="11.140625" style="449" customWidth="1"/>
    <col min="11795" max="11795" width="11" style="449" customWidth="1"/>
    <col min="11796" max="11797" width="13.140625" style="449" customWidth="1"/>
    <col min="11798" max="11799" width="8.42578125" style="449" customWidth="1"/>
    <col min="11800" max="11800" width="11.42578125" style="449" customWidth="1"/>
    <col min="11801" max="11801" width="14.5703125" style="449" customWidth="1"/>
    <col min="11802" max="12030" width="9.140625" style="449"/>
    <col min="12031" max="12031" width="8" style="449" customWidth="1"/>
    <col min="12032" max="12032" width="26.28515625" style="449" customWidth="1"/>
    <col min="12033" max="12033" width="13.140625" style="449" customWidth="1"/>
    <col min="12034" max="12034" width="10.85546875" style="449" customWidth="1"/>
    <col min="12035" max="12035" width="14.5703125" style="449" customWidth="1"/>
    <col min="12036" max="12036" width="12.85546875" style="449" customWidth="1"/>
    <col min="12037" max="12037" width="10.140625" style="449" customWidth="1"/>
    <col min="12038" max="12039" width="10.28515625" style="449" customWidth="1"/>
    <col min="12040" max="12041" width="7.140625" style="449" customWidth="1"/>
    <col min="12042" max="12042" width="12.5703125" style="449" customWidth="1"/>
    <col min="12043" max="12043" width="9.5703125" style="449" customWidth="1"/>
    <col min="12044" max="12044" width="13.140625" style="449" customWidth="1"/>
    <col min="12045" max="12045" width="12.5703125" style="449" customWidth="1"/>
    <col min="12046" max="12046" width="9.28515625" style="449" customWidth="1"/>
    <col min="12047" max="12047" width="12.7109375" style="449" customWidth="1"/>
    <col min="12048" max="12048" width="11" style="449" customWidth="1"/>
    <col min="12049" max="12049" width="12.85546875" style="449" customWidth="1"/>
    <col min="12050" max="12050" width="11.140625" style="449" customWidth="1"/>
    <col min="12051" max="12051" width="11" style="449" customWidth="1"/>
    <col min="12052" max="12053" width="13.140625" style="449" customWidth="1"/>
    <col min="12054" max="12055" width="8.42578125" style="449" customWidth="1"/>
    <col min="12056" max="12056" width="11.42578125" style="449" customWidth="1"/>
    <col min="12057" max="12057" width="14.5703125" style="449" customWidth="1"/>
    <col min="12058" max="12286" width="9.140625" style="449"/>
    <col min="12287" max="12287" width="8" style="449" customWidth="1"/>
    <col min="12288" max="12288" width="26.28515625" style="449" customWidth="1"/>
    <col min="12289" max="12289" width="13.140625" style="449" customWidth="1"/>
    <col min="12290" max="12290" width="10.85546875" style="449" customWidth="1"/>
    <col min="12291" max="12291" width="14.5703125" style="449" customWidth="1"/>
    <col min="12292" max="12292" width="12.85546875" style="449" customWidth="1"/>
    <col min="12293" max="12293" width="10.140625" style="449" customWidth="1"/>
    <col min="12294" max="12295" width="10.28515625" style="449" customWidth="1"/>
    <col min="12296" max="12297" width="7.140625" style="449" customWidth="1"/>
    <col min="12298" max="12298" width="12.5703125" style="449" customWidth="1"/>
    <col min="12299" max="12299" width="9.5703125" style="449" customWidth="1"/>
    <col min="12300" max="12300" width="13.140625" style="449" customWidth="1"/>
    <col min="12301" max="12301" width="12.5703125" style="449" customWidth="1"/>
    <col min="12302" max="12302" width="9.28515625" style="449" customWidth="1"/>
    <col min="12303" max="12303" width="12.7109375" style="449" customWidth="1"/>
    <col min="12304" max="12304" width="11" style="449" customWidth="1"/>
    <col min="12305" max="12305" width="12.85546875" style="449" customWidth="1"/>
    <col min="12306" max="12306" width="11.140625" style="449" customWidth="1"/>
    <col min="12307" max="12307" width="11" style="449" customWidth="1"/>
    <col min="12308" max="12309" width="13.140625" style="449" customWidth="1"/>
    <col min="12310" max="12311" width="8.42578125" style="449" customWidth="1"/>
    <col min="12312" max="12312" width="11.42578125" style="449" customWidth="1"/>
    <col min="12313" max="12313" width="14.5703125" style="449" customWidth="1"/>
    <col min="12314" max="12542" width="9.140625" style="449"/>
    <col min="12543" max="12543" width="8" style="449" customWidth="1"/>
    <col min="12544" max="12544" width="26.28515625" style="449" customWidth="1"/>
    <col min="12545" max="12545" width="13.140625" style="449" customWidth="1"/>
    <col min="12546" max="12546" width="10.85546875" style="449" customWidth="1"/>
    <col min="12547" max="12547" width="14.5703125" style="449" customWidth="1"/>
    <col min="12548" max="12548" width="12.85546875" style="449" customWidth="1"/>
    <col min="12549" max="12549" width="10.140625" style="449" customWidth="1"/>
    <col min="12550" max="12551" width="10.28515625" style="449" customWidth="1"/>
    <col min="12552" max="12553" width="7.140625" style="449" customWidth="1"/>
    <col min="12554" max="12554" width="12.5703125" style="449" customWidth="1"/>
    <col min="12555" max="12555" width="9.5703125" style="449" customWidth="1"/>
    <col min="12556" max="12556" width="13.140625" style="449" customWidth="1"/>
    <col min="12557" max="12557" width="12.5703125" style="449" customWidth="1"/>
    <col min="12558" max="12558" width="9.28515625" style="449" customWidth="1"/>
    <col min="12559" max="12559" width="12.7109375" style="449" customWidth="1"/>
    <col min="12560" max="12560" width="11" style="449" customWidth="1"/>
    <col min="12561" max="12561" width="12.85546875" style="449" customWidth="1"/>
    <col min="12562" max="12562" width="11.140625" style="449" customWidth="1"/>
    <col min="12563" max="12563" width="11" style="449" customWidth="1"/>
    <col min="12564" max="12565" width="13.140625" style="449" customWidth="1"/>
    <col min="12566" max="12567" width="8.42578125" style="449" customWidth="1"/>
    <col min="12568" max="12568" width="11.42578125" style="449" customWidth="1"/>
    <col min="12569" max="12569" width="14.5703125" style="449" customWidth="1"/>
    <col min="12570" max="12798" width="9.140625" style="449"/>
    <col min="12799" max="12799" width="8" style="449" customWidth="1"/>
    <col min="12800" max="12800" width="26.28515625" style="449" customWidth="1"/>
    <col min="12801" max="12801" width="13.140625" style="449" customWidth="1"/>
    <col min="12802" max="12802" width="10.85546875" style="449" customWidth="1"/>
    <col min="12803" max="12803" width="14.5703125" style="449" customWidth="1"/>
    <col min="12804" max="12804" width="12.85546875" style="449" customWidth="1"/>
    <col min="12805" max="12805" width="10.140625" style="449" customWidth="1"/>
    <col min="12806" max="12807" width="10.28515625" style="449" customWidth="1"/>
    <col min="12808" max="12809" width="7.140625" style="449" customWidth="1"/>
    <col min="12810" max="12810" width="12.5703125" style="449" customWidth="1"/>
    <col min="12811" max="12811" width="9.5703125" style="449" customWidth="1"/>
    <col min="12812" max="12812" width="13.140625" style="449" customWidth="1"/>
    <col min="12813" max="12813" width="12.5703125" style="449" customWidth="1"/>
    <col min="12814" max="12814" width="9.28515625" style="449" customWidth="1"/>
    <col min="12815" max="12815" width="12.7109375" style="449" customWidth="1"/>
    <col min="12816" max="12816" width="11" style="449" customWidth="1"/>
    <col min="12817" max="12817" width="12.85546875" style="449" customWidth="1"/>
    <col min="12818" max="12818" width="11.140625" style="449" customWidth="1"/>
    <col min="12819" max="12819" width="11" style="449" customWidth="1"/>
    <col min="12820" max="12821" width="13.140625" style="449" customWidth="1"/>
    <col min="12822" max="12823" width="8.42578125" style="449" customWidth="1"/>
    <col min="12824" max="12824" width="11.42578125" style="449" customWidth="1"/>
    <col min="12825" max="12825" width="14.5703125" style="449" customWidth="1"/>
    <col min="12826" max="13054" width="9.140625" style="449"/>
    <col min="13055" max="13055" width="8" style="449" customWidth="1"/>
    <col min="13056" max="13056" width="26.28515625" style="449" customWidth="1"/>
    <col min="13057" max="13057" width="13.140625" style="449" customWidth="1"/>
    <col min="13058" max="13058" width="10.85546875" style="449" customWidth="1"/>
    <col min="13059" max="13059" width="14.5703125" style="449" customWidth="1"/>
    <col min="13060" max="13060" width="12.85546875" style="449" customWidth="1"/>
    <col min="13061" max="13061" width="10.140625" style="449" customWidth="1"/>
    <col min="13062" max="13063" width="10.28515625" style="449" customWidth="1"/>
    <col min="13064" max="13065" width="7.140625" style="449" customWidth="1"/>
    <col min="13066" max="13066" width="12.5703125" style="449" customWidth="1"/>
    <col min="13067" max="13067" width="9.5703125" style="449" customWidth="1"/>
    <col min="13068" max="13068" width="13.140625" style="449" customWidth="1"/>
    <col min="13069" max="13069" width="12.5703125" style="449" customWidth="1"/>
    <col min="13070" max="13070" width="9.28515625" style="449" customWidth="1"/>
    <col min="13071" max="13071" width="12.7109375" style="449" customWidth="1"/>
    <col min="13072" max="13072" width="11" style="449" customWidth="1"/>
    <col min="13073" max="13073" width="12.85546875" style="449" customWidth="1"/>
    <col min="13074" max="13074" width="11.140625" style="449" customWidth="1"/>
    <col min="13075" max="13075" width="11" style="449" customWidth="1"/>
    <col min="13076" max="13077" width="13.140625" style="449" customWidth="1"/>
    <col min="13078" max="13079" width="8.42578125" style="449" customWidth="1"/>
    <col min="13080" max="13080" width="11.42578125" style="449" customWidth="1"/>
    <col min="13081" max="13081" width="14.5703125" style="449" customWidth="1"/>
    <col min="13082" max="13310" width="9.140625" style="449"/>
    <col min="13311" max="13311" width="8" style="449" customWidth="1"/>
    <col min="13312" max="13312" width="26.28515625" style="449" customWidth="1"/>
    <col min="13313" max="13313" width="13.140625" style="449" customWidth="1"/>
    <col min="13314" max="13314" width="10.85546875" style="449" customWidth="1"/>
    <col min="13315" max="13315" width="14.5703125" style="449" customWidth="1"/>
    <col min="13316" max="13316" width="12.85546875" style="449" customWidth="1"/>
    <col min="13317" max="13317" width="10.140625" style="449" customWidth="1"/>
    <col min="13318" max="13319" width="10.28515625" style="449" customWidth="1"/>
    <col min="13320" max="13321" width="7.140625" style="449" customWidth="1"/>
    <col min="13322" max="13322" width="12.5703125" style="449" customWidth="1"/>
    <col min="13323" max="13323" width="9.5703125" style="449" customWidth="1"/>
    <col min="13324" max="13324" width="13.140625" style="449" customWidth="1"/>
    <col min="13325" max="13325" width="12.5703125" style="449" customWidth="1"/>
    <col min="13326" max="13326" width="9.28515625" style="449" customWidth="1"/>
    <col min="13327" max="13327" width="12.7109375" style="449" customWidth="1"/>
    <col min="13328" max="13328" width="11" style="449" customWidth="1"/>
    <col min="13329" max="13329" width="12.85546875" style="449" customWidth="1"/>
    <col min="13330" max="13330" width="11.140625" style="449" customWidth="1"/>
    <col min="13331" max="13331" width="11" style="449" customWidth="1"/>
    <col min="13332" max="13333" width="13.140625" style="449" customWidth="1"/>
    <col min="13334" max="13335" width="8.42578125" style="449" customWidth="1"/>
    <col min="13336" max="13336" width="11.42578125" style="449" customWidth="1"/>
    <col min="13337" max="13337" width="14.5703125" style="449" customWidth="1"/>
    <col min="13338" max="13566" width="9.140625" style="449"/>
    <col min="13567" max="13567" width="8" style="449" customWidth="1"/>
    <col min="13568" max="13568" width="26.28515625" style="449" customWidth="1"/>
    <col min="13569" max="13569" width="13.140625" style="449" customWidth="1"/>
    <col min="13570" max="13570" width="10.85546875" style="449" customWidth="1"/>
    <col min="13571" max="13571" width="14.5703125" style="449" customWidth="1"/>
    <col min="13572" max="13572" width="12.85546875" style="449" customWidth="1"/>
    <col min="13573" max="13573" width="10.140625" style="449" customWidth="1"/>
    <col min="13574" max="13575" width="10.28515625" style="449" customWidth="1"/>
    <col min="13576" max="13577" width="7.140625" style="449" customWidth="1"/>
    <col min="13578" max="13578" width="12.5703125" style="449" customWidth="1"/>
    <col min="13579" max="13579" width="9.5703125" style="449" customWidth="1"/>
    <col min="13580" max="13580" width="13.140625" style="449" customWidth="1"/>
    <col min="13581" max="13581" width="12.5703125" style="449" customWidth="1"/>
    <col min="13582" max="13582" width="9.28515625" style="449" customWidth="1"/>
    <col min="13583" max="13583" width="12.7109375" style="449" customWidth="1"/>
    <col min="13584" max="13584" width="11" style="449" customWidth="1"/>
    <col min="13585" max="13585" width="12.85546875" style="449" customWidth="1"/>
    <col min="13586" max="13586" width="11.140625" style="449" customWidth="1"/>
    <col min="13587" max="13587" width="11" style="449" customWidth="1"/>
    <col min="13588" max="13589" width="13.140625" style="449" customWidth="1"/>
    <col min="13590" max="13591" width="8.42578125" style="449" customWidth="1"/>
    <col min="13592" max="13592" width="11.42578125" style="449" customWidth="1"/>
    <col min="13593" max="13593" width="14.5703125" style="449" customWidth="1"/>
    <col min="13594" max="13822" width="9.140625" style="449"/>
    <col min="13823" max="13823" width="8" style="449" customWidth="1"/>
    <col min="13824" max="13824" width="26.28515625" style="449" customWidth="1"/>
    <col min="13825" max="13825" width="13.140625" style="449" customWidth="1"/>
    <col min="13826" max="13826" width="10.85546875" style="449" customWidth="1"/>
    <col min="13827" max="13827" width="14.5703125" style="449" customWidth="1"/>
    <col min="13828" max="13828" width="12.85546875" style="449" customWidth="1"/>
    <col min="13829" max="13829" width="10.140625" style="449" customWidth="1"/>
    <col min="13830" max="13831" width="10.28515625" style="449" customWidth="1"/>
    <col min="13832" max="13833" width="7.140625" style="449" customWidth="1"/>
    <col min="13834" max="13834" width="12.5703125" style="449" customWidth="1"/>
    <col min="13835" max="13835" width="9.5703125" style="449" customWidth="1"/>
    <col min="13836" max="13836" width="13.140625" style="449" customWidth="1"/>
    <col min="13837" max="13837" width="12.5703125" style="449" customWidth="1"/>
    <col min="13838" max="13838" width="9.28515625" style="449" customWidth="1"/>
    <col min="13839" max="13839" width="12.7109375" style="449" customWidth="1"/>
    <col min="13840" max="13840" width="11" style="449" customWidth="1"/>
    <col min="13841" max="13841" width="12.85546875" style="449" customWidth="1"/>
    <col min="13842" max="13842" width="11.140625" style="449" customWidth="1"/>
    <col min="13843" max="13843" width="11" style="449" customWidth="1"/>
    <col min="13844" max="13845" width="13.140625" style="449" customWidth="1"/>
    <col min="13846" max="13847" width="8.42578125" style="449" customWidth="1"/>
    <col min="13848" max="13848" width="11.42578125" style="449" customWidth="1"/>
    <col min="13849" max="13849" width="14.5703125" style="449" customWidth="1"/>
    <col min="13850" max="14078" width="9.140625" style="449"/>
    <col min="14079" max="14079" width="8" style="449" customWidth="1"/>
    <col min="14080" max="14080" width="26.28515625" style="449" customWidth="1"/>
    <col min="14081" max="14081" width="13.140625" style="449" customWidth="1"/>
    <col min="14082" max="14082" width="10.85546875" style="449" customWidth="1"/>
    <col min="14083" max="14083" width="14.5703125" style="449" customWidth="1"/>
    <col min="14084" max="14084" width="12.85546875" style="449" customWidth="1"/>
    <col min="14085" max="14085" width="10.140625" style="449" customWidth="1"/>
    <col min="14086" max="14087" width="10.28515625" style="449" customWidth="1"/>
    <col min="14088" max="14089" width="7.140625" style="449" customWidth="1"/>
    <col min="14090" max="14090" width="12.5703125" style="449" customWidth="1"/>
    <col min="14091" max="14091" width="9.5703125" style="449" customWidth="1"/>
    <col min="14092" max="14092" width="13.140625" style="449" customWidth="1"/>
    <col min="14093" max="14093" width="12.5703125" style="449" customWidth="1"/>
    <col min="14094" max="14094" width="9.28515625" style="449" customWidth="1"/>
    <col min="14095" max="14095" width="12.7109375" style="449" customWidth="1"/>
    <col min="14096" max="14096" width="11" style="449" customWidth="1"/>
    <col min="14097" max="14097" width="12.85546875" style="449" customWidth="1"/>
    <col min="14098" max="14098" width="11.140625" style="449" customWidth="1"/>
    <col min="14099" max="14099" width="11" style="449" customWidth="1"/>
    <col min="14100" max="14101" width="13.140625" style="449" customWidth="1"/>
    <col min="14102" max="14103" width="8.42578125" style="449" customWidth="1"/>
    <col min="14104" max="14104" width="11.42578125" style="449" customWidth="1"/>
    <col min="14105" max="14105" width="14.5703125" style="449" customWidth="1"/>
    <col min="14106" max="14334" width="9.140625" style="449"/>
    <col min="14335" max="14335" width="8" style="449" customWidth="1"/>
    <col min="14336" max="14336" width="26.28515625" style="449" customWidth="1"/>
    <col min="14337" max="14337" width="13.140625" style="449" customWidth="1"/>
    <col min="14338" max="14338" width="10.85546875" style="449" customWidth="1"/>
    <col min="14339" max="14339" width="14.5703125" style="449" customWidth="1"/>
    <col min="14340" max="14340" width="12.85546875" style="449" customWidth="1"/>
    <col min="14341" max="14341" width="10.140625" style="449" customWidth="1"/>
    <col min="14342" max="14343" width="10.28515625" style="449" customWidth="1"/>
    <col min="14344" max="14345" width="7.140625" style="449" customWidth="1"/>
    <col min="14346" max="14346" width="12.5703125" style="449" customWidth="1"/>
    <col min="14347" max="14347" width="9.5703125" style="449" customWidth="1"/>
    <col min="14348" max="14348" width="13.140625" style="449" customWidth="1"/>
    <col min="14349" max="14349" width="12.5703125" style="449" customWidth="1"/>
    <col min="14350" max="14350" width="9.28515625" style="449" customWidth="1"/>
    <col min="14351" max="14351" width="12.7109375" style="449" customWidth="1"/>
    <col min="14352" max="14352" width="11" style="449" customWidth="1"/>
    <col min="14353" max="14353" width="12.85546875" style="449" customWidth="1"/>
    <col min="14354" max="14354" width="11.140625" style="449" customWidth="1"/>
    <col min="14355" max="14355" width="11" style="449" customWidth="1"/>
    <col min="14356" max="14357" width="13.140625" style="449" customWidth="1"/>
    <col min="14358" max="14359" width="8.42578125" style="449" customWidth="1"/>
    <col min="14360" max="14360" width="11.42578125" style="449" customWidth="1"/>
    <col min="14361" max="14361" width="14.5703125" style="449" customWidth="1"/>
    <col min="14362" max="14590" width="9.140625" style="449"/>
    <col min="14591" max="14591" width="8" style="449" customWidth="1"/>
    <col min="14592" max="14592" width="26.28515625" style="449" customWidth="1"/>
    <col min="14593" max="14593" width="13.140625" style="449" customWidth="1"/>
    <col min="14594" max="14594" width="10.85546875" style="449" customWidth="1"/>
    <col min="14595" max="14595" width="14.5703125" style="449" customWidth="1"/>
    <col min="14596" max="14596" width="12.85546875" style="449" customWidth="1"/>
    <col min="14597" max="14597" width="10.140625" style="449" customWidth="1"/>
    <col min="14598" max="14599" width="10.28515625" style="449" customWidth="1"/>
    <col min="14600" max="14601" width="7.140625" style="449" customWidth="1"/>
    <col min="14602" max="14602" width="12.5703125" style="449" customWidth="1"/>
    <col min="14603" max="14603" width="9.5703125" style="449" customWidth="1"/>
    <col min="14604" max="14604" width="13.140625" style="449" customWidth="1"/>
    <col min="14605" max="14605" width="12.5703125" style="449" customWidth="1"/>
    <col min="14606" max="14606" width="9.28515625" style="449" customWidth="1"/>
    <col min="14607" max="14607" width="12.7109375" style="449" customWidth="1"/>
    <col min="14608" max="14608" width="11" style="449" customWidth="1"/>
    <col min="14609" max="14609" width="12.85546875" style="449" customWidth="1"/>
    <col min="14610" max="14610" width="11.140625" style="449" customWidth="1"/>
    <col min="14611" max="14611" width="11" style="449" customWidth="1"/>
    <col min="14612" max="14613" width="13.140625" style="449" customWidth="1"/>
    <col min="14614" max="14615" width="8.42578125" style="449" customWidth="1"/>
    <col min="14616" max="14616" width="11.42578125" style="449" customWidth="1"/>
    <col min="14617" max="14617" width="14.5703125" style="449" customWidth="1"/>
    <col min="14618" max="14846" width="9.140625" style="449"/>
    <col min="14847" max="14847" width="8" style="449" customWidth="1"/>
    <col min="14848" max="14848" width="26.28515625" style="449" customWidth="1"/>
    <col min="14849" max="14849" width="13.140625" style="449" customWidth="1"/>
    <col min="14850" max="14850" width="10.85546875" style="449" customWidth="1"/>
    <col min="14851" max="14851" width="14.5703125" style="449" customWidth="1"/>
    <col min="14852" max="14852" width="12.85546875" style="449" customWidth="1"/>
    <col min="14853" max="14853" width="10.140625" style="449" customWidth="1"/>
    <col min="14854" max="14855" width="10.28515625" style="449" customWidth="1"/>
    <col min="14856" max="14857" width="7.140625" style="449" customWidth="1"/>
    <col min="14858" max="14858" width="12.5703125" style="449" customWidth="1"/>
    <col min="14859" max="14859" width="9.5703125" style="449" customWidth="1"/>
    <col min="14860" max="14860" width="13.140625" style="449" customWidth="1"/>
    <col min="14861" max="14861" width="12.5703125" style="449" customWidth="1"/>
    <col min="14862" max="14862" width="9.28515625" style="449" customWidth="1"/>
    <col min="14863" max="14863" width="12.7109375" style="449" customWidth="1"/>
    <col min="14864" max="14864" width="11" style="449" customWidth="1"/>
    <col min="14865" max="14865" width="12.85546875" style="449" customWidth="1"/>
    <col min="14866" max="14866" width="11.140625" style="449" customWidth="1"/>
    <col min="14867" max="14867" width="11" style="449" customWidth="1"/>
    <col min="14868" max="14869" width="13.140625" style="449" customWidth="1"/>
    <col min="14870" max="14871" width="8.42578125" style="449" customWidth="1"/>
    <col min="14872" max="14872" width="11.42578125" style="449" customWidth="1"/>
    <col min="14873" max="14873" width="14.5703125" style="449" customWidth="1"/>
    <col min="14874" max="15102" width="9.140625" style="449"/>
    <col min="15103" max="15103" width="8" style="449" customWidth="1"/>
    <col min="15104" max="15104" width="26.28515625" style="449" customWidth="1"/>
    <col min="15105" max="15105" width="13.140625" style="449" customWidth="1"/>
    <col min="15106" max="15106" width="10.85546875" style="449" customWidth="1"/>
    <col min="15107" max="15107" width="14.5703125" style="449" customWidth="1"/>
    <col min="15108" max="15108" width="12.85546875" style="449" customWidth="1"/>
    <col min="15109" max="15109" width="10.140625" style="449" customWidth="1"/>
    <col min="15110" max="15111" width="10.28515625" style="449" customWidth="1"/>
    <col min="15112" max="15113" width="7.140625" style="449" customWidth="1"/>
    <col min="15114" max="15114" width="12.5703125" style="449" customWidth="1"/>
    <col min="15115" max="15115" width="9.5703125" style="449" customWidth="1"/>
    <col min="15116" max="15116" width="13.140625" style="449" customWidth="1"/>
    <col min="15117" max="15117" width="12.5703125" style="449" customWidth="1"/>
    <col min="15118" max="15118" width="9.28515625" style="449" customWidth="1"/>
    <col min="15119" max="15119" width="12.7109375" style="449" customWidth="1"/>
    <col min="15120" max="15120" width="11" style="449" customWidth="1"/>
    <col min="15121" max="15121" width="12.85546875" style="449" customWidth="1"/>
    <col min="15122" max="15122" width="11.140625" style="449" customWidth="1"/>
    <col min="15123" max="15123" width="11" style="449" customWidth="1"/>
    <col min="15124" max="15125" width="13.140625" style="449" customWidth="1"/>
    <col min="15126" max="15127" width="8.42578125" style="449" customWidth="1"/>
    <col min="15128" max="15128" width="11.42578125" style="449" customWidth="1"/>
    <col min="15129" max="15129" width="14.5703125" style="449" customWidth="1"/>
    <col min="15130" max="15358" width="9.140625" style="449"/>
    <col min="15359" max="15359" width="8" style="449" customWidth="1"/>
    <col min="15360" max="15360" width="26.28515625" style="449" customWidth="1"/>
    <col min="15361" max="15361" width="13.140625" style="449" customWidth="1"/>
    <col min="15362" max="15362" width="10.85546875" style="449" customWidth="1"/>
    <col min="15363" max="15363" width="14.5703125" style="449" customWidth="1"/>
    <col min="15364" max="15364" width="12.85546875" style="449" customWidth="1"/>
    <col min="15365" max="15365" width="10.140625" style="449" customWidth="1"/>
    <col min="15366" max="15367" width="10.28515625" style="449" customWidth="1"/>
    <col min="15368" max="15369" width="7.140625" style="449" customWidth="1"/>
    <col min="15370" max="15370" width="12.5703125" style="449" customWidth="1"/>
    <col min="15371" max="15371" width="9.5703125" style="449" customWidth="1"/>
    <col min="15372" max="15372" width="13.140625" style="449" customWidth="1"/>
    <col min="15373" max="15373" width="12.5703125" style="449" customWidth="1"/>
    <col min="15374" max="15374" width="9.28515625" style="449" customWidth="1"/>
    <col min="15375" max="15375" width="12.7109375" style="449" customWidth="1"/>
    <col min="15376" max="15376" width="11" style="449" customWidth="1"/>
    <col min="15377" max="15377" width="12.85546875" style="449" customWidth="1"/>
    <col min="15378" max="15378" width="11.140625" style="449" customWidth="1"/>
    <col min="15379" max="15379" width="11" style="449" customWidth="1"/>
    <col min="15380" max="15381" width="13.140625" style="449" customWidth="1"/>
    <col min="15382" max="15383" width="8.42578125" style="449" customWidth="1"/>
    <col min="15384" max="15384" width="11.42578125" style="449" customWidth="1"/>
    <col min="15385" max="15385" width="14.5703125" style="449" customWidth="1"/>
    <col min="15386" max="15614" width="9.140625" style="449"/>
    <col min="15615" max="15615" width="8" style="449" customWidth="1"/>
    <col min="15616" max="15616" width="26.28515625" style="449" customWidth="1"/>
    <col min="15617" max="15617" width="13.140625" style="449" customWidth="1"/>
    <col min="15618" max="15618" width="10.85546875" style="449" customWidth="1"/>
    <col min="15619" max="15619" width="14.5703125" style="449" customWidth="1"/>
    <col min="15620" max="15620" width="12.85546875" style="449" customWidth="1"/>
    <col min="15621" max="15621" width="10.140625" style="449" customWidth="1"/>
    <col min="15622" max="15623" width="10.28515625" style="449" customWidth="1"/>
    <col min="15624" max="15625" width="7.140625" style="449" customWidth="1"/>
    <col min="15626" max="15626" width="12.5703125" style="449" customWidth="1"/>
    <col min="15627" max="15627" width="9.5703125" style="449" customWidth="1"/>
    <col min="15628" max="15628" width="13.140625" style="449" customWidth="1"/>
    <col min="15629" max="15629" width="12.5703125" style="449" customWidth="1"/>
    <col min="15630" max="15630" width="9.28515625" style="449" customWidth="1"/>
    <col min="15631" max="15631" width="12.7109375" style="449" customWidth="1"/>
    <col min="15632" max="15632" width="11" style="449" customWidth="1"/>
    <col min="15633" max="15633" width="12.85546875" style="449" customWidth="1"/>
    <col min="15634" max="15634" width="11.140625" style="449" customWidth="1"/>
    <col min="15635" max="15635" width="11" style="449" customWidth="1"/>
    <col min="15636" max="15637" width="13.140625" style="449" customWidth="1"/>
    <col min="15638" max="15639" width="8.42578125" style="449" customWidth="1"/>
    <col min="15640" max="15640" width="11.42578125" style="449" customWidth="1"/>
    <col min="15641" max="15641" width="14.5703125" style="449" customWidth="1"/>
    <col min="15642" max="15870" width="9.140625" style="449"/>
    <col min="15871" max="15871" width="8" style="449" customWidth="1"/>
    <col min="15872" max="15872" width="26.28515625" style="449" customWidth="1"/>
    <col min="15873" max="15873" width="13.140625" style="449" customWidth="1"/>
    <col min="15874" max="15874" width="10.85546875" style="449" customWidth="1"/>
    <col min="15875" max="15875" width="14.5703125" style="449" customWidth="1"/>
    <col min="15876" max="15876" width="12.85546875" style="449" customWidth="1"/>
    <col min="15877" max="15877" width="10.140625" style="449" customWidth="1"/>
    <col min="15878" max="15879" width="10.28515625" style="449" customWidth="1"/>
    <col min="15880" max="15881" width="7.140625" style="449" customWidth="1"/>
    <col min="15882" max="15882" width="12.5703125" style="449" customWidth="1"/>
    <col min="15883" max="15883" width="9.5703125" style="449" customWidth="1"/>
    <col min="15884" max="15884" width="13.140625" style="449" customWidth="1"/>
    <col min="15885" max="15885" width="12.5703125" style="449" customWidth="1"/>
    <col min="15886" max="15886" width="9.28515625" style="449" customWidth="1"/>
    <col min="15887" max="15887" width="12.7109375" style="449" customWidth="1"/>
    <col min="15888" max="15888" width="11" style="449" customWidth="1"/>
    <col min="15889" max="15889" width="12.85546875" style="449" customWidth="1"/>
    <col min="15890" max="15890" width="11.140625" style="449" customWidth="1"/>
    <col min="15891" max="15891" width="11" style="449" customWidth="1"/>
    <col min="15892" max="15893" width="13.140625" style="449" customWidth="1"/>
    <col min="15894" max="15895" width="8.42578125" style="449" customWidth="1"/>
    <col min="15896" max="15896" width="11.42578125" style="449" customWidth="1"/>
    <col min="15897" max="15897" width="14.5703125" style="449" customWidth="1"/>
    <col min="15898" max="16126" width="9.140625" style="449"/>
    <col min="16127" max="16127" width="8" style="449" customWidth="1"/>
    <col min="16128" max="16128" width="26.28515625" style="449" customWidth="1"/>
    <col min="16129" max="16129" width="13.140625" style="449" customWidth="1"/>
    <col min="16130" max="16130" width="10.85546875" style="449" customWidth="1"/>
    <col min="16131" max="16131" width="14.5703125" style="449" customWidth="1"/>
    <col min="16132" max="16132" width="12.85546875" style="449" customWidth="1"/>
    <col min="16133" max="16133" width="10.140625" style="449" customWidth="1"/>
    <col min="16134" max="16135" width="10.28515625" style="449" customWidth="1"/>
    <col min="16136" max="16137" width="7.140625" style="449" customWidth="1"/>
    <col min="16138" max="16138" width="12.5703125" style="449" customWidth="1"/>
    <col min="16139" max="16139" width="9.5703125" style="449" customWidth="1"/>
    <col min="16140" max="16140" width="13.140625" style="449" customWidth="1"/>
    <col min="16141" max="16141" width="12.5703125" style="449" customWidth="1"/>
    <col min="16142" max="16142" width="9.28515625" style="449" customWidth="1"/>
    <col min="16143" max="16143" width="12.7109375" style="449" customWidth="1"/>
    <col min="16144" max="16144" width="11" style="449" customWidth="1"/>
    <col min="16145" max="16145" width="12.85546875" style="449" customWidth="1"/>
    <col min="16146" max="16146" width="11.140625" style="449" customWidth="1"/>
    <col min="16147" max="16147" width="11" style="449" customWidth="1"/>
    <col min="16148" max="16149" width="13.140625" style="449" customWidth="1"/>
    <col min="16150" max="16151" width="8.42578125" style="449" customWidth="1"/>
    <col min="16152" max="16152" width="11.42578125" style="449" customWidth="1"/>
    <col min="16153" max="16153" width="14.5703125" style="449" customWidth="1"/>
    <col min="16154" max="16384" width="9.140625" style="449"/>
  </cols>
  <sheetData>
    <row r="1" spans="1:27" ht="15" customHeight="1" x14ac:dyDescent="0.2">
      <c r="Q1" s="695" t="s">
        <v>1354</v>
      </c>
      <c r="R1" s="695"/>
      <c r="S1" s="695"/>
      <c r="T1" s="695"/>
      <c r="U1" s="695"/>
      <c r="V1" s="695"/>
      <c r="W1" s="695"/>
      <c r="X1" s="695"/>
      <c r="Y1" s="695"/>
      <c r="Z1" s="695"/>
      <c r="AA1" s="695"/>
    </row>
    <row r="2" spans="1:27" ht="15" customHeight="1" x14ac:dyDescent="0.2">
      <c r="Q2" s="695" t="s">
        <v>1355</v>
      </c>
      <c r="R2" s="695"/>
      <c r="S2" s="695"/>
      <c r="T2" s="695"/>
      <c r="U2" s="695"/>
      <c r="V2" s="695"/>
      <c r="W2" s="695"/>
      <c r="X2" s="695"/>
      <c r="Y2" s="695"/>
      <c r="Z2" s="695"/>
      <c r="AA2" s="695"/>
    </row>
    <row r="3" spans="1:27" ht="15" customHeight="1" x14ac:dyDescent="0.2">
      <c r="Q3" s="695" t="s">
        <v>836</v>
      </c>
      <c r="R3" s="695"/>
      <c r="S3" s="695"/>
      <c r="T3" s="695"/>
      <c r="U3" s="695"/>
      <c r="V3" s="695"/>
      <c r="W3" s="695"/>
      <c r="X3" s="695"/>
      <c r="Y3" s="695"/>
      <c r="Z3" s="695"/>
      <c r="AA3" s="695"/>
    </row>
    <row r="4" spans="1:27" ht="15" customHeight="1" x14ac:dyDescent="0.2">
      <c r="Q4" s="695" t="s">
        <v>1356</v>
      </c>
      <c r="R4" s="695"/>
      <c r="S4" s="695"/>
      <c r="T4" s="695"/>
      <c r="U4" s="695"/>
      <c r="V4" s="695"/>
      <c r="W4" s="695"/>
      <c r="X4" s="695"/>
      <c r="Y4" s="695"/>
      <c r="Z4" s="695"/>
      <c r="AA4" s="695"/>
    </row>
    <row r="6" spans="1:27" ht="38.25" customHeight="1" x14ac:dyDescent="0.25">
      <c r="A6" s="805" t="s">
        <v>1357</v>
      </c>
      <c r="B6" s="805"/>
      <c r="C6" s="805"/>
      <c r="D6" s="805"/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5"/>
      <c r="S6" s="805"/>
      <c r="T6" s="805"/>
      <c r="U6" s="805"/>
      <c r="V6" s="805"/>
      <c r="W6" s="805"/>
      <c r="X6" s="805"/>
      <c r="Y6" s="805"/>
      <c r="Z6" s="805"/>
      <c r="AA6" s="805"/>
    </row>
    <row r="7" spans="1:27" ht="21.75" customHeight="1" x14ac:dyDescent="0.25">
      <c r="A7" s="795" t="s">
        <v>1358</v>
      </c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5"/>
      <c r="V7" s="795"/>
      <c r="W7" s="795"/>
      <c r="X7" s="795"/>
      <c r="Y7" s="795"/>
      <c r="Z7" s="795"/>
      <c r="AA7" s="795"/>
    </row>
    <row r="8" spans="1:27" ht="21.75" customHeight="1" x14ac:dyDescent="0.25">
      <c r="A8" s="795" t="s">
        <v>1267</v>
      </c>
      <c r="B8" s="795"/>
      <c r="C8" s="795"/>
      <c r="D8" s="795"/>
      <c r="E8" s="795"/>
      <c r="F8" s="795"/>
      <c r="G8" s="795"/>
      <c r="H8" s="795"/>
      <c r="I8" s="795"/>
      <c r="J8" s="795"/>
      <c r="K8" s="795"/>
      <c r="L8" s="795"/>
      <c r="M8" s="795"/>
      <c r="N8" s="795"/>
      <c r="O8" s="795"/>
      <c r="P8" s="795"/>
      <c r="Q8" s="795"/>
      <c r="R8" s="795"/>
      <c r="S8" s="795"/>
      <c r="T8" s="795"/>
      <c r="U8" s="795"/>
      <c r="V8" s="795"/>
      <c r="W8" s="795"/>
      <c r="X8" s="795"/>
      <c r="Y8" s="795"/>
      <c r="Z8" s="795"/>
      <c r="AA8" s="795"/>
    </row>
    <row r="9" spans="1:27" ht="16.5" thickBot="1" x14ac:dyDescent="0.3">
      <c r="A9" s="796"/>
      <c r="B9" s="796"/>
      <c r="C9" s="533"/>
      <c r="D9" s="533"/>
      <c r="E9" s="534"/>
      <c r="F9" s="534"/>
      <c r="G9" s="534"/>
      <c r="H9" s="534"/>
      <c r="I9" s="534"/>
      <c r="J9" s="534"/>
      <c r="K9" s="534"/>
      <c r="L9" s="535"/>
      <c r="M9" s="536"/>
      <c r="N9" s="536"/>
      <c r="O9" s="536"/>
      <c r="P9" s="536"/>
      <c r="Q9" s="536"/>
      <c r="R9" s="536"/>
      <c r="S9" s="537"/>
      <c r="T9" s="538"/>
      <c r="U9" s="538"/>
      <c r="V9" s="538"/>
      <c r="W9" s="538"/>
      <c r="X9" s="538"/>
      <c r="Y9" s="538"/>
      <c r="Z9" s="471" t="s">
        <v>1359</v>
      </c>
      <c r="AA9" s="537"/>
    </row>
    <row r="10" spans="1:27" ht="33.75" customHeight="1" x14ac:dyDescent="0.25">
      <c r="A10" s="797" t="s">
        <v>681</v>
      </c>
      <c r="B10" s="800" t="s">
        <v>1360</v>
      </c>
      <c r="C10" s="800" t="s">
        <v>1361</v>
      </c>
      <c r="D10" s="800" t="s">
        <v>1362</v>
      </c>
      <c r="E10" s="803" t="s">
        <v>1363</v>
      </c>
      <c r="F10" s="803"/>
      <c r="G10" s="784" t="s">
        <v>1366</v>
      </c>
      <c r="H10" s="792" t="s">
        <v>1383</v>
      </c>
      <c r="I10" s="804"/>
      <c r="J10" s="792" t="s">
        <v>1384</v>
      </c>
      <c r="K10" s="794"/>
      <c r="L10" s="790" t="s">
        <v>1385</v>
      </c>
      <c r="M10" s="792" t="s">
        <v>231</v>
      </c>
      <c r="N10" s="793"/>
      <c r="O10" s="793"/>
      <c r="P10" s="794"/>
      <c r="Q10" s="790" t="s">
        <v>1365</v>
      </c>
      <c r="R10" s="792" t="s">
        <v>231</v>
      </c>
      <c r="S10" s="793"/>
      <c r="T10" s="793"/>
      <c r="U10" s="794"/>
      <c r="V10" s="792" t="s">
        <v>1386</v>
      </c>
      <c r="W10" s="794"/>
      <c r="X10" s="792" t="s">
        <v>1364</v>
      </c>
      <c r="Y10" s="794"/>
      <c r="Z10" s="784" t="s">
        <v>1387</v>
      </c>
      <c r="AA10" s="786" t="s">
        <v>1388</v>
      </c>
    </row>
    <row r="11" spans="1:27" s="271" customFormat="1" x14ac:dyDescent="0.2">
      <c r="A11" s="798"/>
      <c r="B11" s="801"/>
      <c r="C11" s="801"/>
      <c r="D11" s="801"/>
      <c r="E11" s="789" t="s">
        <v>1367</v>
      </c>
      <c r="F11" s="789" t="s">
        <v>1368</v>
      </c>
      <c r="G11" s="785"/>
      <c r="H11" s="782" t="s">
        <v>1367</v>
      </c>
      <c r="I11" s="782" t="s">
        <v>1368</v>
      </c>
      <c r="J11" s="782" t="s">
        <v>1369</v>
      </c>
      <c r="K11" s="782" t="s">
        <v>1370</v>
      </c>
      <c r="L11" s="791"/>
      <c r="M11" s="779" t="s">
        <v>1371</v>
      </c>
      <c r="N11" s="779" t="s">
        <v>202</v>
      </c>
      <c r="O11" s="779" t="s">
        <v>287</v>
      </c>
      <c r="P11" s="779" t="s">
        <v>1372</v>
      </c>
      <c r="Q11" s="791"/>
      <c r="R11" s="779" t="s">
        <v>1371</v>
      </c>
      <c r="S11" s="779" t="s">
        <v>202</v>
      </c>
      <c r="T11" s="779" t="s">
        <v>287</v>
      </c>
      <c r="U11" s="779" t="s">
        <v>1372</v>
      </c>
      <c r="V11" s="779" t="s">
        <v>1373</v>
      </c>
      <c r="W11" s="779" t="s">
        <v>1374</v>
      </c>
      <c r="X11" s="782" t="s">
        <v>1369</v>
      </c>
      <c r="Y11" s="782" t="s">
        <v>1370</v>
      </c>
      <c r="Z11" s="785"/>
      <c r="AA11" s="787"/>
    </row>
    <row r="12" spans="1:27" s="271" customFormat="1" ht="90.75" customHeight="1" x14ac:dyDescent="0.2">
      <c r="A12" s="799"/>
      <c r="B12" s="802"/>
      <c r="C12" s="802"/>
      <c r="D12" s="802"/>
      <c r="E12" s="789"/>
      <c r="F12" s="789"/>
      <c r="G12" s="780"/>
      <c r="H12" s="783"/>
      <c r="I12" s="783"/>
      <c r="J12" s="783"/>
      <c r="K12" s="783"/>
      <c r="L12" s="781"/>
      <c r="M12" s="781"/>
      <c r="N12" s="781"/>
      <c r="O12" s="780"/>
      <c r="P12" s="781"/>
      <c r="Q12" s="781"/>
      <c r="R12" s="781"/>
      <c r="S12" s="781"/>
      <c r="T12" s="780"/>
      <c r="U12" s="781"/>
      <c r="V12" s="781"/>
      <c r="W12" s="781"/>
      <c r="X12" s="783"/>
      <c r="Y12" s="783"/>
      <c r="Z12" s="780"/>
      <c r="AA12" s="788"/>
    </row>
    <row r="13" spans="1:27" s="271" customFormat="1" x14ac:dyDescent="0.2">
      <c r="A13" s="539">
        <v>1</v>
      </c>
      <c r="B13" s="540">
        <v>2</v>
      </c>
      <c r="C13" s="540">
        <v>3</v>
      </c>
      <c r="D13" s="540">
        <v>4</v>
      </c>
      <c r="E13" s="540">
        <v>5</v>
      </c>
      <c r="F13" s="540">
        <v>6</v>
      </c>
      <c r="G13" s="540">
        <v>7</v>
      </c>
      <c r="H13" s="540">
        <v>8</v>
      </c>
      <c r="I13" s="540">
        <v>9</v>
      </c>
      <c r="J13" s="540">
        <v>10</v>
      </c>
      <c r="K13" s="540">
        <v>11</v>
      </c>
      <c r="L13" s="540">
        <v>12</v>
      </c>
      <c r="M13" s="540">
        <v>13</v>
      </c>
      <c r="N13" s="540">
        <v>14</v>
      </c>
      <c r="O13" s="540">
        <v>15</v>
      </c>
      <c r="P13" s="540">
        <v>16</v>
      </c>
      <c r="Q13" s="540">
        <v>17</v>
      </c>
      <c r="R13" s="540">
        <v>18</v>
      </c>
      <c r="S13" s="540">
        <v>19</v>
      </c>
      <c r="T13" s="540">
        <v>20</v>
      </c>
      <c r="U13" s="540">
        <v>21</v>
      </c>
      <c r="V13" s="540">
        <v>22</v>
      </c>
      <c r="W13" s="540">
        <v>23</v>
      </c>
      <c r="X13" s="540">
        <v>24</v>
      </c>
      <c r="Y13" s="540">
        <v>25</v>
      </c>
      <c r="Z13" s="540">
        <v>26</v>
      </c>
      <c r="AA13" s="541">
        <v>27</v>
      </c>
    </row>
    <row r="14" spans="1:27" s="271" customFormat="1" ht="63.75" x14ac:dyDescent="0.2">
      <c r="A14" s="542">
        <v>1</v>
      </c>
      <c r="B14" s="8" t="s">
        <v>100</v>
      </c>
      <c r="C14" s="543" t="s">
        <v>1375</v>
      </c>
      <c r="D14" s="543" t="s">
        <v>1376</v>
      </c>
      <c r="E14" s="544">
        <v>185004310</v>
      </c>
      <c r="F14" s="544">
        <v>185004310</v>
      </c>
      <c r="G14" s="543">
        <v>61.3</v>
      </c>
      <c r="H14" s="544">
        <v>55796723.770000003</v>
      </c>
      <c r="I14" s="544">
        <v>55796723.770000003</v>
      </c>
      <c r="J14" s="543">
        <v>0</v>
      </c>
      <c r="K14" s="543">
        <v>0</v>
      </c>
      <c r="L14" s="544">
        <v>55796723.770000003</v>
      </c>
      <c r="M14" s="545" t="s">
        <v>1377</v>
      </c>
      <c r="N14" s="546">
        <v>45248270.68</v>
      </c>
      <c r="O14" s="546">
        <v>10548453.09</v>
      </c>
      <c r="P14" s="546">
        <v>0</v>
      </c>
      <c r="Q14" s="546">
        <v>53866361.189999998</v>
      </c>
      <c r="R14" s="546">
        <v>0</v>
      </c>
      <c r="S14" s="547">
        <v>43317908.100000001</v>
      </c>
      <c r="T14" s="546">
        <v>10548453.09</v>
      </c>
      <c r="U14" s="546">
        <v>0</v>
      </c>
      <c r="V14" s="548">
        <v>183073947.41999999</v>
      </c>
      <c r="W14" s="548">
        <v>53866361.189999998</v>
      </c>
      <c r="X14" s="548">
        <v>0</v>
      </c>
      <c r="Y14" s="548">
        <v>0</v>
      </c>
      <c r="Z14" s="549">
        <v>100</v>
      </c>
      <c r="AA14" s="550"/>
    </row>
    <row r="15" spans="1:27" s="271" customFormat="1" ht="38.25" x14ac:dyDescent="0.2">
      <c r="A15" s="542">
        <v>1</v>
      </c>
      <c r="B15" s="8" t="s">
        <v>1378</v>
      </c>
      <c r="C15" s="543" t="s">
        <v>1389</v>
      </c>
      <c r="D15" s="540" t="s">
        <v>1379</v>
      </c>
      <c r="E15" s="544">
        <v>93698630</v>
      </c>
      <c r="F15" s="544">
        <v>93698630</v>
      </c>
      <c r="G15" s="543">
        <v>48</v>
      </c>
      <c r="H15" s="544">
        <v>93698630</v>
      </c>
      <c r="I15" s="544">
        <v>93698630</v>
      </c>
      <c r="J15" s="543">
        <v>0</v>
      </c>
      <c r="K15" s="543">
        <v>0</v>
      </c>
      <c r="L15" s="545">
        <v>0</v>
      </c>
      <c r="M15" s="545">
        <v>0</v>
      </c>
      <c r="N15" s="546">
        <v>0</v>
      </c>
      <c r="O15" s="546">
        <v>0</v>
      </c>
      <c r="P15" s="546">
        <v>0</v>
      </c>
      <c r="Q15" s="546">
        <f>SUM(R15:T15)</f>
        <v>37654333.829999998</v>
      </c>
      <c r="R15" s="546">
        <v>35226445.75</v>
      </c>
      <c r="S15" s="547">
        <v>1854022.82</v>
      </c>
      <c r="T15" s="546">
        <v>573865.26</v>
      </c>
      <c r="U15" s="546">
        <v>0</v>
      </c>
      <c r="V15" s="548">
        <f>W15</f>
        <v>37654333.829999998</v>
      </c>
      <c r="W15" s="548">
        <f>Q15</f>
        <v>37654333.829999998</v>
      </c>
      <c r="X15" s="548">
        <v>0</v>
      </c>
      <c r="Y15" s="548">
        <v>0</v>
      </c>
      <c r="Z15" s="549">
        <v>100</v>
      </c>
      <c r="AA15" s="550"/>
    </row>
    <row r="16" spans="1:27" s="271" customFormat="1" ht="63.75" x14ac:dyDescent="0.2">
      <c r="A16" s="542">
        <v>1</v>
      </c>
      <c r="B16" s="8" t="s">
        <v>1391</v>
      </c>
      <c r="C16" s="543" t="s">
        <v>1390</v>
      </c>
      <c r="D16" s="540" t="s">
        <v>1392</v>
      </c>
      <c r="E16" s="570"/>
      <c r="F16" s="570"/>
      <c r="G16" s="543">
        <v>0</v>
      </c>
      <c r="H16" s="544"/>
      <c r="I16" s="544"/>
      <c r="J16" s="543">
        <v>0</v>
      </c>
      <c r="K16" s="543">
        <v>0</v>
      </c>
      <c r="L16" s="545">
        <f>SUM(M16:O16)</f>
        <v>23569073.789999999</v>
      </c>
      <c r="M16" s="545">
        <v>0</v>
      </c>
      <c r="N16" s="546">
        <v>21212166.41</v>
      </c>
      <c r="O16" s="546">
        <v>2356907.38</v>
      </c>
      <c r="P16" s="546">
        <v>0</v>
      </c>
      <c r="Q16" s="546">
        <f>SUM(R16:T16)</f>
        <v>2356907.38</v>
      </c>
      <c r="R16" s="546">
        <v>0</v>
      </c>
      <c r="S16" s="547">
        <v>0</v>
      </c>
      <c r="T16" s="546">
        <v>2356907.38</v>
      </c>
      <c r="U16" s="546">
        <v>0</v>
      </c>
      <c r="V16" s="548">
        <f>W16</f>
        <v>2356907.38</v>
      </c>
      <c r="W16" s="548">
        <f>Q16</f>
        <v>2356907.38</v>
      </c>
      <c r="X16" s="548">
        <v>0</v>
      </c>
      <c r="Y16" s="548">
        <v>0</v>
      </c>
      <c r="Z16" s="549">
        <v>0</v>
      </c>
      <c r="AA16" s="550">
        <f>V16</f>
        <v>2356907.38</v>
      </c>
    </row>
    <row r="17" spans="1:27" s="271" customFormat="1" ht="16.5" thickBot="1" x14ac:dyDescent="0.3">
      <c r="A17" s="777" t="s">
        <v>1202</v>
      </c>
      <c r="B17" s="778"/>
      <c r="C17" s="551" t="s">
        <v>1380</v>
      </c>
      <c r="D17" s="551" t="s">
        <v>1380</v>
      </c>
      <c r="E17" s="552"/>
      <c r="F17" s="552"/>
      <c r="G17" s="552" t="s">
        <v>1380</v>
      </c>
      <c r="H17" s="552"/>
      <c r="I17" s="552"/>
      <c r="J17" s="552"/>
      <c r="K17" s="552"/>
      <c r="L17" s="553"/>
      <c r="M17" s="554"/>
      <c r="N17" s="554"/>
      <c r="O17" s="554"/>
      <c r="P17" s="554"/>
      <c r="Q17" s="554"/>
      <c r="R17" s="554"/>
      <c r="S17" s="555"/>
      <c r="T17" s="551"/>
      <c r="U17" s="551"/>
      <c r="V17" s="551"/>
      <c r="W17" s="551"/>
      <c r="X17" s="551"/>
      <c r="Y17" s="551"/>
      <c r="Z17" s="551" t="s">
        <v>1380</v>
      </c>
      <c r="AA17" s="556"/>
    </row>
    <row r="18" spans="1:27" s="532" customFormat="1" x14ac:dyDescent="0.2">
      <c r="A18" s="472"/>
      <c r="B18" s="472"/>
      <c r="C18" s="472"/>
      <c r="D18" s="472"/>
      <c r="E18" s="557"/>
      <c r="F18" s="557"/>
      <c r="G18" s="557"/>
      <c r="H18" s="557"/>
      <c r="I18" s="557"/>
      <c r="J18" s="557"/>
      <c r="K18" s="557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</row>
    <row r="19" spans="1:27" s="532" customFormat="1" x14ac:dyDescent="0.2">
      <c r="A19" s="472"/>
      <c r="B19" s="472"/>
      <c r="C19" s="472"/>
      <c r="D19" s="472"/>
      <c r="E19" s="557"/>
      <c r="F19" s="557"/>
      <c r="G19" s="557"/>
      <c r="H19" s="557"/>
      <c r="I19" s="557"/>
      <c r="J19" s="557"/>
      <c r="K19" s="557"/>
      <c r="M19" s="271"/>
      <c r="N19" s="271"/>
      <c r="O19" s="271"/>
      <c r="P19" s="271"/>
      <c r="Q19" s="558"/>
      <c r="R19" s="271"/>
      <c r="S19" s="271"/>
      <c r="T19" s="271"/>
      <c r="U19" s="271"/>
      <c r="V19" s="271"/>
      <c r="W19" s="271"/>
      <c r="X19" s="271"/>
      <c r="Y19" s="271"/>
      <c r="Z19" s="271"/>
      <c r="AA19" s="271"/>
    </row>
    <row r="20" spans="1:27" s="532" customFormat="1" x14ac:dyDescent="0.2">
      <c r="A20" s="472"/>
      <c r="B20" s="472"/>
      <c r="C20" s="472"/>
      <c r="D20" s="472"/>
      <c r="E20" s="557"/>
      <c r="F20" s="557"/>
      <c r="G20" s="557"/>
      <c r="H20" s="557"/>
      <c r="I20" s="557"/>
      <c r="J20" s="557"/>
      <c r="K20" s="557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</row>
    <row r="21" spans="1:27" s="532" customFormat="1" x14ac:dyDescent="0.2">
      <c r="A21" s="472"/>
      <c r="B21" s="472"/>
      <c r="C21" s="472"/>
      <c r="D21" s="472"/>
      <c r="E21" s="557"/>
      <c r="F21" s="559"/>
      <c r="G21" s="557"/>
      <c r="H21" s="557"/>
      <c r="I21" s="557"/>
      <c r="J21" s="557"/>
      <c r="K21" s="557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</row>
    <row r="22" spans="1:27" s="532" customFormat="1" x14ac:dyDescent="0.2">
      <c r="A22" s="472"/>
      <c r="B22" s="472"/>
      <c r="C22" s="472"/>
      <c r="D22" s="472"/>
      <c r="E22" s="557"/>
      <c r="F22" s="557"/>
      <c r="G22" s="557"/>
      <c r="H22" s="557"/>
      <c r="I22" s="557"/>
      <c r="J22" s="557"/>
      <c r="K22" s="557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</row>
    <row r="23" spans="1:27" s="532" customFormat="1" x14ac:dyDescent="0.2">
      <c r="A23" s="472"/>
      <c r="B23" s="472"/>
      <c r="C23" s="472"/>
      <c r="D23" s="472"/>
      <c r="E23" s="557"/>
      <c r="F23" s="557"/>
      <c r="G23" s="557"/>
      <c r="H23" s="557"/>
      <c r="I23" s="557"/>
      <c r="J23" s="557"/>
      <c r="K23" s="557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</row>
    <row r="24" spans="1:27" s="532" customFormat="1" x14ac:dyDescent="0.2">
      <c r="A24" s="472"/>
      <c r="B24" s="472"/>
      <c r="C24" s="472"/>
      <c r="D24" s="472"/>
      <c r="E24" s="557"/>
      <c r="F24" s="557"/>
      <c r="G24" s="557"/>
      <c r="H24" s="557"/>
      <c r="I24" s="557"/>
      <c r="J24" s="557"/>
      <c r="K24" s="557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</row>
    <row r="25" spans="1:27" s="532" customFormat="1" x14ac:dyDescent="0.2">
      <c r="A25" s="472"/>
      <c r="B25" s="472"/>
      <c r="C25" s="472"/>
      <c r="D25" s="472"/>
      <c r="E25" s="557"/>
      <c r="F25" s="557"/>
      <c r="G25" s="557"/>
      <c r="H25" s="557"/>
      <c r="I25" s="557"/>
      <c r="J25" s="557"/>
      <c r="K25" s="557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</row>
    <row r="26" spans="1:27" s="532" customFormat="1" x14ac:dyDescent="0.2">
      <c r="A26" s="472"/>
      <c r="B26" s="472"/>
      <c r="C26" s="472"/>
      <c r="D26" s="472"/>
      <c r="E26" s="557"/>
      <c r="F26" s="557"/>
      <c r="G26" s="557"/>
      <c r="H26" s="557"/>
      <c r="I26" s="557"/>
      <c r="J26" s="557"/>
      <c r="K26" s="557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</row>
    <row r="27" spans="1:27" s="532" customFormat="1" x14ac:dyDescent="0.2">
      <c r="A27" s="472"/>
      <c r="B27" s="472"/>
      <c r="C27" s="472"/>
      <c r="D27" s="472"/>
      <c r="E27" s="557"/>
      <c r="F27" s="557"/>
      <c r="G27" s="557"/>
      <c r="H27" s="557"/>
      <c r="I27" s="557"/>
      <c r="J27" s="557"/>
      <c r="K27" s="557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</row>
    <row r="28" spans="1:27" s="532" customFormat="1" x14ac:dyDescent="0.2">
      <c r="A28" s="472"/>
      <c r="B28" s="472"/>
      <c r="C28" s="472"/>
      <c r="D28" s="472"/>
      <c r="E28" s="557"/>
      <c r="F28" s="557"/>
      <c r="G28" s="557"/>
      <c r="H28" s="557"/>
      <c r="I28" s="557"/>
      <c r="J28" s="557"/>
      <c r="K28" s="557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</row>
    <row r="29" spans="1:27" s="532" customFormat="1" x14ac:dyDescent="0.2">
      <c r="A29" s="472"/>
      <c r="B29" s="472"/>
      <c r="C29" s="472"/>
      <c r="D29" s="472"/>
      <c r="E29" s="557"/>
      <c r="F29" s="557"/>
      <c r="G29" s="557"/>
      <c r="H29" s="557"/>
      <c r="I29" s="557"/>
      <c r="J29" s="557"/>
      <c r="K29" s="557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</row>
    <row r="30" spans="1:27" s="532" customFormat="1" x14ac:dyDescent="0.2">
      <c r="A30" s="472"/>
      <c r="B30" s="472"/>
      <c r="C30" s="472"/>
      <c r="D30" s="472"/>
      <c r="E30" s="557"/>
      <c r="F30" s="557"/>
      <c r="G30" s="557"/>
      <c r="H30" s="557"/>
      <c r="I30" s="557"/>
      <c r="J30" s="557"/>
      <c r="K30" s="557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</row>
    <row r="31" spans="1:27" s="532" customFormat="1" x14ac:dyDescent="0.2">
      <c r="A31" s="472"/>
      <c r="B31" s="472"/>
      <c r="C31" s="472"/>
      <c r="D31" s="472"/>
      <c r="E31" s="557"/>
      <c r="F31" s="557"/>
      <c r="G31" s="557"/>
      <c r="H31" s="557"/>
      <c r="I31" s="557"/>
      <c r="J31" s="557"/>
      <c r="K31" s="557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</row>
    <row r="32" spans="1:27" s="532" customFormat="1" x14ac:dyDescent="0.2">
      <c r="A32" s="472"/>
      <c r="B32" s="472"/>
      <c r="C32" s="472"/>
      <c r="D32" s="472"/>
      <c r="E32" s="557"/>
      <c r="F32" s="557"/>
      <c r="G32" s="557"/>
      <c r="H32" s="557"/>
      <c r="I32" s="557"/>
      <c r="J32" s="557"/>
      <c r="K32" s="557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</row>
    <row r="33" spans="1:27" s="532" customFormat="1" x14ac:dyDescent="0.2">
      <c r="A33" s="472"/>
      <c r="B33" s="472"/>
      <c r="C33" s="472"/>
      <c r="D33" s="472"/>
      <c r="E33" s="557"/>
      <c r="F33" s="557"/>
      <c r="G33" s="557"/>
      <c r="H33" s="557"/>
      <c r="I33" s="557"/>
      <c r="J33" s="557"/>
      <c r="K33" s="557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</row>
    <row r="34" spans="1:27" s="532" customFormat="1" x14ac:dyDescent="0.2">
      <c r="A34" s="472"/>
      <c r="B34" s="472"/>
      <c r="C34" s="472"/>
      <c r="D34" s="472"/>
      <c r="E34" s="557"/>
      <c r="F34" s="557"/>
      <c r="G34" s="557"/>
      <c r="H34" s="557"/>
      <c r="I34" s="557"/>
      <c r="J34" s="557"/>
      <c r="K34" s="557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</row>
    <row r="35" spans="1:27" s="532" customFormat="1" x14ac:dyDescent="0.2">
      <c r="A35" s="472"/>
      <c r="B35" s="472"/>
      <c r="C35" s="472"/>
      <c r="D35" s="472"/>
      <c r="E35" s="557"/>
      <c r="F35" s="557"/>
      <c r="G35" s="557"/>
      <c r="H35" s="557"/>
      <c r="I35" s="557"/>
      <c r="J35" s="557"/>
      <c r="K35" s="557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</row>
    <row r="36" spans="1:27" s="532" customFormat="1" x14ac:dyDescent="0.2">
      <c r="A36" s="472"/>
      <c r="B36" s="472"/>
      <c r="C36" s="472"/>
      <c r="D36" s="472"/>
      <c r="E36" s="557"/>
      <c r="F36" s="557"/>
      <c r="G36" s="557"/>
      <c r="H36" s="557"/>
      <c r="I36" s="557"/>
      <c r="J36" s="557"/>
      <c r="K36" s="557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</row>
    <row r="37" spans="1:27" s="532" customFormat="1" x14ac:dyDescent="0.2">
      <c r="A37" s="472"/>
      <c r="B37" s="472"/>
      <c r="C37" s="472"/>
      <c r="D37" s="472"/>
      <c r="E37" s="557"/>
      <c r="F37" s="557"/>
      <c r="G37" s="557"/>
      <c r="H37" s="557"/>
      <c r="I37" s="557"/>
      <c r="J37" s="557"/>
      <c r="K37" s="557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</row>
    <row r="38" spans="1:27" s="532" customFormat="1" x14ac:dyDescent="0.2">
      <c r="A38" s="472"/>
      <c r="B38" s="472"/>
      <c r="C38" s="472"/>
      <c r="D38" s="472"/>
      <c r="E38" s="557"/>
      <c r="F38" s="557"/>
      <c r="G38" s="557"/>
      <c r="H38" s="557"/>
      <c r="I38" s="557"/>
      <c r="J38" s="557"/>
      <c r="K38" s="557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</row>
    <row r="39" spans="1:27" s="532" customFormat="1" x14ac:dyDescent="0.2">
      <c r="A39" s="472"/>
      <c r="B39" s="472"/>
      <c r="C39" s="472"/>
      <c r="D39" s="472"/>
      <c r="E39" s="557"/>
      <c r="F39" s="557"/>
      <c r="G39" s="557"/>
      <c r="H39" s="557"/>
      <c r="I39" s="557"/>
      <c r="J39" s="557"/>
      <c r="K39" s="557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</row>
    <row r="40" spans="1:27" s="532" customFormat="1" x14ac:dyDescent="0.2">
      <c r="A40" s="472"/>
      <c r="B40" s="472"/>
      <c r="C40" s="472"/>
      <c r="D40" s="472"/>
      <c r="E40" s="557"/>
      <c r="F40" s="557"/>
      <c r="G40" s="557"/>
      <c r="H40" s="557"/>
      <c r="I40" s="557"/>
      <c r="J40" s="557"/>
      <c r="K40" s="557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</row>
    <row r="41" spans="1:27" s="532" customFormat="1" x14ac:dyDescent="0.2">
      <c r="A41" s="472"/>
      <c r="B41" s="472"/>
      <c r="C41" s="472"/>
      <c r="D41" s="472"/>
      <c r="E41" s="557"/>
      <c r="F41" s="557"/>
      <c r="G41" s="557"/>
      <c r="H41" s="557"/>
      <c r="I41" s="557"/>
      <c r="J41" s="557"/>
      <c r="K41" s="557"/>
      <c r="M41" s="271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1"/>
      <c r="Y41" s="271"/>
      <c r="Z41" s="271"/>
      <c r="AA41" s="271"/>
    </row>
    <row r="42" spans="1:27" s="532" customFormat="1" x14ac:dyDescent="0.2">
      <c r="A42" s="472"/>
      <c r="B42" s="472"/>
      <c r="C42" s="472"/>
      <c r="D42" s="472"/>
      <c r="E42" s="557"/>
      <c r="F42" s="557"/>
      <c r="G42" s="557"/>
      <c r="H42" s="557"/>
      <c r="I42" s="557"/>
      <c r="J42" s="557"/>
      <c r="K42" s="557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</row>
    <row r="43" spans="1:27" s="532" customFormat="1" x14ac:dyDescent="0.2">
      <c r="A43" s="472"/>
      <c r="B43" s="472"/>
      <c r="C43" s="472"/>
      <c r="D43" s="472"/>
      <c r="E43" s="557"/>
      <c r="F43" s="557"/>
      <c r="G43" s="557"/>
      <c r="H43" s="557"/>
      <c r="I43" s="557"/>
      <c r="J43" s="557"/>
      <c r="K43" s="557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</row>
    <row r="44" spans="1:27" s="532" customFormat="1" x14ac:dyDescent="0.2">
      <c r="A44" s="472"/>
      <c r="B44" s="472"/>
      <c r="C44" s="472"/>
      <c r="D44" s="472"/>
      <c r="E44" s="557"/>
      <c r="F44" s="557"/>
      <c r="G44" s="557"/>
      <c r="H44" s="557"/>
      <c r="I44" s="557"/>
      <c r="J44" s="557"/>
      <c r="K44" s="557"/>
      <c r="M44" s="271"/>
      <c r="N44" s="271"/>
      <c r="O44" s="271"/>
      <c r="P44" s="271"/>
      <c r="Q44" s="271"/>
      <c r="R44" s="271"/>
      <c r="S44" s="271"/>
      <c r="T44" s="271"/>
      <c r="U44" s="271"/>
      <c r="V44" s="271"/>
      <c r="W44" s="271"/>
      <c r="X44" s="271"/>
      <c r="Y44" s="271"/>
      <c r="Z44" s="271"/>
      <c r="AA44" s="271"/>
    </row>
    <row r="45" spans="1:27" s="532" customFormat="1" x14ac:dyDescent="0.2">
      <c r="A45" s="472"/>
      <c r="B45" s="472"/>
      <c r="C45" s="472"/>
      <c r="D45" s="472"/>
      <c r="E45" s="557"/>
      <c r="F45" s="557"/>
      <c r="G45" s="557"/>
      <c r="H45" s="557"/>
      <c r="I45" s="557"/>
      <c r="J45" s="557"/>
      <c r="K45" s="557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1"/>
      <c r="Z45" s="271"/>
      <c r="AA45" s="271"/>
    </row>
    <row r="46" spans="1:27" s="532" customFormat="1" x14ac:dyDescent="0.2">
      <c r="A46" s="472"/>
      <c r="B46" s="472"/>
      <c r="C46" s="472"/>
      <c r="D46" s="472"/>
      <c r="E46" s="557"/>
      <c r="F46" s="557"/>
      <c r="G46" s="557"/>
      <c r="H46" s="557"/>
      <c r="I46" s="557"/>
      <c r="J46" s="557"/>
      <c r="K46" s="557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</row>
    <row r="47" spans="1:27" s="532" customFormat="1" x14ac:dyDescent="0.2">
      <c r="A47" s="472"/>
      <c r="B47" s="472"/>
      <c r="C47" s="472"/>
      <c r="D47" s="472"/>
      <c r="E47" s="557"/>
      <c r="F47" s="557"/>
      <c r="G47" s="557"/>
      <c r="H47" s="557"/>
      <c r="I47" s="557"/>
      <c r="J47" s="557"/>
      <c r="K47" s="557"/>
      <c r="M47" s="271"/>
      <c r="N47" s="271"/>
      <c r="O47" s="271"/>
      <c r="P47" s="271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</row>
    <row r="48" spans="1:27" s="532" customFormat="1" x14ac:dyDescent="0.2">
      <c r="A48" s="472"/>
      <c r="B48" s="472"/>
      <c r="C48" s="472"/>
      <c r="D48" s="472"/>
      <c r="E48" s="557"/>
      <c r="F48" s="557"/>
      <c r="G48" s="557"/>
      <c r="H48" s="557"/>
      <c r="I48" s="557"/>
      <c r="J48" s="557"/>
      <c r="K48" s="557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X48" s="271"/>
      <c r="Y48" s="271"/>
      <c r="Z48" s="271"/>
      <c r="AA48" s="271"/>
    </row>
    <row r="49" spans="1:27" s="532" customFormat="1" x14ac:dyDescent="0.2">
      <c r="A49" s="472"/>
      <c r="B49" s="472"/>
      <c r="C49" s="472"/>
      <c r="D49" s="472"/>
      <c r="E49" s="557"/>
      <c r="F49" s="557"/>
      <c r="G49" s="557"/>
      <c r="H49" s="557"/>
      <c r="I49" s="557"/>
      <c r="J49" s="557"/>
      <c r="K49" s="557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1"/>
    </row>
    <row r="50" spans="1:27" s="532" customFormat="1" x14ac:dyDescent="0.2">
      <c r="A50" s="472"/>
      <c r="B50" s="472"/>
      <c r="C50" s="472"/>
      <c r="D50" s="472"/>
      <c r="E50" s="557"/>
      <c r="F50" s="557"/>
      <c r="G50" s="557"/>
      <c r="H50" s="557"/>
      <c r="I50" s="557"/>
      <c r="J50" s="557"/>
      <c r="K50" s="557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271"/>
    </row>
    <row r="51" spans="1:27" s="532" customFormat="1" x14ac:dyDescent="0.2">
      <c r="A51" s="472"/>
      <c r="B51" s="472"/>
      <c r="C51" s="472"/>
      <c r="D51" s="472"/>
      <c r="E51" s="557"/>
      <c r="F51" s="557"/>
      <c r="G51" s="557"/>
      <c r="H51" s="557"/>
      <c r="I51" s="557"/>
      <c r="J51" s="557"/>
      <c r="K51" s="557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</row>
    <row r="52" spans="1:27" s="532" customFormat="1" x14ac:dyDescent="0.2">
      <c r="A52" s="472"/>
      <c r="B52" s="472"/>
      <c r="C52" s="472"/>
      <c r="D52" s="472"/>
      <c r="E52" s="557"/>
      <c r="F52" s="557"/>
      <c r="G52" s="557"/>
      <c r="H52" s="557"/>
      <c r="I52" s="557"/>
      <c r="J52" s="557"/>
      <c r="K52" s="557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</row>
    <row r="53" spans="1:27" s="532" customFormat="1" x14ac:dyDescent="0.2">
      <c r="A53" s="472"/>
      <c r="B53" s="472"/>
      <c r="C53" s="472"/>
      <c r="D53" s="472"/>
      <c r="E53" s="557"/>
      <c r="F53" s="557"/>
      <c r="G53" s="557"/>
      <c r="H53" s="557"/>
      <c r="I53" s="557"/>
      <c r="J53" s="557"/>
      <c r="K53" s="557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</row>
    <row r="54" spans="1:27" s="532" customFormat="1" x14ac:dyDescent="0.2">
      <c r="A54" s="472"/>
      <c r="B54" s="472"/>
      <c r="C54" s="472"/>
      <c r="D54" s="472"/>
      <c r="E54" s="557"/>
      <c r="F54" s="557"/>
      <c r="G54" s="557"/>
      <c r="H54" s="557"/>
      <c r="I54" s="557"/>
      <c r="J54" s="557"/>
      <c r="K54" s="557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</row>
    <row r="55" spans="1:27" s="532" customFormat="1" x14ac:dyDescent="0.2">
      <c r="A55" s="472"/>
      <c r="B55" s="472"/>
      <c r="C55" s="472"/>
      <c r="D55" s="472"/>
      <c r="E55" s="557"/>
      <c r="F55" s="557"/>
      <c r="G55" s="557"/>
      <c r="H55" s="557"/>
      <c r="I55" s="557"/>
      <c r="J55" s="557"/>
      <c r="K55" s="557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</row>
    <row r="56" spans="1:27" s="532" customFormat="1" x14ac:dyDescent="0.2">
      <c r="A56" s="472"/>
      <c r="B56" s="472"/>
      <c r="C56" s="472"/>
      <c r="D56" s="472"/>
      <c r="E56" s="557"/>
      <c r="F56" s="557"/>
      <c r="G56" s="557"/>
      <c r="H56" s="557"/>
      <c r="I56" s="557"/>
      <c r="J56" s="557"/>
      <c r="K56" s="557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</row>
    <row r="57" spans="1:27" s="532" customFormat="1" x14ac:dyDescent="0.2">
      <c r="A57" s="472"/>
      <c r="B57" s="472"/>
      <c r="C57" s="472"/>
      <c r="D57" s="472"/>
      <c r="E57" s="557"/>
      <c r="F57" s="557"/>
      <c r="G57" s="557"/>
      <c r="H57" s="557"/>
      <c r="I57" s="557"/>
      <c r="J57" s="557"/>
      <c r="K57" s="557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X57" s="271"/>
      <c r="Y57" s="271"/>
      <c r="Z57" s="271"/>
      <c r="AA57" s="271"/>
    </row>
    <row r="58" spans="1:27" s="532" customFormat="1" x14ac:dyDescent="0.2">
      <c r="A58" s="472"/>
      <c r="B58" s="472"/>
      <c r="C58" s="472"/>
      <c r="D58" s="472"/>
      <c r="E58" s="557"/>
      <c r="F58" s="557"/>
      <c r="G58" s="557"/>
      <c r="H58" s="557"/>
      <c r="I58" s="557"/>
      <c r="J58" s="557"/>
      <c r="K58" s="557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271"/>
    </row>
    <row r="59" spans="1:27" s="532" customFormat="1" x14ac:dyDescent="0.2">
      <c r="A59" s="472"/>
      <c r="B59" s="472"/>
      <c r="C59" s="472"/>
      <c r="D59" s="472"/>
      <c r="E59" s="557"/>
      <c r="F59" s="557"/>
      <c r="G59" s="557"/>
      <c r="H59" s="557"/>
      <c r="I59" s="557"/>
      <c r="J59" s="557"/>
      <c r="K59" s="557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  <c r="X59" s="271"/>
      <c r="Y59" s="271"/>
      <c r="Z59" s="271"/>
      <c r="AA59" s="271"/>
    </row>
    <row r="60" spans="1:27" s="532" customFormat="1" x14ac:dyDescent="0.2">
      <c r="A60" s="472"/>
      <c r="B60" s="472"/>
      <c r="C60" s="472"/>
      <c r="D60" s="472"/>
      <c r="E60" s="557"/>
      <c r="F60" s="557"/>
      <c r="G60" s="557"/>
      <c r="H60" s="557"/>
      <c r="I60" s="557"/>
      <c r="J60" s="557"/>
      <c r="K60" s="557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</row>
    <row r="61" spans="1:27" s="532" customFormat="1" x14ac:dyDescent="0.2">
      <c r="A61" s="472"/>
      <c r="B61" s="472"/>
      <c r="C61" s="472"/>
      <c r="D61" s="472"/>
      <c r="E61" s="557"/>
      <c r="F61" s="557"/>
      <c r="G61" s="557"/>
      <c r="H61" s="557"/>
      <c r="I61" s="557"/>
      <c r="J61" s="557"/>
      <c r="K61" s="557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  <c r="X61" s="271"/>
      <c r="Y61" s="271"/>
      <c r="Z61" s="271"/>
      <c r="AA61" s="271"/>
    </row>
    <row r="62" spans="1:27" s="532" customFormat="1" x14ac:dyDescent="0.2">
      <c r="A62" s="472"/>
      <c r="B62" s="472"/>
      <c r="C62" s="472"/>
      <c r="D62" s="472"/>
      <c r="E62" s="557"/>
      <c r="F62" s="557"/>
      <c r="G62" s="557"/>
      <c r="H62" s="557"/>
      <c r="I62" s="557"/>
      <c r="J62" s="557"/>
      <c r="K62" s="557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</row>
    <row r="63" spans="1:27" s="532" customFormat="1" x14ac:dyDescent="0.2">
      <c r="A63" s="472"/>
      <c r="B63" s="472"/>
      <c r="C63" s="472"/>
      <c r="D63" s="472"/>
      <c r="E63" s="557"/>
      <c r="F63" s="557"/>
      <c r="G63" s="557"/>
      <c r="H63" s="557"/>
      <c r="I63" s="557"/>
      <c r="J63" s="557"/>
      <c r="K63" s="557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</row>
    <row r="64" spans="1:27" s="532" customFormat="1" x14ac:dyDescent="0.2">
      <c r="A64" s="472"/>
      <c r="B64" s="472"/>
      <c r="C64" s="472"/>
      <c r="D64" s="472"/>
      <c r="E64" s="557"/>
      <c r="F64" s="557"/>
      <c r="G64" s="557"/>
      <c r="H64" s="557"/>
      <c r="I64" s="557"/>
      <c r="J64" s="557"/>
      <c r="K64" s="557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</row>
    <row r="65" spans="1:27" s="532" customFormat="1" x14ac:dyDescent="0.2">
      <c r="A65" s="472"/>
      <c r="B65" s="472"/>
      <c r="C65" s="472"/>
      <c r="D65" s="472"/>
      <c r="E65" s="557"/>
      <c r="F65" s="557"/>
      <c r="G65" s="557"/>
      <c r="H65" s="557"/>
      <c r="I65" s="557"/>
      <c r="J65" s="557"/>
      <c r="K65" s="557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</row>
    <row r="66" spans="1:27" s="532" customFormat="1" x14ac:dyDescent="0.2">
      <c r="A66" s="472"/>
      <c r="B66" s="472"/>
      <c r="C66" s="472"/>
      <c r="D66" s="472"/>
      <c r="E66" s="557"/>
      <c r="F66" s="557"/>
      <c r="G66" s="557"/>
      <c r="H66" s="557"/>
      <c r="I66" s="557"/>
      <c r="J66" s="557"/>
      <c r="K66" s="557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  <c r="X66" s="271"/>
      <c r="Y66" s="271"/>
      <c r="Z66" s="271"/>
      <c r="AA66" s="271"/>
    </row>
    <row r="67" spans="1:27" s="532" customFormat="1" x14ac:dyDescent="0.2">
      <c r="A67" s="472"/>
      <c r="B67" s="472"/>
      <c r="C67" s="472"/>
      <c r="D67" s="472"/>
      <c r="E67" s="557"/>
      <c r="F67" s="557"/>
      <c r="G67" s="557"/>
      <c r="H67" s="557"/>
      <c r="I67" s="557"/>
      <c r="J67" s="557"/>
      <c r="K67" s="557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  <c r="X67" s="271"/>
      <c r="Y67" s="271"/>
      <c r="Z67" s="271"/>
      <c r="AA67" s="271"/>
    </row>
    <row r="68" spans="1:27" s="532" customFormat="1" x14ac:dyDescent="0.2">
      <c r="A68" s="472"/>
      <c r="B68" s="472"/>
      <c r="C68" s="472"/>
      <c r="D68" s="472"/>
      <c r="E68" s="557"/>
      <c r="F68" s="557"/>
      <c r="G68" s="557"/>
      <c r="H68" s="557"/>
      <c r="I68" s="557"/>
      <c r="J68" s="557"/>
      <c r="K68" s="557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</row>
    <row r="69" spans="1:27" s="532" customFormat="1" x14ac:dyDescent="0.2">
      <c r="A69" s="472"/>
      <c r="B69" s="472"/>
      <c r="C69" s="472"/>
      <c r="D69" s="472"/>
      <c r="E69" s="557"/>
      <c r="F69" s="557"/>
      <c r="G69" s="557"/>
      <c r="H69" s="557"/>
      <c r="I69" s="557"/>
      <c r="J69" s="557"/>
      <c r="K69" s="557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</row>
    <row r="70" spans="1:27" s="532" customFormat="1" x14ac:dyDescent="0.2">
      <c r="A70" s="472"/>
      <c r="B70" s="472"/>
      <c r="C70" s="472"/>
      <c r="D70" s="472"/>
      <c r="E70" s="557"/>
      <c r="F70" s="557"/>
      <c r="G70" s="557"/>
      <c r="H70" s="557"/>
      <c r="I70" s="557"/>
      <c r="J70" s="557"/>
      <c r="K70" s="557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</row>
    <row r="71" spans="1:27" s="532" customFormat="1" x14ac:dyDescent="0.2">
      <c r="A71" s="472"/>
      <c r="B71" s="472"/>
      <c r="C71" s="472"/>
      <c r="D71" s="472"/>
      <c r="E71" s="557"/>
      <c r="F71" s="557"/>
      <c r="G71" s="557"/>
      <c r="H71" s="557"/>
      <c r="I71" s="557"/>
      <c r="J71" s="557"/>
      <c r="K71" s="557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  <c r="X71" s="271"/>
      <c r="Y71" s="271"/>
      <c r="Z71" s="271"/>
      <c r="AA71" s="271"/>
    </row>
    <row r="72" spans="1:27" s="532" customFormat="1" x14ac:dyDescent="0.2">
      <c r="A72" s="472"/>
      <c r="B72" s="472"/>
      <c r="C72" s="472"/>
      <c r="D72" s="472"/>
      <c r="E72" s="557"/>
      <c r="F72" s="557"/>
      <c r="G72" s="557"/>
      <c r="H72" s="557"/>
      <c r="I72" s="557"/>
      <c r="J72" s="557"/>
      <c r="K72" s="557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  <c r="X72" s="271"/>
      <c r="Y72" s="271"/>
      <c r="Z72" s="271"/>
      <c r="AA72" s="271"/>
    </row>
    <row r="73" spans="1:27" s="532" customFormat="1" x14ac:dyDescent="0.2">
      <c r="A73" s="472"/>
      <c r="B73" s="472"/>
      <c r="C73" s="472"/>
      <c r="D73" s="472"/>
      <c r="E73" s="557"/>
      <c r="F73" s="557"/>
      <c r="G73" s="557"/>
      <c r="H73" s="557"/>
      <c r="I73" s="557"/>
      <c r="J73" s="557"/>
      <c r="K73" s="557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  <c r="X73" s="271"/>
      <c r="Y73" s="271"/>
      <c r="Z73" s="271"/>
      <c r="AA73" s="271"/>
    </row>
    <row r="74" spans="1:27" s="532" customFormat="1" x14ac:dyDescent="0.2">
      <c r="A74" s="472"/>
      <c r="B74" s="472"/>
      <c r="C74" s="472"/>
      <c r="D74" s="472"/>
      <c r="E74" s="557"/>
      <c r="F74" s="557"/>
      <c r="G74" s="557"/>
      <c r="H74" s="557"/>
      <c r="I74" s="557"/>
      <c r="J74" s="557"/>
      <c r="K74" s="557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  <c r="X74" s="271"/>
      <c r="Y74" s="271"/>
      <c r="Z74" s="271"/>
      <c r="AA74" s="271"/>
    </row>
    <row r="75" spans="1:27" s="532" customFormat="1" x14ac:dyDescent="0.2">
      <c r="A75" s="472"/>
      <c r="B75" s="472"/>
      <c r="C75" s="472"/>
      <c r="D75" s="472"/>
      <c r="E75" s="557"/>
      <c r="F75" s="557"/>
      <c r="G75" s="557"/>
      <c r="H75" s="557"/>
      <c r="I75" s="557"/>
      <c r="J75" s="557"/>
      <c r="K75" s="557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  <c r="X75" s="271"/>
      <c r="Y75" s="271"/>
      <c r="Z75" s="271"/>
      <c r="AA75" s="271"/>
    </row>
    <row r="76" spans="1:27" s="532" customFormat="1" x14ac:dyDescent="0.2">
      <c r="A76" s="472"/>
      <c r="B76" s="472"/>
      <c r="C76" s="472"/>
      <c r="D76" s="472"/>
      <c r="E76" s="557"/>
      <c r="F76" s="557"/>
      <c r="G76" s="557"/>
      <c r="H76" s="557"/>
      <c r="I76" s="557"/>
      <c r="J76" s="557"/>
      <c r="K76" s="557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  <c r="X76" s="271"/>
      <c r="Y76" s="271"/>
      <c r="Z76" s="271"/>
      <c r="AA76" s="271"/>
    </row>
    <row r="77" spans="1:27" s="532" customFormat="1" x14ac:dyDescent="0.2">
      <c r="A77" s="472"/>
      <c r="B77" s="472"/>
      <c r="C77" s="472"/>
      <c r="D77" s="472"/>
      <c r="E77" s="557"/>
      <c r="F77" s="557"/>
      <c r="G77" s="557"/>
      <c r="H77" s="557"/>
      <c r="I77" s="557"/>
      <c r="J77" s="557"/>
      <c r="K77" s="557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  <c r="X77" s="271"/>
      <c r="Y77" s="271"/>
      <c r="Z77" s="271"/>
      <c r="AA77" s="271"/>
    </row>
    <row r="78" spans="1:27" s="532" customFormat="1" x14ac:dyDescent="0.2">
      <c r="A78" s="472"/>
      <c r="B78" s="472"/>
      <c r="C78" s="472"/>
      <c r="D78" s="472"/>
      <c r="E78" s="557"/>
      <c r="F78" s="557"/>
      <c r="G78" s="557"/>
      <c r="H78" s="557"/>
      <c r="I78" s="557"/>
      <c r="J78" s="557"/>
      <c r="K78" s="557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</row>
    <row r="79" spans="1:27" s="532" customFormat="1" x14ac:dyDescent="0.2">
      <c r="A79" s="472"/>
      <c r="B79" s="472"/>
      <c r="C79" s="472"/>
      <c r="D79" s="472"/>
      <c r="E79" s="557"/>
      <c r="F79" s="557"/>
      <c r="G79" s="557"/>
      <c r="H79" s="557"/>
      <c r="I79" s="557"/>
      <c r="J79" s="557"/>
      <c r="K79" s="557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</row>
    <row r="80" spans="1:27" s="532" customFormat="1" x14ac:dyDescent="0.2">
      <c r="A80" s="472"/>
      <c r="B80" s="472"/>
      <c r="C80" s="472"/>
      <c r="D80" s="472"/>
      <c r="E80" s="557"/>
      <c r="F80" s="557"/>
      <c r="G80" s="557"/>
      <c r="H80" s="557"/>
      <c r="I80" s="557"/>
      <c r="J80" s="557"/>
      <c r="K80" s="557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</row>
    <row r="81" spans="1:27" s="532" customFormat="1" x14ac:dyDescent="0.2">
      <c r="A81" s="472"/>
      <c r="B81" s="472"/>
      <c r="C81" s="472"/>
      <c r="D81" s="472"/>
      <c r="E81" s="557"/>
      <c r="F81" s="557"/>
      <c r="G81" s="557"/>
      <c r="H81" s="557"/>
      <c r="I81" s="557"/>
      <c r="J81" s="557"/>
      <c r="K81" s="557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</row>
    <row r="82" spans="1:27" s="532" customFormat="1" x14ac:dyDescent="0.2">
      <c r="A82" s="472"/>
      <c r="B82" s="472"/>
      <c r="C82" s="472"/>
      <c r="D82" s="472"/>
      <c r="E82" s="557"/>
      <c r="F82" s="557"/>
      <c r="G82" s="557"/>
      <c r="H82" s="557"/>
      <c r="I82" s="557"/>
      <c r="J82" s="557"/>
      <c r="K82" s="557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</row>
    <row r="83" spans="1:27" s="532" customFormat="1" x14ac:dyDescent="0.2">
      <c r="A83" s="472"/>
      <c r="B83" s="472"/>
      <c r="C83" s="472"/>
      <c r="D83" s="472"/>
      <c r="E83" s="557"/>
      <c r="F83" s="557"/>
      <c r="G83" s="557"/>
      <c r="H83" s="557"/>
      <c r="I83" s="557"/>
      <c r="J83" s="557"/>
      <c r="K83" s="557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</row>
    <row r="84" spans="1:27" s="532" customFormat="1" x14ac:dyDescent="0.2">
      <c r="A84" s="472"/>
      <c r="B84" s="472"/>
      <c r="C84" s="472"/>
      <c r="D84" s="472"/>
      <c r="E84" s="557"/>
      <c r="F84" s="557"/>
      <c r="G84" s="557"/>
      <c r="H84" s="557"/>
      <c r="I84" s="557"/>
      <c r="J84" s="557"/>
      <c r="K84" s="557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</row>
    <row r="85" spans="1:27" s="532" customFormat="1" x14ac:dyDescent="0.2">
      <c r="A85" s="472"/>
      <c r="B85" s="472"/>
      <c r="C85" s="472"/>
      <c r="D85" s="472"/>
      <c r="E85" s="557"/>
      <c r="F85" s="557"/>
      <c r="G85" s="557"/>
      <c r="H85" s="557"/>
      <c r="I85" s="557"/>
      <c r="J85" s="557"/>
      <c r="K85" s="557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</row>
    <row r="86" spans="1:27" s="532" customFormat="1" x14ac:dyDescent="0.2">
      <c r="A86" s="472"/>
      <c r="B86" s="472"/>
      <c r="C86" s="472"/>
      <c r="D86" s="472"/>
      <c r="E86" s="557"/>
      <c r="F86" s="557"/>
      <c r="G86" s="557"/>
      <c r="H86" s="557"/>
      <c r="I86" s="557"/>
      <c r="J86" s="557"/>
      <c r="K86" s="557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</row>
    <row r="87" spans="1:27" s="532" customFormat="1" x14ac:dyDescent="0.2">
      <c r="A87" s="472"/>
      <c r="B87" s="472"/>
      <c r="C87" s="472"/>
      <c r="D87" s="472"/>
      <c r="E87" s="557"/>
      <c r="F87" s="557"/>
      <c r="G87" s="557"/>
      <c r="H87" s="557"/>
      <c r="I87" s="557"/>
      <c r="J87" s="557"/>
      <c r="K87" s="557"/>
      <c r="M87" s="271"/>
      <c r="N87" s="271"/>
      <c r="O87" s="271"/>
      <c r="P87" s="271"/>
      <c r="Q87" s="271"/>
      <c r="R87" s="271"/>
      <c r="S87" s="271"/>
      <c r="T87" s="271"/>
      <c r="U87" s="271"/>
      <c r="V87" s="271"/>
      <c r="W87" s="271"/>
      <c r="X87" s="271"/>
      <c r="Y87" s="271"/>
      <c r="Z87" s="271"/>
      <c r="AA87" s="271"/>
    </row>
    <row r="88" spans="1:27" s="532" customFormat="1" x14ac:dyDescent="0.2">
      <c r="A88" s="472"/>
      <c r="B88" s="472"/>
      <c r="C88" s="472"/>
      <c r="D88" s="472"/>
      <c r="E88" s="557"/>
      <c r="F88" s="557"/>
      <c r="G88" s="557"/>
      <c r="H88" s="557"/>
      <c r="I88" s="557"/>
      <c r="J88" s="557"/>
      <c r="K88" s="557"/>
      <c r="M88" s="271"/>
      <c r="N88" s="271"/>
      <c r="O88" s="271"/>
      <c r="P88" s="271"/>
      <c r="Q88" s="271"/>
      <c r="R88" s="271"/>
      <c r="S88" s="271"/>
      <c r="T88" s="271"/>
      <c r="U88" s="271"/>
      <c r="V88" s="271"/>
      <c r="W88" s="271"/>
      <c r="X88" s="271"/>
      <c r="Y88" s="271"/>
      <c r="Z88" s="271"/>
      <c r="AA88" s="271"/>
    </row>
    <row r="89" spans="1:27" s="532" customFormat="1" x14ac:dyDescent="0.2">
      <c r="A89" s="472"/>
      <c r="B89" s="472"/>
      <c r="C89" s="472"/>
      <c r="D89" s="472"/>
      <c r="E89" s="557"/>
      <c r="F89" s="557"/>
      <c r="G89" s="557"/>
      <c r="H89" s="557"/>
      <c r="I89" s="557"/>
      <c r="J89" s="557"/>
      <c r="K89" s="557"/>
      <c r="M89" s="271"/>
      <c r="N89" s="271"/>
      <c r="O89" s="271"/>
      <c r="P89" s="271"/>
      <c r="Q89" s="271"/>
      <c r="R89" s="271"/>
      <c r="S89" s="271"/>
      <c r="T89" s="271"/>
      <c r="U89" s="271"/>
      <c r="V89" s="271"/>
      <c r="W89" s="271"/>
      <c r="X89" s="271"/>
      <c r="Y89" s="271"/>
      <c r="Z89" s="271"/>
      <c r="AA89" s="271"/>
    </row>
    <row r="90" spans="1:27" s="532" customFormat="1" x14ac:dyDescent="0.2">
      <c r="A90" s="472"/>
      <c r="B90" s="472"/>
      <c r="C90" s="472"/>
      <c r="D90" s="472"/>
      <c r="E90" s="557"/>
      <c r="F90" s="557"/>
      <c r="G90" s="557"/>
      <c r="H90" s="557"/>
      <c r="I90" s="557"/>
      <c r="J90" s="557"/>
      <c r="K90" s="557"/>
      <c r="M90" s="271"/>
      <c r="N90" s="271"/>
      <c r="O90" s="271"/>
      <c r="P90" s="271"/>
      <c r="Q90" s="271"/>
      <c r="R90" s="271"/>
      <c r="S90" s="271"/>
      <c r="T90" s="271"/>
      <c r="U90" s="271"/>
      <c r="V90" s="271"/>
      <c r="W90" s="271"/>
      <c r="X90" s="271"/>
      <c r="Y90" s="271"/>
      <c r="Z90" s="271"/>
      <c r="AA90" s="271"/>
    </row>
    <row r="91" spans="1:27" s="532" customFormat="1" x14ac:dyDescent="0.2">
      <c r="A91" s="472"/>
      <c r="B91" s="472"/>
      <c r="C91" s="472"/>
      <c r="D91" s="472"/>
      <c r="E91" s="557"/>
      <c r="F91" s="557"/>
      <c r="G91" s="557"/>
      <c r="H91" s="557"/>
      <c r="I91" s="557"/>
      <c r="J91" s="557"/>
      <c r="K91" s="557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</row>
    <row r="92" spans="1:27" s="532" customFormat="1" x14ac:dyDescent="0.2">
      <c r="A92" s="472"/>
      <c r="B92" s="472"/>
      <c r="C92" s="472"/>
      <c r="D92" s="472"/>
      <c r="E92" s="557"/>
      <c r="F92" s="557"/>
      <c r="G92" s="557"/>
      <c r="H92" s="557"/>
      <c r="I92" s="557"/>
      <c r="J92" s="557"/>
      <c r="K92" s="557"/>
      <c r="M92" s="271"/>
      <c r="N92" s="271"/>
      <c r="O92" s="271"/>
      <c r="P92" s="271"/>
      <c r="Q92" s="271"/>
      <c r="R92" s="271"/>
      <c r="S92" s="271"/>
      <c r="T92" s="271"/>
      <c r="U92" s="271"/>
      <c r="V92" s="271"/>
      <c r="W92" s="271"/>
      <c r="X92" s="271"/>
      <c r="Y92" s="271"/>
      <c r="Z92" s="271"/>
      <c r="AA92" s="271"/>
    </row>
    <row r="93" spans="1:27" s="532" customFormat="1" x14ac:dyDescent="0.2">
      <c r="A93" s="472"/>
      <c r="B93" s="472"/>
      <c r="C93" s="472"/>
      <c r="D93" s="472"/>
      <c r="E93" s="557"/>
      <c r="F93" s="557"/>
      <c r="G93" s="557"/>
      <c r="H93" s="557"/>
      <c r="I93" s="557"/>
      <c r="J93" s="557"/>
      <c r="K93" s="557"/>
      <c r="M93" s="271"/>
      <c r="N93" s="271"/>
      <c r="O93" s="271"/>
      <c r="P93" s="271"/>
      <c r="Q93" s="271"/>
      <c r="R93" s="271"/>
      <c r="S93" s="271"/>
      <c r="T93" s="271"/>
      <c r="U93" s="271"/>
      <c r="V93" s="271"/>
      <c r="W93" s="271"/>
      <c r="X93" s="271"/>
      <c r="Y93" s="271"/>
      <c r="Z93" s="271"/>
      <c r="AA93" s="271"/>
    </row>
    <row r="94" spans="1:27" s="532" customFormat="1" x14ac:dyDescent="0.2">
      <c r="A94" s="472"/>
      <c r="B94" s="472"/>
      <c r="C94" s="472"/>
      <c r="D94" s="472"/>
      <c r="E94" s="557"/>
      <c r="F94" s="557"/>
      <c r="G94" s="557"/>
      <c r="H94" s="557"/>
      <c r="I94" s="557"/>
      <c r="J94" s="557"/>
      <c r="K94" s="557"/>
      <c r="M94" s="271"/>
      <c r="N94" s="271"/>
      <c r="O94" s="271"/>
      <c r="P94" s="271"/>
      <c r="Q94" s="271"/>
      <c r="R94" s="271"/>
      <c r="S94" s="271"/>
      <c r="T94" s="271"/>
      <c r="U94" s="271"/>
      <c r="V94" s="271"/>
      <c r="W94" s="271"/>
      <c r="X94" s="271"/>
      <c r="Y94" s="271"/>
      <c r="Z94" s="271"/>
      <c r="AA94" s="271"/>
    </row>
    <row r="95" spans="1:27" s="532" customFormat="1" x14ac:dyDescent="0.2">
      <c r="A95" s="472"/>
      <c r="B95" s="472"/>
      <c r="C95" s="472"/>
      <c r="D95" s="472"/>
      <c r="E95" s="557"/>
      <c r="F95" s="557"/>
      <c r="G95" s="557"/>
      <c r="H95" s="557"/>
      <c r="I95" s="557"/>
      <c r="J95" s="557"/>
      <c r="K95" s="557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</row>
    <row r="96" spans="1:27" s="532" customFormat="1" x14ac:dyDescent="0.2">
      <c r="A96" s="472"/>
      <c r="B96" s="472"/>
      <c r="C96" s="472"/>
      <c r="D96" s="472"/>
      <c r="E96" s="557"/>
      <c r="F96" s="557"/>
      <c r="G96" s="557"/>
      <c r="H96" s="557"/>
      <c r="I96" s="557"/>
      <c r="J96" s="557"/>
      <c r="K96" s="557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</row>
    <row r="97" spans="1:27" s="532" customFormat="1" x14ac:dyDescent="0.2">
      <c r="A97" s="472"/>
      <c r="B97" s="472"/>
      <c r="C97" s="472"/>
      <c r="D97" s="472"/>
      <c r="E97" s="557"/>
      <c r="F97" s="557"/>
      <c r="G97" s="557"/>
      <c r="H97" s="557"/>
      <c r="I97" s="557"/>
      <c r="J97" s="557"/>
      <c r="K97" s="557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</row>
    <row r="98" spans="1:27" s="532" customFormat="1" x14ac:dyDescent="0.2">
      <c r="A98" s="472"/>
      <c r="B98" s="472"/>
      <c r="C98" s="472"/>
      <c r="D98" s="472"/>
      <c r="E98" s="557"/>
      <c r="F98" s="557"/>
      <c r="G98" s="557"/>
      <c r="H98" s="557"/>
      <c r="I98" s="557"/>
      <c r="J98" s="557"/>
      <c r="K98" s="557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</row>
    <row r="99" spans="1:27" s="532" customFormat="1" x14ac:dyDescent="0.2">
      <c r="A99" s="472"/>
      <c r="B99" s="472"/>
      <c r="C99" s="472"/>
      <c r="D99" s="472"/>
      <c r="E99" s="557"/>
      <c r="F99" s="557"/>
      <c r="G99" s="557"/>
      <c r="H99" s="557"/>
      <c r="I99" s="557"/>
      <c r="J99" s="557"/>
      <c r="K99" s="557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</row>
    <row r="100" spans="1:27" s="532" customFormat="1" x14ac:dyDescent="0.2">
      <c r="A100" s="472"/>
      <c r="B100" s="472"/>
      <c r="C100" s="472"/>
      <c r="D100" s="472"/>
      <c r="E100" s="557"/>
      <c r="F100" s="557"/>
      <c r="G100" s="557"/>
      <c r="H100" s="557"/>
      <c r="I100" s="557"/>
      <c r="J100" s="557"/>
      <c r="K100" s="557"/>
      <c r="M100" s="271"/>
      <c r="N100" s="271"/>
      <c r="O100" s="271"/>
      <c r="P100" s="271"/>
      <c r="Q100" s="271"/>
      <c r="R100" s="271"/>
      <c r="S100" s="271"/>
      <c r="T100" s="271"/>
      <c r="U100" s="271"/>
      <c r="V100" s="271"/>
      <c r="W100" s="271"/>
      <c r="X100" s="271"/>
      <c r="Y100" s="271"/>
      <c r="Z100" s="271"/>
      <c r="AA100" s="271"/>
    </row>
    <row r="101" spans="1:27" s="532" customFormat="1" x14ac:dyDescent="0.2">
      <c r="A101" s="472"/>
      <c r="B101" s="472"/>
      <c r="C101" s="472"/>
      <c r="D101" s="472"/>
      <c r="E101" s="557"/>
      <c r="F101" s="557"/>
      <c r="G101" s="557"/>
      <c r="H101" s="557"/>
      <c r="I101" s="557"/>
      <c r="J101" s="557"/>
      <c r="K101" s="557"/>
      <c r="M101" s="271"/>
      <c r="N101" s="271"/>
      <c r="O101" s="271"/>
      <c r="P101" s="271"/>
      <c r="Q101" s="271"/>
      <c r="R101" s="271"/>
      <c r="S101" s="271"/>
      <c r="T101" s="271"/>
      <c r="U101" s="271"/>
      <c r="V101" s="271"/>
      <c r="W101" s="271"/>
      <c r="X101" s="271"/>
      <c r="Y101" s="271"/>
      <c r="Z101" s="271"/>
      <c r="AA101" s="271"/>
    </row>
    <row r="102" spans="1:27" s="532" customFormat="1" x14ac:dyDescent="0.2">
      <c r="A102" s="472"/>
      <c r="B102" s="472"/>
      <c r="C102" s="472"/>
      <c r="D102" s="472"/>
      <c r="E102" s="557"/>
      <c r="F102" s="557"/>
      <c r="G102" s="557"/>
      <c r="H102" s="557"/>
      <c r="I102" s="557"/>
      <c r="J102" s="557"/>
      <c r="K102" s="557"/>
      <c r="M102" s="271"/>
      <c r="N102" s="271"/>
      <c r="O102" s="271"/>
      <c r="P102" s="271"/>
      <c r="Q102" s="271"/>
      <c r="R102" s="271"/>
      <c r="S102" s="271"/>
      <c r="T102" s="271"/>
      <c r="U102" s="271"/>
      <c r="V102" s="271"/>
      <c r="W102" s="271"/>
      <c r="X102" s="271"/>
      <c r="Y102" s="271"/>
      <c r="Z102" s="271"/>
      <c r="AA102" s="271"/>
    </row>
    <row r="103" spans="1:27" s="532" customFormat="1" x14ac:dyDescent="0.2">
      <c r="A103" s="472"/>
      <c r="B103" s="472"/>
      <c r="C103" s="472"/>
      <c r="D103" s="472"/>
      <c r="E103" s="557"/>
      <c r="F103" s="557"/>
      <c r="G103" s="557"/>
      <c r="H103" s="557"/>
      <c r="I103" s="557"/>
      <c r="J103" s="557"/>
      <c r="K103" s="557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</row>
    <row r="104" spans="1:27" s="532" customFormat="1" x14ac:dyDescent="0.2">
      <c r="A104" s="472"/>
      <c r="B104" s="472"/>
      <c r="C104" s="472"/>
      <c r="D104" s="472"/>
      <c r="E104" s="557"/>
      <c r="F104" s="557"/>
      <c r="G104" s="557"/>
      <c r="H104" s="557"/>
      <c r="I104" s="557"/>
      <c r="J104" s="557"/>
      <c r="K104" s="557"/>
      <c r="M104" s="271"/>
      <c r="N104" s="271"/>
      <c r="O104" s="271"/>
      <c r="P104" s="271"/>
      <c r="Q104" s="271"/>
      <c r="R104" s="271"/>
      <c r="S104" s="271"/>
      <c r="T104" s="271"/>
      <c r="U104" s="271"/>
      <c r="V104" s="271"/>
      <c r="W104" s="271"/>
      <c r="X104" s="271"/>
      <c r="Y104" s="271"/>
      <c r="Z104" s="271"/>
      <c r="AA104" s="271"/>
    </row>
    <row r="105" spans="1:27" s="532" customFormat="1" x14ac:dyDescent="0.2">
      <c r="A105" s="472"/>
      <c r="B105" s="472"/>
      <c r="C105" s="472"/>
      <c r="D105" s="472"/>
      <c r="E105" s="557"/>
      <c r="F105" s="557"/>
      <c r="G105" s="557"/>
      <c r="H105" s="557"/>
      <c r="I105" s="557"/>
      <c r="J105" s="557"/>
      <c r="K105" s="557"/>
      <c r="M105" s="271"/>
      <c r="N105" s="271"/>
      <c r="O105" s="271"/>
      <c r="P105" s="271"/>
      <c r="Q105" s="271"/>
      <c r="R105" s="271"/>
      <c r="S105" s="271"/>
      <c r="T105" s="271"/>
      <c r="U105" s="271"/>
      <c r="V105" s="271"/>
      <c r="W105" s="271"/>
      <c r="X105" s="271"/>
      <c r="Y105" s="271"/>
      <c r="Z105" s="271"/>
      <c r="AA105" s="271"/>
    </row>
    <row r="106" spans="1:27" s="532" customFormat="1" x14ac:dyDescent="0.2">
      <c r="A106" s="472"/>
      <c r="B106" s="472"/>
      <c r="C106" s="472"/>
      <c r="D106" s="472"/>
      <c r="E106" s="557"/>
      <c r="F106" s="557"/>
      <c r="G106" s="557"/>
      <c r="H106" s="557"/>
      <c r="I106" s="557"/>
      <c r="J106" s="557"/>
      <c r="K106" s="557"/>
      <c r="M106" s="271"/>
      <c r="N106" s="271"/>
      <c r="O106" s="271"/>
      <c r="P106" s="271"/>
      <c r="Q106" s="271"/>
      <c r="R106" s="271"/>
      <c r="S106" s="271"/>
      <c r="T106" s="271"/>
      <c r="U106" s="271"/>
      <c r="V106" s="271"/>
      <c r="W106" s="271"/>
      <c r="X106" s="271"/>
      <c r="Y106" s="271"/>
      <c r="Z106" s="271"/>
      <c r="AA106" s="271"/>
    </row>
    <row r="107" spans="1:27" s="532" customFormat="1" x14ac:dyDescent="0.2">
      <c r="A107" s="472"/>
      <c r="B107" s="472"/>
      <c r="C107" s="472"/>
      <c r="D107" s="472"/>
      <c r="E107" s="557"/>
      <c r="F107" s="557"/>
      <c r="G107" s="557"/>
      <c r="H107" s="557"/>
      <c r="I107" s="557"/>
      <c r="J107" s="557"/>
      <c r="K107" s="557"/>
      <c r="M107" s="271"/>
      <c r="N107" s="271"/>
      <c r="O107" s="271"/>
      <c r="P107" s="271"/>
      <c r="Q107" s="271"/>
      <c r="R107" s="271"/>
      <c r="S107" s="271"/>
      <c r="T107" s="271"/>
      <c r="U107" s="271"/>
      <c r="V107" s="271"/>
      <c r="W107" s="271"/>
      <c r="X107" s="271"/>
      <c r="Y107" s="271"/>
      <c r="Z107" s="271"/>
      <c r="AA107" s="271"/>
    </row>
    <row r="108" spans="1:27" s="532" customFormat="1" x14ac:dyDescent="0.2">
      <c r="A108" s="472"/>
      <c r="B108" s="472"/>
      <c r="C108" s="472"/>
      <c r="D108" s="472"/>
      <c r="E108" s="557"/>
      <c r="F108" s="557"/>
      <c r="G108" s="557"/>
      <c r="H108" s="557"/>
      <c r="I108" s="557"/>
      <c r="J108" s="557"/>
      <c r="K108" s="557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</row>
    <row r="109" spans="1:27" s="532" customFormat="1" x14ac:dyDescent="0.2">
      <c r="A109" s="472"/>
      <c r="B109" s="472"/>
      <c r="C109" s="472"/>
      <c r="D109" s="472"/>
      <c r="E109" s="557"/>
      <c r="F109" s="557"/>
      <c r="G109" s="557"/>
      <c r="H109" s="557"/>
      <c r="I109" s="557"/>
      <c r="J109" s="557"/>
      <c r="K109" s="557"/>
      <c r="M109" s="271"/>
      <c r="N109" s="271"/>
      <c r="O109" s="271"/>
      <c r="P109" s="271"/>
      <c r="Q109" s="271"/>
      <c r="R109" s="271"/>
      <c r="S109" s="271"/>
      <c r="T109" s="271"/>
      <c r="U109" s="271"/>
      <c r="V109" s="271"/>
      <c r="W109" s="271"/>
      <c r="X109" s="271"/>
      <c r="Y109" s="271"/>
      <c r="Z109" s="271"/>
      <c r="AA109" s="271"/>
    </row>
    <row r="110" spans="1:27" s="532" customFormat="1" x14ac:dyDescent="0.2">
      <c r="A110" s="472"/>
      <c r="B110" s="472"/>
      <c r="C110" s="472"/>
      <c r="D110" s="472"/>
      <c r="E110" s="557"/>
      <c r="F110" s="557"/>
      <c r="G110" s="557"/>
      <c r="H110" s="557"/>
      <c r="I110" s="557"/>
      <c r="J110" s="557"/>
      <c r="K110" s="557"/>
      <c r="M110" s="271"/>
      <c r="N110" s="271"/>
      <c r="O110" s="271"/>
      <c r="P110" s="271"/>
      <c r="Q110" s="271"/>
      <c r="R110" s="271"/>
      <c r="S110" s="271"/>
      <c r="T110" s="271"/>
      <c r="U110" s="271"/>
      <c r="V110" s="271"/>
      <c r="W110" s="271"/>
      <c r="X110" s="271"/>
      <c r="Y110" s="271"/>
      <c r="Z110" s="271"/>
      <c r="AA110" s="271"/>
    </row>
    <row r="111" spans="1:27" s="532" customFormat="1" x14ac:dyDescent="0.2">
      <c r="A111" s="472"/>
      <c r="B111" s="472"/>
      <c r="C111" s="472"/>
      <c r="D111" s="472"/>
      <c r="E111" s="557"/>
      <c r="F111" s="557"/>
      <c r="G111" s="557"/>
      <c r="H111" s="557"/>
      <c r="I111" s="557"/>
      <c r="J111" s="557"/>
      <c r="K111" s="557"/>
      <c r="M111" s="271"/>
      <c r="N111" s="271"/>
      <c r="O111" s="271"/>
      <c r="P111" s="271"/>
      <c r="Q111" s="271"/>
      <c r="R111" s="271"/>
      <c r="S111" s="271"/>
      <c r="T111" s="271"/>
      <c r="U111" s="271"/>
      <c r="V111" s="271"/>
      <c r="W111" s="271"/>
      <c r="X111" s="271"/>
      <c r="Y111" s="271"/>
      <c r="Z111" s="271"/>
      <c r="AA111" s="271"/>
    </row>
    <row r="112" spans="1:27" s="532" customFormat="1" x14ac:dyDescent="0.2">
      <c r="A112" s="472"/>
      <c r="B112" s="472"/>
      <c r="C112" s="472"/>
      <c r="D112" s="472"/>
      <c r="E112" s="557"/>
      <c r="F112" s="557"/>
      <c r="G112" s="557"/>
      <c r="H112" s="557"/>
      <c r="I112" s="557"/>
      <c r="J112" s="557"/>
      <c r="K112" s="557"/>
      <c r="M112" s="271"/>
      <c r="N112" s="271"/>
      <c r="O112" s="271"/>
      <c r="P112" s="271"/>
      <c r="Q112" s="271"/>
      <c r="R112" s="271"/>
      <c r="S112" s="271"/>
      <c r="T112" s="271"/>
      <c r="U112" s="271"/>
      <c r="V112" s="271"/>
      <c r="W112" s="271"/>
      <c r="X112" s="271"/>
      <c r="Y112" s="271"/>
      <c r="Z112" s="271"/>
      <c r="AA112" s="271"/>
    </row>
    <row r="113" spans="1:27" s="532" customFormat="1" x14ac:dyDescent="0.2">
      <c r="A113" s="472"/>
      <c r="B113" s="472"/>
      <c r="C113" s="472"/>
      <c r="D113" s="472"/>
      <c r="E113" s="557"/>
      <c r="F113" s="557"/>
      <c r="G113" s="557"/>
      <c r="H113" s="557"/>
      <c r="I113" s="557"/>
      <c r="J113" s="557"/>
      <c r="K113" s="557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</row>
    <row r="114" spans="1:27" s="532" customFormat="1" x14ac:dyDescent="0.2">
      <c r="A114" s="472"/>
      <c r="B114" s="472"/>
      <c r="C114" s="472"/>
      <c r="D114" s="472"/>
      <c r="E114" s="557"/>
      <c r="F114" s="557"/>
      <c r="G114" s="557"/>
      <c r="H114" s="557"/>
      <c r="I114" s="557"/>
      <c r="J114" s="557"/>
      <c r="K114" s="557"/>
      <c r="M114" s="271"/>
      <c r="N114" s="271"/>
      <c r="O114" s="271"/>
      <c r="P114" s="271"/>
      <c r="Q114" s="271"/>
      <c r="R114" s="271"/>
      <c r="S114" s="271"/>
      <c r="T114" s="271"/>
      <c r="U114" s="271"/>
      <c r="V114" s="271"/>
      <c r="W114" s="271"/>
      <c r="X114" s="271"/>
      <c r="Y114" s="271"/>
      <c r="Z114" s="271"/>
      <c r="AA114" s="271"/>
    </row>
    <row r="115" spans="1:27" s="532" customFormat="1" x14ac:dyDescent="0.2">
      <c r="A115" s="472"/>
      <c r="B115" s="472"/>
      <c r="C115" s="472"/>
      <c r="D115" s="472"/>
      <c r="E115" s="557"/>
      <c r="F115" s="557"/>
      <c r="G115" s="557"/>
      <c r="H115" s="557"/>
      <c r="I115" s="557"/>
      <c r="J115" s="557"/>
      <c r="K115" s="557"/>
      <c r="M115" s="271"/>
      <c r="N115" s="271"/>
      <c r="O115" s="271"/>
      <c r="P115" s="271"/>
      <c r="Q115" s="271"/>
      <c r="R115" s="271"/>
      <c r="S115" s="271"/>
      <c r="T115" s="271"/>
      <c r="U115" s="271"/>
      <c r="V115" s="271"/>
      <c r="W115" s="271"/>
      <c r="X115" s="271"/>
      <c r="Y115" s="271"/>
      <c r="Z115" s="271"/>
      <c r="AA115" s="271"/>
    </row>
    <row r="116" spans="1:27" s="532" customFormat="1" x14ac:dyDescent="0.2">
      <c r="A116" s="472"/>
      <c r="B116" s="472"/>
      <c r="C116" s="472"/>
      <c r="D116" s="472"/>
      <c r="E116" s="557"/>
      <c r="F116" s="557"/>
      <c r="G116" s="557"/>
      <c r="H116" s="557"/>
      <c r="I116" s="557"/>
      <c r="J116" s="557"/>
      <c r="K116" s="557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</row>
    <row r="117" spans="1:27" s="532" customFormat="1" x14ac:dyDescent="0.2">
      <c r="A117" s="472"/>
      <c r="B117" s="472"/>
      <c r="C117" s="472"/>
      <c r="D117" s="472"/>
      <c r="E117" s="557"/>
      <c r="F117" s="557"/>
      <c r="G117" s="557"/>
      <c r="H117" s="557"/>
      <c r="I117" s="557"/>
      <c r="J117" s="557"/>
      <c r="K117" s="557"/>
      <c r="M117" s="271"/>
      <c r="N117" s="271"/>
      <c r="O117" s="271"/>
      <c r="P117" s="271"/>
      <c r="Q117" s="271"/>
      <c r="R117" s="271"/>
      <c r="S117" s="271"/>
      <c r="T117" s="271"/>
      <c r="U117" s="271"/>
      <c r="V117" s="271"/>
      <c r="W117" s="271"/>
      <c r="X117" s="271"/>
      <c r="Y117" s="271"/>
      <c r="Z117" s="271"/>
      <c r="AA117" s="271"/>
    </row>
    <row r="118" spans="1:27" s="532" customFormat="1" x14ac:dyDescent="0.2">
      <c r="A118" s="472"/>
      <c r="B118" s="472"/>
      <c r="C118" s="472"/>
      <c r="D118" s="472"/>
      <c r="E118" s="557"/>
      <c r="F118" s="557"/>
      <c r="G118" s="557"/>
      <c r="H118" s="557"/>
      <c r="I118" s="557"/>
      <c r="J118" s="557"/>
      <c r="K118" s="557"/>
      <c r="M118" s="271"/>
      <c r="N118" s="271"/>
      <c r="O118" s="271"/>
      <c r="P118" s="271"/>
      <c r="Q118" s="271"/>
      <c r="R118" s="271"/>
      <c r="S118" s="271"/>
      <c r="T118" s="271"/>
      <c r="U118" s="271"/>
      <c r="V118" s="271"/>
      <c r="W118" s="271"/>
      <c r="X118" s="271"/>
      <c r="Y118" s="271"/>
      <c r="Z118" s="271"/>
      <c r="AA118" s="271"/>
    </row>
    <row r="119" spans="1:27" s="532" customFormat="1" x14ac:dyDescent="0.2">
      <c r="A119" s="472"/>
      <c r="B119" s="472"/>
      <c r="C119" s="472"/>
      <c r="D119" s="472"/>
      <c r="E119" s="557"/>
      <c r="F119" s="557"/>
      <c r="G119" s="557"/>
      <c r="H119" s="557"/>
      <c r="I119" s="557"/>
      <c r="J119" s="557"/>
      <c r="K119" s="557"/>
      <c r="M119" s="271"/>
      <c r="N119" s="271"/>
      <c r="O119" s="271"/>
      <c r="P119" s="271"/>
      <c r="Q119" s="271"/>
      <c r="R119" s="271"/>
      <c r="S119" s="271"/>
      <c r="T119" s="271"/>
      <c r="U119" s="271"/>
      <c r="V119" s="271"/>
      <c r="W119" s="271"/>
      <c r="X119" s="271"/>
      <c r="Y119" s="271"/>
      <c r="Z119" s="271"/>
      <c r="AA119" s="271"/>
    </row>
    <row r="120" spans="1:27" s="532" customFormat="1" x14ac:dyDescent="0.2">
      <c r="A120" s="472"/>
      <c r="B120" s="472"/>
      <c r="C120" s="472"/>
      <c r="D120" s="472"/>
      <c r="E120" s="557"/>
      <c r="F120" s="557"/>
      <c r="G120" s="557"/>
      <c r="H120" s="557"/>
      <c r="I120" s="557"/>
      <c r="J120" s="557"/>
      <c r="K120" s="557"/>
      <c r="M120" s="271"/>
      <c r="N120" s="271"/>
      <c r="O120" s="271"/>
      <c r="P120" s="271"/>
      <c r="Q120" s="271"/>
      <c r="R120" s="271"/>
      <c r="S120" s="271"/>
      <c r="T120" s="271"/>
      <c r="U120" s="271"/>
      <c r="V120" s="271"/>
      <c r="W120" s="271"/>
      <c r="X120" s="271"/>
      <c r="Y120" s="271"/>
      <c r="Z120" s="271"/>
      <c r="AA120" s="271"/>
    </row>
    <row r="121" spans="1:27" s="532" customFormat="1" x14ac:dyDescent="0.2">
      <c r="A121" s="472"/>
      <c r="B121" s="472"/>
      <c r="C121" s="472"/>
      <c r="D121" s="472"/>
      <c r="E121" s="557"/>
      <c r="F121" s="557"/>
      <c r="G121" s="557"/>
      <c r="H121" s="557"/>
      <c r="I121" s="557"/>
      <c r="J121" s="557"/>
      <c r="K121" s="557"/>
      <c r="M121" s="271"/>
      <c r="N121" s="271"/>
      <c r="O121" s="271"/>
      <c r="P121" s="271"/>
      <c r="Q121" s="271"/>
      <c r="R121" s="271"/>
      <c r="S121" s="271"/>
      <c r="T121" s="271"/>
      <c r="U121" s="271"/>
      <c r="V121" s="271"/>
      <c r="W121" s="271"/>
      <c r="X121" s="271"/>
      <c r="Y121" s="271"/>
      <c r="Z121" s="271"/>
      <c r="AA121" s="271"/>
    </row>
    <row r="122" spans="1:27" s="532" customFormat="1" x14ac:dyDescent="0.2">
      <c r="A122" s="472"/>
      <c r="B122" s="472"/>
      <c r="C122" s="472"/>
      <c r="D122" s="472"/>
      <c r="E122" s="557"/>
      <c r="F122" s="557"/>
      <c r="G122" s="557"/>
      <c r="H122" s="557"/>
      <c r="I122" s="557"/>
      <c r="J122" s="557"/>
      <c r="K122" s="557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</row>
    <row r="123" spans="1:27" s="532" customFormat="1" x14ac:dyDescent="0.2">
      <c r="A123" s="472"/>
      <c r="B123" s="472"/>
      <c r="C123" s="472"/>
      <c r="D123" s="472"/>
      <c r="E123" s="557"/>
      <c r="F123" s="557"/>
      <c r="G123" s="557"/>
      <c r="H123" s="557"/>
      <c r="I123" s="557"/>
      <c r="J123" s="557"/>
      <c r="K123" s="557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</row>
    <row r="124" spans="1:27" s="532" customFormat="1" x14ac:dyDescent="0.2">
      <c r="A124" s="472"/>
      <c r="B124" s="472"/>
      <c r="C124" s="472"/>
      <c r="D124" s="472"/>
      <c r="E124" s="557"/>
      <c r="F124" s="557"/>
      <c r="G124" s="557"/>
      <c r="H124" s="557"/>
      <c r="I124" s="557"/>
      <c r="J124" s="557"/>
      <c r="K124" s="557"/>
      <c r="M124" s="271"/>
      <c r="N124" s="271"/>
      <c r="O124" s="271"/>
      <c r="P124" s="271"/>
      <c r="Q124" s="271"/>
      <c r="R124" s="271"/>
      <c r="S124" s="271"/>
      <c r="T124" s="271"/>
      <c r="U124" s="271"/>
      <c r="V124" s="271"/>
      <c r="W124" s="271"/>
      <c r="X124" s="271"/>
      <c r="Y124" s="271"/>
      <c r="Z124" s="271"/>
      <c r="AA124" s="271"/>
    </row>
    <row r="125" spans="1:27" s="532" customFormat="1" x14ac:dyDescent="0.2">
      <c r="A125" s="472"/>
      <c r="B125" s="472"/>
      <c r="C125" s="472"/>
      <c r="D125" s="472"/>
      <c r="E125" s="557"/>
      <c r="F125" s="557"/>
      <c r="G125" s="557"/>
      <c r="H125" s="557"/>
      <c r="I125" s="557"/>
      <c r="J125" s="557"/>
      <c r="K125" s="557"/>
      <c r="M125" s="271"/>
      <c r="N125" s="271"/>
      <c r="O125" s="271"/>
      <c r="P125" s="271"/>
      <c r="Q125" s="271"/>
      <c r="R125" s="271"/>
      <c r="S125" s="271"/>
      <c r="T125" s="271"/>
      <c r="U125" s="271"/>
      <c r="V125" s="271"/>
      <c r="W125" s="271"/>
      <c r="X125" s="271"/>
      <c r="Y125" s="271"/>
      <c r="Z125" s="271"/>
      <c r="AA125" s="271"/>
    </row>
    <row r="126" spans="1:27" s="532" customFormat="1" x14ac:dyDescent="0.2">
      <c r="A126" s="472"/>
      <c r="B126" s="472"/>
      <c r="C126" s="472"/>
      <c r="D126" s="472"/>
      <c r="E126" s="557"/>
      <c r="F126" s="557"/>
      <c r="G126" s="557"/>
      <c r="H126" s="557"/>
      <c r="I126" s="557"/>
      <c r="J126" s="557"/>
      <c r="K126" s="557"/>
      <c r="M126" s="271"/>
      <c r="N126" s="271"/>
      <c r="O126" s="271"/>
      <c r="P126" s="271"/>
      <c r="Q126" s="271"/>
      <c r="R126" s="271"/>
      <c r="S126" s="271"/>
      <c r="T126" s="271"/>
      <c r="U126" s="271"/>
      <c r="V126" s="271"/>
      <c r="W126" s="271"/>
      <c r="X126" s="271"/>
      <c r="Y126" s="271"/>
      <c r="Z126" s="271"/>
      <c r="AA126" s="271"/>
    </row>
    <row r="127" spans="1:27" s="532" customFormat="1" x14ac:dyDescent="0.2">
      <c r="A127" s="472"/>
      <c r="B127" s="472"/>
      <c r="C127" s="472"/>
      <c r="D127" s="472"/>
      <c r="E127" s="557"/>
      <c r="F127" s="557"/>
      <c r="G127" s="557"/>
      <c r="H127" s="557"/>
      <c r="I127" s="557"/>
      <c r="J127" s="557"/>
      <c r="K127" s="557"/>
      <c r="M127" s="271"/>
      <c r="N127" s="271"/>
      <c r="O127" s="271"/>
      <c r="P127" s="271"/>
      <c r="Q127" s="271"/>
      <c r="R127" s="271"/>
      <c r="S127" s="271"/>
      <c r="T127" s="271"/>
      <c r="U127" s="271"/>
      <c r="V127" s="271"/>
      <c r="W127" s="271"/>
      <c r="X127" s="271"/>
      <c r="Y127" s="271"/>
      <c r="Z127" s="271"/>
      <c r="AA127" s="271"/>
    </row>
    <row r="128" spans="1:27" s="532" customFormat="1" x14ac:dyDescent="0.2">
      <c r="A128" s="472"/>
      <c r="B128" s="472"/>
      <c r="C128" s="472"/>
      <c r="D128" s="472"/>
      <c r="E128" s="557"/>
      <c r="F128" s="557"/>
      <c r="G128" s="557"/>
      <c r="H128" s="557"/>
      <c r="I128" s="557"/>
      <c r="J128" s="557"/>
      <c r="K128" s="557"/>
      <c r="M128" s="271"/>
      <c r="N128" s="271"/>
      <c r="O128" s="271"/>
      <c r="P128" s="271"/>
      <c r="Q128" s="271"/>
      <c r="R128" s="271"/>
      <c r="S128" s="271"/>
      <c r="T128" s="271"/>
      <c r="U128" s="271"/>
      <c r="V128" s="271"/>
      <c r="W128" s="271"/>
      <c r="X128" s="271"/>
      <c r="Y128" s="271"/>
      <c r="Z128" s="271"/>
      <c r="AA128" s="271"/>
    </row>
    <row r="129" spans="1:27" s="532" customFormat="1" x14ac:dyDescent="0.2">
      <c r="A129" s="472"/>
      <c r="B129" s="472"/>
      <c r="C129" s="472"/>
      <c r="D129" s="472"/>
      <c r="E129" s="557"/>
      <c r="F129" s="557"/>
      <c r="G129" s="557"/>
      <c r="H129" s="557"/>
      <c r="I129" s="557"/>
      <c r="J129" s="557"/>
      <c r="K129" s="557"/>
      <c r="M129" s="271"/>
      <c r="N129" s="271"/>
      <c r="O129" s="271"/>
      <c r="P129" s="271"/>
      <c r="Q129" s="271"/>
      <c r="R129" s="271"/>
      <c r="S129" s="271"/>
      <c r="T129" s="271"/>
      <c r="U129" s="271"/>
      <c r="V129" s="271"/>
      <c r="W129" s="271"/>
      <c r="X129" s="271"/>
      <c r="Y129" s="271"/>
      <c r="Z129" s="271"/>
      <c r="AA129" s="271"/>
    </row>
    <row r="130" spans="1:27" s="532" customFormat="1" x14ac:dyDescent="0.2">
      <c r="A130" s="472"/>
      <c r="B130" s="472"/>
      <c r="C130" s="472"/>
      <c r="D130" s="472"/>
      <c r="E130" s="557"/>
      <c r="F130" s="557"/>
      <c r="G130" s="557"/>
      <c r="H130" s="557"/>
      <c r="I130" s="557"/>
      <c r="J130" s="557"/>
      <c r="K130" s="557"/>
      <c r="M130" s="271"/>
      <c r="N130" s="271"/>
      <c r="O130" s="271"/>
      <c r="P130" s="271"/>
      <c r="Q130" s="271"/>
      <c r="R130" s="271"/>
      <c r="S130" s="271"/>
      <c r="T130" s="271"/>
      <c r="U130" s="271"/>
      <c r="V130" s="271"/>
      <c r="W130" s="271"/>
      <c r="X130" s="271"/>
      <c r="Y130" s="271"/>
      <c r="Z130" s="271"/>
      <c r="AA130" s="271"/>
    </row>
    <row r="131" spans="1:27" s="532" customFormat="1" x14ac:dyDescent="0.2">
      <c r="A131" s="472"/>
      <c r="B131" s="472"/>
      <c r="C131" s="472"/>
      <c r="D131" s="472"/>
      <c r="E131" s="557"/>
      <c r="F131" s="557"/>
      <c r="G131" s="557"/>
      <c r="H131" s="557"/>
      <c r="I131" s="557"/>
      <c r="J131" s="557"/>
      <c r="K131" s="557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</row>
    <row r="132" spans="1:27" s="532" customFormat="1" x14ac:dyDescent="0.2">
      <c r="A132" s="472"/>
      <c r="B132" s="472"/>
      <c r="C132" s="472"/>
      <c r="D132" s="472"/>
      <c r="E132" s="557"/>
      <c r="F132" s="557"/>
      <c r="G132" s="557"/>
      <c r="H132" s="557"/>
      <c r="I132" s="557"/>
      <c r="J132" s="557"/>
      <c r="K132" s="557"/>
      <c r="M132" s="271"/>
      <c r="N132" s="271"/>
      <c r="O132" s="271"/>
      <c r="P132" s="271"/>
      <c r="Q132" s="271"/>
      <c r="R132" s="271"/>
      <c r="S132" s="271"/>
      <c r="T132" s="271"/>
      <c r="U132" s="271"/>
      <c r="V132" s="271"/>
      <c r="W132" s="271"/>
      <c r="X132" s="271"/>
      <c r="Y132" s="271"/>
      <c r="Z132" s="271"/>
      <c r="AA132" s="271"/>
    </row>
    <row r="133" spans="1:27" s="532" customFormat="1" x14ac:dyDescent="0.2">
      <c r="A133" s="472"/>
      <c r="B133" s="472"/>
      <c r="C133" s="472"/>
      <c r="D133" s="472"/>
      <c r="E133" s="557"/>
      <c r="F133" s="557"/>
      <c r="G133" s="557"/>
      <c r="H133" s="557"/>
      <c r="I133" s="557"/>
      <c r="J133" s="557"/>
      <c r="K133" s="557"/>
      <c r="M133" s="271"/>
      <c r="N133" s="271"/>
      <c r="O133" s="271"/>
      <c r="P133" s="271"/>
      <c r="Q133" s="271"/>
      <c r="R133" s="271"/>
      <c r="S133" s="271"/>
      <c r="T133" s="271"/>
      <c r="U133" s="271"/>
      <c r="V133" s="271"/>
      <c r="W133" s="271"/>
      <c r="X133" s="271"/>
      <c r="Y133" s="271"/>
      <c r="Z133" s="271"/>
      <c r="AA133" s="271"/>
    </row>
    <row r="134" spans="1:27" s="532" customFormat="1" x14ac:dyDescent="0.2">
      <c r="A134" s="472"/>
      <c r="B134" s="472"/>
      <c r="C134" s="472"/>
      <c r="D134" s="472"/>
      <c r="E134" s="557"/>
      <c r="F134" s="557"/>
      <c r="G134" s="557"/>
      <c r="H134" s="557"/>
      <c r="I134" s="557"/>
      <c r="J134" s="557"/>
      <c r="K134" s="557"/>
      <c r="M134" s="271"/>
      <c r="N134" s="271"/>
      <c r="O134" s="271"/>
      <c r="P134" s="271"/>
      <c r="Q134" s="271"/>
      <c r="R134" s="271"/>
      <c r="S134" s="271"/>
      <c r="T134" s="271"/>
      <c r="U134" s="271"/>
      <c r="V134" s="271"/>
      <c r="W134" s="271"/>
      <c r="X134" s="271"/>
      <c r="Y134" s="271"/>
      <c r="Z134" s="271"/>
      <c r="AA134" s="271"/>
    </row>
    <row r="135" spans="1:27" s="532" customFormat="1" x14ac:dyDescent="0.2">
      <c r="A135" s="472"/>
      <c r="B135" s="472"/>
      <c r="C135" s="472"/>
      <c r="D135" s="472"/>
      <c r="E135" s="557"/>
      <c r="F135" s="557"/>
      <c r="G135" s="557"/>
      <c r="H135" s="557"/>
      <c r="I135" s="557"/>
      <c r="J135" s="557"/>
      <c r="K135" s="557"/>
      <c r="M135" s="271"/>
      <c r="N135" s="271"/>
      <c r="O135" s="271"/>
      <c r="P135" s="271"/>
      <c r="Q135" s="271"/>
      <c r="R135" s="271"/>
      <c r="S135" s="271"/>
      <c r="T135" s="271"/>
      <c r="U135" s="271"/>
      <c r="V135" s="271"/>
      <c r="W135" s="271"/>
      <c r="X135" s="271"/>
      <c r="Y135" s="271"/>
      <c r="Z135" s="271"/>
      <c r="AA135" s="271"/>
    </row>
    <row r="136" spans="1:27" s="532" customFormat="1" x14ac:dyDescent="0.2">
      <c r="A136" s="472"/>
      <c r="B136" s="472"/>
      <c r="C136" s="472"/>
      <c r="D136" s="472"/>
      <c r="E136" s="557"/>
      <c r="F136" s="557"/>
      <c r="G136" s="557"/>
      <c r="H136" s="557"/>
      <c r="I136" s="557"/>
      <c r="J136" s="557"/>
      <c r="K136" s="557"/>
      <c r="M136" s="271"/>
      <c r="N136" s="271"/>
      <c r="O136" s="271"/>
      <c r="P136" s="271"/>
      <c r="Q136" s="271"/>
      <c r="R136" s="271"/>
      <c r="S136" s="271"/>
      <c r="T136" s="271"/>
      <c r="U136" s="271"/>
      <c r="V136" s="271"/>
      <c r="W136" s="271"/>
      <c r="X136" s="271"/>
      <c r="Y136" s="271"/>
      <c r="Z136" s="271"/>
      <c r="AA136" s="271"/>
    </row>
    <row r="137" spans="1:27" s="532" customFormat="1" x14ac:dyDescent="0.2">
      <c r="A137" s="472"/>
      <c r="B137" s="472"/>
      <c r="C137" s="472"/>
      <c r="D137" s="472"/>
      <c r="E137" s="557"/>
      <c r="F137" s="557"/>
      <c r="G137" s="557"/>
      <c r="H137" s="557"/>
      <c r="I137" s="557"/>
      <c r="J137" s="557"/>
      <c r="K137" s="557"/>
      <c r="M137" s="271"/>
      <c r="N137" s="271"/>
      <c r="O137" s="271"/>
      <c r="P137" s="271"/>
      <c r="Q137" s="271"/>
      <c r="R137" s="271"/>
      <c r="S137" s="271"/>
      <c r="T137" s="271"/>
      <c r="U137" s="271"/>
      <c r="V137" s="271"/>
      <c r="W137" s="271"/>
      <c r="X137" s="271"/>
      <c r="Y137" s="271"/>
      <c r="Z137" s="271"/>
      <c r="AA137" s="271"/>
    </row>
    <row r="138" spans="1:27" s="532" customFormat="1" x14ac:dyDescent="0.2">
      <c r="A138" s="472"/>
      <c r="B138" s="472"/>
      <c r="C138" s="472"/>
      <c r="D138" s="472"/>
      <c r="E138" s="557"/>
      <c r="F138" s="557"/>
      <c r="G138" s="557"/>
      <c r="H138" s="557"/>
      <c r="I138" s="557"/>
      <c r="J138" s="557"/>
      <c r="K138" s="557"/>
      <c r="M138" s="271"/>
      <c r="N138" s="271"/>
      <c r="O138" s="271"/>
      <c r="P138" s="271"/>
      <c r="Q138" s="271"/>
      <c r="R138" s="271"/>
      <c r="S138" s="271"/>
      <c r="T138" s="271"/>
      <c r="U138" s="271"/>
      <c r="V138" s="271"/>
      <c r="W138" s="271"/>
      <c r="X138" s="271"/>
      <c r="Y138" s="271"/>
      <c r="Z138" s="271"/>
      <c r="AA138" s="271"/>
    </row>
    <row r="139" spans="1:27" s="532" customFormat="1" x14ac:dyDescent="0.2">
      <c r="A139" s="472"/>
      <c r="B139" s="472"/>
      <c r="C139" s="472"/>
      <c r="D139" s="472"/>
      <c r="E139" s="557"/>
      <c r="F139" s="557"/>
      <c r="G139" s="557"/>
      <c r="H139" s="557"/>
      <c r="I139" s="557"/>
      <c r="J139" s="557"/>
      <c r="K139" s="557"/>
      <c r="M139" s="271"/>
      <c r="N139" s="271"/>
      <c r="O139" s="271"/>
      <c r="P139" s="271"/>
      <c r="Q139" s="271"/>
      <c r="R139" s="271"/>
      <c r="S139" s="271"/>
      <c r="T139" s="271"/>
      <c r="U139" s="271"/>
      <c r="V139" s="271"/>
      <c r="W139" s="271"/>
      <c r="X139" s="271"/>
      <c r="Y139" s="271"/>
      <c r="Z139" s="271"/>
      <c r="AA139" s="271"/>
    </row>
    <row r="140" spans="1:27" s="532" customFormat="1" x14ac:dyDescent="0.2">
      <c r="A140" s="472"/>
      <c r="B140" s="472"/>
      <c r="C140" s="472"/>
      <c r="D140" s="472"/>
      <c r="E140" s="557"/>
      <c r="F140" s="557"/>
      <c r="G140" s="557"/>
      <c r="H140" s="557"/>
      <c r="I140" s="557"/>
      <c r="J140" s="557"/>
      <c r="K140" s="557"/>
      <c r="M140" s="271"/>
      <c r="N140" s="271"/>
      <c r="O140" s="271"/>
      <c r="P140" s="271"/>
      <c r="Q140" s="271"/>
      <c r="R140" s="271"/>
      <c r="S140" s="271"/>
      <c r="T140" s="271"/>
      <c r="U140" s="271"/>
      <c r="V140" s="271"/>
      <c r="W140" s="271"/>
      <c r="X140" s="271"/>
      <c r="Y140" s="271"/>
      <c r="Z140" s="271"/>
      <c r="AA140" s="271"/>
    </row>
    <row r="141" spans="1:27" s="532" customFormat="1" x14ac:dyDescent="0.2">
      <c r="A141" s="472"/>
      <c r="B141" s="472"/>
      <c r="C141" s="472"/>
      <c r="D141" s="472"/>
      <c r="E141" s="557"/>
      <c r="F141" s="557"/>
      <c r="G141" s="557"/>
      <c r="H141" s="557"/>
      <c r="I141" s="557"/>
      <c r="J141" s="557"/>
      <c r="K141" s="557"/>
      <c r="M141" s="271"/>
      <c r="N141" s="271"/>
      <c r="O141" s="271"/>
      <c r="P141" s="271"/>
      <c r="Q141" s="271"/>
      <c r="R141" s="271"/>
      <c r="S141" s="271"/>
      <c r="T141" s="271"/>
      <c r="U141" s="271"/>
      <c r="V141" s="271"/>
      <c r="W141" s="271"/>
      <c r="X141" s="271"/>
      <c r="Y141" s="271"/>
      <c r="Z141" s="271"/>
      <c r="AA141" s="271"/>
    </row>
    <row r="142" spans="1:27" s="532" customFormat="1" x14ac:dyDescent="0.2">
      <c r="A142" s="472"/>
      <c r="B142" s="472"/>
      <c r="C142" s="472"/>
      <c r="D142" s="472"/>
      <c r="E142" s="557"/>
      <c r="F142" s="557"/>
      <c r="G142" s="557"/>
      <c r="H142" s="557"/>
      <c r="I142" s="557"/>
      <c r="J142" s="557"/>
      <c r="K142" s="557"/>
      <c r="M142" s="271"/>
      <c r="N142" s="271"/>
      <c r="O142" s="271"/>
      <c r="P142" s="271"/>
      <c r="Q142" s="271"/>
      <c r="R142" s="271"/>
      <c r="S142" s="271"/>
      <c r="T142" s="271"/>
      <c r="U142" s="271"/>
      <c r="V142" s="271"/>
      <c r="W142" s="271"/>
      <c r="X142" s="271"/>
      <c r="Y142" s="271"/>
      <c r="Z142" s="271"/>
      <c r="AA142" s="271"/>
    </row>
    <row r="143" spans="1:27" s="532" customFormat="1" x14ac:dyDescent="0.2">
      <c r="A143" s="472"/>
      <c r="B143" s="472"/>
      <c r="C143" s="472"/>
      <c r="D143" s="472"/>
      <c r="E143" s="557"/>
      <c r="F143" s="557"/>
      <c r="G143" s="557"/>
      <c r="H143" s="557"/>
      <c r="I143" s="557"/>
      <c r="J143" s="557"/>
      <c r="K143" s="557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</row>
    <row r="144" spans="1:27" s="532" customFormat="1" x14ac:dyDescent="0.2">
      <c r="A144" s="472"/>
      <c r="B144" s="472"/>
      <c r="C144" s="472"/>
      <c r="D144" s="472"/>
      <c r="E144" s="557"/>
      <c r="F144" s="557"/>
      <c r="G144" s="557"/>
      <c r="H144" s="557"/>
      <c r="I144" s="557"/>
      <c r="J144" s="557"/>
      <c r="K144" s="557"/>
      <c r="M144" s="271"/>
      <c r="N144" s="271"/>
      <c r="O144" s="271"/>
      <c r="P144" s="271"/>
      <c r="Q144" s="271"/>
      <c r="R144" s="271"/>
      <c r="S144" s="271"/>
      <c r="T144" s="271"/>
      <c r="U144" s="271"/>
      <c r="V144" s="271"/>
      <c r="W144" s="271"/>
      <c r="X144" s="271"/>
      <c r="Y144" s="271"/>
      <c r="Z144" s="271"/>
      <c r="AA144" s="271"/>
    </row>
    <row r="145" spans="1:27" s="532" customFormat="1" x14ac:dyDescent="0.2">
      <c r="A145" s="472"/>
      <c r="B145" s="472"/>
      <c r="C145" s="472"/>
      <c r="D145" s="472"/>
      <c r="E145" s="557"/>
      <c r="F145" s="557"/>
      <c r="G145" s="557"/>
      <c r="H145" s="557"/>
      <c r="I145" s="557"/>
      <c r="J145" s="557"/>
      <c r="K145" s="557"/>
      <c r="M145" s="271"/>
      <c r="N145" s="271"/>
      <c r="O145" s="271"/>
      <c r="P145" s="271"/>
      <c r="Q145" s="271"/>
      <c r="R145" s="271"/>
      <c r="S145" s="271"/>
      <c r="T145" s="271"/>
      <c r="U145" s="271"/>
      <c r="V145" s="271"/>
      <c r="W145" s="271"/>
      <c r="X145" s="271"/>
      <c r="Y145" s="271"/>
      <c r="Z145" s="271"/>
      <c r="AA145" s="271"/>
    </row>
    <row r="146" spans="1:27" s="532" customFormat="1" x14ac:dyDescent="0.2">
      <c r="A146" s="472"/>
      <c r="B146" s="472"/>
      <c r="C146" s="472"/>
      <c r="D146" s="472"/>
      <c r="E146" s="557"/>
      <c r="F146" s="557"/>
      <c r="G146" s="557"/>
      <c r="H146" s="557"/>
      <c r="I146" s="557"/>
      <c r="J146" s="557"/>
      <c r="K146" s="557"/>
      <c r="M146" s="271"/>
      <c r="N146" s="271"/>
      <c r="O146" s="271"/>
      <c r="P146" s="271"/>
      <c r="Q146" s="271"/>
      <c r="R146" s="271"/>
      <c r="S146" s="271"/>
      <c r="T146" s="271"/>
      <c r="U146" s="271"/>
      <c r="V146" s="271"/>
      <c r="W146" s="271"/>
      <c r="X146" s="271"/>
      <c r="Y146" s="271"/>
      <c r="Z146" s="271"/>
      <c r="AA146" s="271"/>
    </row>
    <row r="147" spans="1:27" s="532" customFormat="1" x14ac:dyDescent="0.2">
      <c r="A147" s="472"/>
      <c r="B147" s="472"/>
      <c r="C147" s="472"/>
      <c r="D147" s="472"/>
      <c r="E147" s="557"/>
      <c r="F147" s="557"/>
      <c r="G147" s="557"/>
      <c r="H147" s="557"/>
      <c r="I147" s="557"/>
      <c r="J147" s="557"/>
      <c r="K147" s="557"/>
      <c r="M147" s="271"/>
      <c r="N147" s="271"/>
      <c r="O147" s="271"/>
      <c r="P147" s="271"/>
      <c r="Q147" s="271"/>
      <c r="R147" s="271"/>
      <c r="S147" s="271"/>
      <c r="T147" s="271"/>
      <c r="U147" s="271"/>
      <c r="V147" s="271"/>
      <c r="W147" s="271"/>
      <c r="X147" s="271"/>
      <c r="Y147" s="271"/>
      <c r="Z147" s="271"/>
      <c r="AA147" s="271"/>
    </row>
    <row r="148" spans="1:27" s="532" customFormat="1" x14ac:dyDescent="0.2">
      <c r="A148" s="472"/>
      <c r="B148" s="472"/>
      <c r="C148" s="472"/>
      <c r="D148" s="472"/>
      <c r="E148" s="557"/>
      <c r="F148" s="557"/>
      <c r="G148" s="557"/>
      <c r="H148" s="557"/>
      <c r="I148" s="557"/>
      <c r="J148" s="557"/>
      <c r="K148" s="557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</row>
    <row r="149" spans="1:27" s="532" customFormat="1" x14ac:dyDescent="0.2">
      <c r="A149" s="472"/>
      <c r="B149" s="472"/>
      <c r="C149" s="472"/>
      <c r="D149" s="472"/>
      <c r="E149" s="557"/>
      <c r="F149" s="557"/>
      <c r="G149" s="557"/>
      <c r="H149" s="557"/>
      <c r="I149" s="557"/>
      <c r="J149" s="557"/>
      <c r="K149" s="557"/>
      <c r="M149" s="271"/>
      <c r="N149" s="271"/>
      <c r="O149" s="271"/>
      <c r="P149" s="271"/>
      <c r="Q149" s="271"/>
      <c r="R149" s="271"/>
      <c r="S149" s="271"/>
      <c r="T149" s="271"/>
      <c r="U149" s="271"/>
      <c r="V149" s="271"/>
      <c r="W149" s="271"/>
      <c r="X149" s="271"/>
      <c r="Y149" s="271"/>
      <c r="Z149" s="271"/>
      <c r="AA149" s="271"/>
    </row>
    <row r="150" spans="1:27" s="532" customFormat="1" x14ac:dyDescent="0.2">
      <c r="A150" s="472"/>
      <c r="B150" s="472"/>
      <c r="C150" s="472"/>
      <c r="D150" s="472"/>
      <c r="E150" s="557"/>
      <c r="F150" s="557"/>
      <c r="G150" s="557"/>
      <c r="H150" s="557"/>
      <c r="I150" s="557"/>
      <c r="J150" s="557"/>
      <c r="K150" s="557"/>
      <c r="M150" s="271"/>
      <c r="N150" s="271"/>
      <c r="O150" s="271"/>
      <c r="P150" s="271"/>
      <c r="Q150" s="271"/>
      <c r="R150" s="271"/>
      <c r="S150" s="271"/>
      <c r="T150" s="271"/>
      <c r="U150" s="271"/>
      <c r="V150" s="271"/>
      <c r="W150" s="271"/>
      <c r="X150" s="271"/>
      <c r="Y150" s="271"/>
      <c r="Z150" s="271"/>
      <c r="AA150" s="271"/>
    </row>
    <row r="151" spans="1:27" s="532" customFormat="1" x14ac:dyDescent="0.2">
      <c r="A151" s="472"/>
      <c r="B151" s="472"/>
      <c r="C151" s="472"/>
      <c r="D151" s="472"/>
      <c r="E151" s="557"/>
      <c r="F151" s="557"/>
      <c r="G151" s="557"/>
      <c r="H151" s="557"/>
      <c r="I151" s="557"/>
      <c r="J151" s="557"/>
      <c r="K151" s="557"/>
      <c r="M151" s="271"/>
      <c r="N151" s="271"/>
      <c r="O151" s="271"/>
      <c r="P151" s="271"/>
      <c r="Q151" s="271"/>
      <c r="R151" s="271"/>
      <c r="S151" s="271"/>
      <c r="T151" s="271"/>
      <c r="U151" s="271"/>
      <c r="V151" s="271"/>
      <c r="W151" s="271"/>
      <c r="X151" s="271"/>
      <c r="Y151" s="271"/>
      <c r="Z151" s="271"/>
      <c r="AA151" s="271"/>
    </row>
    <row r="152" spans="1:27" s="532" customFormat="1" x14ac:dyDescent="0.2">
      <c r="A152" s="472"/>
      <c r="B152" s="472"/>
      <c r="C152" s="472"/>
      <c r="D152" s="472"/>
      <c r="E152" s="557"/>
      <c r="F152" s="557"/>
      <c r="G152" s="557"/>
      <c r="H152" s="557"/>
      <c r="I152" s="557"/>
      <c r="J152" s="557"/>
      <c r="K152" s="557"/>
      <c r="M152" s="271"/>
      <c r="N152" s="271"/>
      <c r="O152" s="271"/>
      <c r="P152" s="271"/>
      <c r="Q152" s="271"/>
      <c r="R152" s="271"/>
      <c r="S152" s="271"/>
      <c r="T152" s="271"/>
      <c r="U152" s="271"/>
      <c r="V152" s="271"/>
      <c r="W152" s="271"/>
      <c r="X152" s="271"/>
      <c r="Y152" s="271"/>
      <c r="Z152" s="271"/>
      <c r="AA152" s="271"/>
    </row>
    <row r="153" spans="1:27" s="532" customFormat="1" x14ac:dyDescent="0.2">
      <c r="A153" s="472"/>
      <c r="B153" s="472"/>
      <c r="C153" s="472"/>
      <c r="D153" s="472"/>
      <c r="E153" s="557"/>
      <c r="F153" s="557"/>
      <c r="G153" s="557"/>
      <c r="H153" s="557"/>
      <c r="I153" s="557"/>
      <c r="J153" s="557"/>
      <c r="K153" s="557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</row>
    <row r="154" spans="1:27" s="532" customFormat="1" x14ac:dyDescent="0.2">
      <c r="A154" s="472"/>
      <c r="B154" s="472"/>
      <c r="C154" s="472"/>
      <c r="D154" s="472"/>
      <c r="E154" s="557"/>
      <c r="F154" s="557"/>
      <c r="G154" s="557"/>
      <c r="H154" s="557"/>
      <c r="I154" s="557"/>
      <c r="J154" s="557"/>
      <c r="K154" s="557"/>
      <c r="M154" s="271"/>
      <c r="N154" s="271"/>
      <c r="O154" s="271"/>
      <c r="P154" s="271"/>
      <c r="Q154" s="271"/>
      <c r="R154" s="271"/>
      <c r="S154" s="271"/>
      <c r="T154" s="271"/>
      <c r="U154" s="271"/>
      <c r="V154" s="271"/>
      <c r="W154" s="271"/>
      <c r="X154" s="271"/>
      <c r="Y154" s="271"/>
      <c r="Z154" s="271"/>
      <c r="AA154" s="271"/>
    </row>
    <row r="155" spans="1:27" s="532" customFormat="1" x14ac:dyDescent="0.2">
      <c r="A155" s="472"/>
      <c r="B155" s="472"/>
      <c r="C155" s="472"/>
      <c r="D155" s="472"/>
      <c r="E155" s="557"/>
      <c r="F155" s="557"/>
      <c r="G155" s="557"/>
      <c r="H155" s="557"/>
      <c r="I155" s="557"/>
      <c r="J155" s="557"/>
      <c r="K155" s="557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</row>
    <row r="156" spans="1:27" s="532" customFormat="1" x14ac:dyDescent="0.2">
      <c r="A156" s="472"/>
      <c r="B156" s="472"/>
      <c r="C156" s="472"/>
      <c r="D156" s="472"/>
      <c r="E156" s="557"/>
      <c r="F156" s="557"/>
      <c r="G156" s="557"/>
      <c r="H156" s="557"/>
      <c r="I156" s="557"/>
      <c r="J156" s="557"/>
      <c r="K156" s="557"/>
      <c r="M156" s="271"/>
      <c r="N156" s="271"/>
      <c r="O156" s="271"/>
      <c r="P156" s="271"/>
      <c r="Q156" s="271"/>
      <c r="R156" s="271"/>
      <c r="S156" s="271"/>
      <c r="T156" s="271"/>
      <c r="U156" s="271"/>
      <c r="V156" s="271"/>
      <c r="W156" s="271"/>
      <c r="X156" s="271"/>
      <c r="Y156" s="271"/>
      <c r="Z156" s="271"/>
      <c r="AA156" s="271"/>
    </row>
    <row r="157" spans="1:27" s="532" customFormat="1" x14ac:dyDescent="0.2">
      <c r="A157" s="472"/>
      <c r="B157" s="472"/>
      <c r="C157" s="472"/>
      <c r="D157" s="472"/>
      <c r="E157" s="557"/>
      <c r="F157" s="557"/>
      <c r="G157" s="557"/>
      <c r="H157" s="557"/>
      <c r="I157" s="557"/>
      <c r="J157" s="557"/>
      <c r="K157" s="557"/>
      <c r="M157" s="271"/>
      <c r="N157" s="271"/>
      <c r="O157" s="271"/>
      <c r="P157" s="271"/>
      <c r="Q157" s="271"/>
      <c r="R157" s="271"/>
      <c r="S157" s="271"/>
      <c r="T157" s="271"/>
      <c r="U157" s="271"/>
      <c r="V157" s="271"/>
      <c r="W157" s="271"/>
      <c r="X157" s="271"/>
      <c r="Y157" s="271"/>
      <c r="Z157" s="271"/>
      <c r="AA157" s="271"/>
    </row>
    <row r="158" spans="1:27" s="532" customFormat="1" x14ac:dyDescent="0.2">
      <c r="A158" s="472"/>
      <c r="B158" s="472"/>
      <c r="C158" s="472"/>
      <c r="D158" s="472"/>
      <c r="E158" s="557"/>
      <c r="F158" s="557"/>
      <c r="G158" s="557"/>
      <c r="H158" s="557"/>
      <c r="I158" s="557"/>
      <c r="J158" s="557"/>
      <c r="K158" s="557"/>
      <c r="M158" s="271"/>
      <c r="N158" s="271"/>
      <c r="O158" s="271"/>
      <c r="P158" s="271"/>
      <c r="Q158" s="271"/>
      <c r="R158" s="271"/>
      <c r="S158" s="271"/>
      <c r="T158" s="271"/>
      <c r="U158" s="271"/>
      <c r="V158" s="271"/>
      <c r="W158" s="271"/>
      <c r="X158" s="271"/>
      <c r="Y158" s="271"/>
      <c r="Z158" s="271"/>
      <c r="AA158" s="271"/>
    </row>
    <row r="159" spans="1:27" s="532" customFormat="1" x14ac:dyDescent="0.2">
      <c r="A159" s="472"/>
      <c r="B159" s="472"/>
      <c r="C159" s="472"/>
      <c r="D159" s="472"/>
      <c r="E159" s="557"/>
      <c r="F159" s="557"/>
      <c r="G159" s="557"/>
      <c r="H159" s="557"/>
      <c r="I159" s="557"/>
      <c r="J159" s="557"/>
      <c r="K159" s="557"/>
      <c r="M159" s="271"/>
      <c r="N159" s="271"/>
      <c r="O159" s="271"/>
      <c r="P159" s="271"/>
      <c r="Q159" s="271"/>
      <c r="R159" s="271"/>
      <c r="S159" s="271"/>
      <c r="T159" s="271"/>
      <c r="U159" s="271"/>
      <c r="V159" s="271"/>
      <c r="W159" s="271"/>
      <c r="X159" s="271"/>
      <c r="Y159" s="271"/>
      <c r="Z159" s="271"/>
      <c r="AA159" s="271"/>
    </row>
    <row r="160" spans="1:27" s="532" customFormat="1" x14ac:dyDescent="0.2">
      <c r="A160" s="472"/>
      <c r="B160" s="472"/>
      <c r="C160" s="472"/>
      <c r="D160" s="472"/>
      <c r="E160" s="557"/>
      <c r="F160" s="557"/>
      <c r="G160" s="557"/>
      <c r="H160" s="557"/>
      <c r="I160" s="557"/>
      <c r="J160" s="557"/>
      <c r="K160" s="557"/>
      <c r="M160" s="271"/>
      <c r="N160" s="271"/>
      <c r="O160" s="271"/>
      <c r="P160" s="271"/>
      <c r="Q160" s="271"/>
      <c r="R160" s="271"/>
      <c r="S160" s="271"/>
      <c r="T160" s="271"/>
      <c r="U160" s="271"/>
      <c r="V160" s="271"/>
      <c r="W160" s="271"/>
      <c r="X160" s="271"/>
      <c r="Y160" s="271"/>
      <c r="Z160" s="271"/>
      <c r="AA160" s="271"/>
    </row>
    <row r="161" spans="1:27" s="532" customFormat="1" x14ac:dyDescent="0.2">
      <c r="A161" s="472"/>
      <c r="B161" s="472"/>
      <c r="C161" s="472"/>
      <c r="D161" s="472"/>
      <c r="E161" s="557"/>
      <c r="F161" s="557"/>
      <c r="G161" s="557"/>
      <c r="H161" s="557"/>
      <c r="I161" s="557"/>
      <c r="J161" s="557"/>
      <c r="K161" s="557"/>
      <c r="M161" s="271"/>
      <c r="N161" s="271"/>
      <c r="O161" s="271"/>
      <c r="P161" s="271"/>
      <c r="Q161" s="271"/>
      <c r="R161" s="271"/>
      <c r="S161" s="271"/>
      <c r="T161" s="271"/>
      <c r="U161" s="271"/>
      <c r="V161" s="271"/>
      <c r="W161" s="271"/>
      <c r="X161" s="271"/>
      <c r="Y161" s="271"/>
      <c r="Z161" s="271"/>
      <c r="AA161" s="271"/>
    </row>
    <row r="162" spans="1:27" s="532" customFormat="1" x14ac:dyDescent="0.2">
      <c r="A162" s="472"/>
      <c r="B162" s="472"/>
      <c r="C162" s="472"/>
      <c r="D162" s="472"/>
      <c r="E162" s="557"/>
      <c r="F162" s="557"/>
      <c r="G162" s="557"/>
      <c r="H162" s="557"/>
      <c r="I162" s="557"/>
      <c r="J162" s="557"/>
      <c r="K162" s="557"/>
      <c r="M162" s="271"/>
      <c r="N162" s="271"/>
      <c r="O162" s="271"/>
      <c r="P162" s="271"/>
      <c r="Q162" s="271"/>
      <c r="R162" s="271"/>
      <c r="S162" s="271"/>
      <c r="T162" s="271"/>
      <c r="U162" s="271"/>
      <c r="V162" s="271"/>
      <c r="W162" s="271"/>
      <c r="X162" s="271"/>
      <c r="Y162" s="271"/>
      <c r="Z162" s="271"/>
      <c r="AA162" s="271"/>
    </row>
    <row r="163" spans="1:27" s="532" customFormat="1" x14ac:dyDescent="0.2">
      <c r="A163" s="472"/>
      <c r="B163" s="472"/>
      <c r="C163" s="472"/>
      <c r="D163" s="472"/>
      <c r="E163" s="557"/>
      <c r="F163" s="557"/>
      <c r="G163" s="557"/>
      <c r="H163" s="557"/>
      <c r="I163" s="557"/>
      <c r="J163" s="557"/>
      <c r="K163" s="557"/>
      <c r="M163" s="271"/>
      <c r="N163" s="271"/>
      <c r="O163" s="271"/>
      <c r="P163" s="271"/>
      <c r="Q163" s="271"/>
      <c r="R163" s="271"/>
      <c r="S163" s="271"/>
      <c r="T163" s="271"/>
      <c r="U163" s="271"/>
      <c r="V163" s="271"/>
      <c r="W163" s="271"/>
      <c r="X163" s="271"/>
      <c r="Y163" s="271"/>
      <c r="Z163" s="271"/>
      <c r="AA163" s="271"/>
    </row>
    <row r="164" spans="1:27" s="532" customFormat="1" x14ac:dyDescent="0.2">
      <c r="A164" s="472"/>
      <c r="B164" s="472"/>
      <c r="C164" s="472"/>
      <c r="D164" s="472"/>
      <c r="E164" s="557"/>
      <c r="F164" s="557"/>
      <c r="G164" s="557"/>
      <c r="H164" s="557"/>
      <c r="I164" s="557"/>
      <c r="J164" s="557"/>
      <c r="K164" s="557"/>
      <c r="M164" s="271"/>
      <c r="N164" s="271"/>
      <c r="O164" s="271"/>
      <c r="P164" s="271"/>
      <c r="Q164" s="271"/>
      <c r="R164" s="271"/>
      <c r="S164" s="271"/>
      <c r="T164" s="271"/>
      <c r="U164" s="271"/>
      <c r="V164" s="271"/>
      <c r="W164" s="271"/>
      <c r="X164" s="271"/>
      <c r="Y164" s="271"/>
      <c r="Z164" s="271"/>
      <c r="AA164" s="271"/>
    </row>
    <row r="165" spans="1:27" s="532" customFormat="1" x14ac:dyDescent="0.2">
      <c r="A165" s="472"/>
      <c r="B165" s="472"/>
      <c r="C165" s="472"/>
      <c r="D165" s="472"/>
      <c r="E165" s="557"/>
      <c r="F165" s="557"/>
      <c r="G165" s="557"/>
      <c r="H165" s="557"/>
      <c r="I165" s="557"/>
      <c r="J165" s="557"/>
      <c r="K165" s="557"/>
      <c r="M165" s="271"/>
      <c r="N165" s="271"/>
      <c r="O165" s="271"/>
      <c r="P165" s="271"/>
      <c r="Q165" s="271"/>
      <c r="R165" s="271"/>
      <c r="S165" s="271"/>
      <c r="T165" s="271"/>
      <c r="U165" s="271"/>
      <c r="V165" s="271"/>
      <c r="W165" s="271"/>
      <c r="X165" s="271"/>
      <c r="Y165" s="271"/>
      <c r="Z165" s="271"/>
      <c r="AA165" s="271"/>
    </row>
    <row r="166" spans="1:27" s="532" customFormat="1" x14ac:dyDescent="0.2">
      <c r="A166" s="472"/>
      <c r="B166" s="472"/>
      <c r="C166" s="472"/>
      <c r="D166" s="472"/>
      <c r="E166" s="557"/>
      <c r="F166" s="557"/>
      <c r="G166" s="557"/>
      <c r="H166" s="557"/>
      <c r="I166" s="557"/>
      <c r="J166" s="557"/>
      <c r="K166" s="557"/>
      <c r="M166" s="271"/>
      <c r="N166" s="271"/>
      <c r="O166" s="271"/>
      <c r="P166" s="271"/>
      <c r="Q166" s="271"/>
      <c r="R166" s="271"/>
      <c r="S166" s="271"/>
      <c r="T166" s="271"/>
      <c r="U166" s="271"/>
      <c r="V166" s="271"/>
      <c r="W166" s="271"/>
      <c r="X166" s="271"/>
      <c r="Y166" s="271"/>
      <c r="Z166" s="271"/>
      <c r="AA166" s="271"/>
    </row>
    <row r="167" spans="1:27" s="532" customFormat="1" x14ac:dyDescent="0.2">
      <c r="A167" s="472"/>
      <c r="B167" s="472"/>
      <c r="C167" s="472"/>
      <c r="D167" s="472"/>
      <c r="E167" s="557"/>
      <c r="F167" s="557"/>
      <c r="G167" s="557"/>
      <c r="H167" s="557"/>
      <c r="I167" s="557"/>
      <c r="J167" s="557"/>
      <c r="K167" s="557"/>
      <c r="M167" s="271"/>
      <c r="N167" s="271"/>
      <c r="O167" s="271"/>
      <c r="P167" s="271"/>
      <c r="Q167" s="271"/>
      <c r="R167" s="271"/>
      <c r="S167" s="271"/>
      <c r="T167" s="271"/>
      <c r="U167" s="271"/>
      <c r="V167" s="271"/>
      <c r="W167" s="271"/>
      <c r="X167" s="271"/>
      <c r="Y167" s="271"/>
      <c r="Z167" s="271"/>
      <c r="AA167" s="271"/>
    </row>
    <row r="168" spans="1:27" s="532" customFormat="1" x14ac:dyDescent="0.2">
      <c r="A168" s="472"/>
      <c r="B168" s="472"/>
      <c r="C168" s="472"/>
      <c r="D168" s="472"/>
      <c r="E168" s="557"/>
      <c r="F168" s="557"/>
      <c r="G168" s="557"/>
      <c r="H168" s="557"/>
      <c r="I168" s="557"/>
      <c r="J168" s="557"/>
      <c r="K168" s="557"/>
      <c r="M168" s="271"/>
      <c r="N168" s="271"/>
      <c r="O168" s="271"/>
      <c r="P168" s="271"/>
      <c r="Q168" s="271"/>
      <c r="R168" s="271"/>
      <c r="S168" s="271"/>
      <c r="T168" s="271"/>
      <c r="U168" s="271"/>
      <c r="V168" s="271"/>
      <c r="W168" s="271"/>
      <c r="X168" s="271"/>
      <c r="Y168" s="271"/>
      <c r="Z168" s="271"/>
      <c r="AA168" s="271"/>
    </row>
    <row r="169" spans="1:27" s="532" customFormat="1" x14ac:dyDescent="0.2">
      <c r="A169" s="472"/>
      <c r="B169" s="472"/>
      <c r="C169" s="472"/>
      <c r="D169" s="472"/>
      <c r="E169" s="557"/>
      <c r="F169" s="557"/>
      <c r="G169" s="557"/>
      <c r="H169" s="557"/>
      <c r="I169" s="557"/>
      <c r="J169" s="557"/>
      <c r="K169" s="557"/>
      <c r="M169" s="271"/>
      <c r="N169" s="271"/>
      <c r="O169" s="271"/>
      <c r="P169" s="271"/>
      <c r="Q169" s="271"/>
      <c r="R169" s="271"/>
      <c r="S169" s="271"/>
      <c r="T169" s="271"/>
      <c r="U169" s="271"/>
      <c r="V169" s="271"/>
      <c r="W169" s="271"/>
      <c r="X169" s="271"/>
      <c r="Y169" s="271"/>
      <c r="Z169" s="271"/>
      <c r="AA169" s="271"/>
    </row>
    <row r="170" spans="1:27" s="532" customFormat="1" x14ac:dyDescent="0.2">
      <c r="A170" s="472"/>
      <c r="B170" s="472"/>
      <c r="C170" s="472"/>
      <c r="D170" s="472"/>
      <c r="E170" s="557"/>
      <c r="F170" s="557"/>
      <c r="G170" s="557"/>
      <c r="H170" s="557"/>
      <c r="I170" s="557"/>
      <c r="J170" s="557"/>
      <c r="K170" s="557"/>
      <c r="M170" s="271"/>
      <c r="N170" s="271"/>
      <c r="O170" s="271"/>
      <c r="P170" s="271"/>
      <c r="Q170" s="271"/>
      <c r="R170" s="271"/>
      <c r="S170" s="271"/>
      <c r="T170" s="271"/>
      <c r="U170" s="271"/>
      <c r="V170" s="271"/>
      <c r="W170" s="271"/>
      <c r="X170" s="271"/>
      <c r="Y170" s="271"/>
      <c r="Z170" s="271"/>
      <c r="AA170" s="271"/>
    </row>
    <row r="171" spans="1:27" s="532" customFormat="1" x14ac:dyDescent="0.2">
      <c r="A171" s="472"/>
      <c r="B171" s="472"/>
      <c r="C171" s="472"/>
      <c r="D171" s="472"/>
      <c r="E171" s="557"/>
      <c r="F171" s="557"/>
      <c r="G171" s="557"/>
      <c r="H171" s="557"/>
      <c r="I171" s="557"/>
      <c r="J171" s="557"/>
      <c r="K171" s="557"/>
      <c r="M171" s="271"/>
      <c r="N171" s="271"/>
      <c r="O171" s="271"/>
      <c r="P171" s="271"/>
      <c r="Q171" s="271"/>
      <c r="R171" s="271"/>
      <c r="S171" s="271"/>
      <c r="T171" s="271"/>
      <c r="U171" s="271"/>
      <c r="V171" s="271"/>
      <c r="W171" s="271"/>
      <c r="X171" s="271"/>
      <c r="Y171" s="271"/>
      <c r="Z171" s="271"/>
      <c r="AA171" s="271"/>
    </row>
    <row r="172" spans="1:27" s="532" customFormat="1" x14ac:dyDescent="0.2">
      <c r="A172" s="472"/>
      <c r="B172" s="472"/>
      <c r="C172" s="472"/>
      <c r="D172" s="472"/>
      <c r="E172" s="557"/>
      <c r="F172" s="557"/>
      <c r="G172" s="557"/>
      <c r="H172" s="557"/>
      <c r="I172" s="557"/>
      <c r="J172" s="557"/>
      <c r="K172" s="557"/>
      <c r="M172" s="271"/>
      <c r="N172" s="271"/>
      <c r="O172" s="271"/>
      <c r="P172" s="271"/>
      <c r="Q172" s="271"/>
      <c r="R172" s="271"/>
      <c r="S172" s="271"/>
      <c r="T172" s="271"/>
      <c r="U172" s="271"/>
      <c r="V172" s="271"/>
      <c r="W172" s="271"/>
      <c r="X172" s="271"/>
      <c r="Y172" s="271"/>
      <c r="Z172" s="271"/>
      <c r="AA172" s="271"/>
    </row>
    <row r="173" spans="1:27" s="532" customFormat="1" x14ac:dyDescent="0.2">
      <c r="A173" s="472"/>
      <c r="B173" s="472"/>
      <c r="C173" s="472"/>
      <c r="D173" s="472"/>
      <c r="E173" s="557"/>
      <c r="F173" s="557"/>
      <c r="G173" s="557"/>
      <c r="H173" s="557"/>
      <c r="I173" s="557"/>
      <c r="J173" s="557"/>
      <c r="K173" s="557"/>
      <c r="M173" s="271"/>
      <c r="N173" s="271"/>
      <c r="O173" s="271"/>
      <c r="P173" s="271"/>
      <c r="Q173" s="271"/>
      <c r="R173" s="271"/>
      <c r="S173" s="271"/>
      <c r="T173" s="271"/>
      <c r="U173" s="271"/>
      <c r="V173" s="271"/>
      <c r="W173" s="271"/>
      <c r="X173" s="271"/>
      <c r="Y173" s="271"/>
      <c r="Z173" s="271"/>
      <c r="AA173" s="271"/>
    </row>
    <row r="174" spans="1:27" s="532" customFormat="1" x14ac:dyDescent="0.2">
      <c r="A174" s="472"/>
      <c r="B174" s="472"/>
      <c r="C174" s="472"/>
      <c r="D174" s="472"/>
      <c r="E174" s="557"/>
      <c r="F174" s="557"/>
      <c r="G174" s="557"/>
      <c r="H174" s="557"/>
      <c r="I174" s="557"/>
      <c r="J174" s="557"/>
      <c r="K174" s="557"/>
      <c r="M174" s="271"/>
      <c r="N174" s="271"/>
      <c r="O174" s="271"/>
      <c r="P174" s="271"/>
      <c r="Q174" s="271"/>
      <c r="R174" s="271"/>
      <c r="S174" s="271"/>
      <c r="T174" s="271"/>
      <c r="U174" s="271"/>
      <c r="V174" s="271"/>
      <c r="W174" s="271"/>
      <c r="X174" s="271"/>
      <c r="Y174" s="271"/>
      <c r="Z174" s="271"/>
      <c r="AA174" s="271"/>
    </row>
    <row r="175" spans="1:27" s="532" customFormat="1" x14ac:dyDescent="0.2">
      <c r="A175" s="472"/>
      <c r="B175" s="472"/>
      <c r="C175" s="472"/>
      <c r="D175" s="472"/>
      <c r="E175" s="557"/>
      <c r="F175" s="557"/>
      <c r="G175" s="557"/>
      <c r="H175" s="557"/>
      <c r="I175" s="557"/>
      <c r="J175" s="557"/>
      <c r="K175" s="557"/>
      <c r="M175" s="271"/>
      <c r="N175" s="271"/>
      <c r="O175" s="271"/>
      <c r="P175" s="271"/>
      <c r="Q175" s="271"/>
      <c r="R175" s="271"/>
      <c r="S175" s="271"/>
      <c r="T175" s="271"/>
      <c r="U175" s="271"/>
      <c r="V175" s="271"/>
      <c r="W175" s="271"/>
      <c r="X175" s="271"/>
      <c r="Y175" s="271"/>
      <c r="Z175" s="271"/>
      <c r="AA175" s="271"/>
    </row>
    <row r="176" spans="1:27" s="532" customFormat="1" x14ac:dyDescent="0.2">
      <c r="A176" s="472"/>
      <c r="B176" s="472"/>
      <c r="C176" s="472"/>
      <c r="D176" s="472"/>
      <c r="E176" s="557"/>
      <c r="F176" s="557"/>
      <c r="G176" s="557"/>
      <c r="H176" s="557"/>
      <c r="I176" s="557"/>
      <c r="J176" s="557"/>
      <c r="K176" s="557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</row>
    <row r="177" spans="1:27" s="532" customFormat="1" x14ac:dyDescent="0.2">
      <c r="A177" s="472"/>
      <c r="B177" s="472"/>
      <c r="C177" s="472"/>
      <c r="D177" s="472"/>
      <c r="E177" s="557"/>
      <c r="F177" s="557"/>
      <c r="G177" s="557"/>
      <c r="H177" s="557"/>
      <c r="I177" s="557"/>
      <c r="J177" s="557"/>
      <c r="K177" s="557"/>
      <c r="M177" s="271"/>
      <c r="N177" s="271"/>
      <c r="O177" s="271"/>
      <c r="P177" s="271"/>
      <c r="Q177" s="271"/>
      <c r="R177" s="271"/>
      <c r="S177" s="271"/>
      <c r="T177" s="271"/>
      <c r="U177" s="271"/>
      <c r="V177" s="271"/>
      <c r="W177" s="271"/>
      <c r="X177" s="271"/>
      <c r="Y177" s="271"/>
      <c r="Z177" s="271"/>
      <c r="AA177" s="271"/>
    </row>
    <row r="178" spans="1:27" s="532" customFormat="1" x14ac:dyDescent="0.2">
      <c r="A178" s="472"/>
      <c r="B178" s="472"/>
      <c r="C178" s="472"/>
      <c r="D178" s="472"/>
      <c r="E178" s="557"/>
      <c r="F178" s="557"/>
      <c r="G178" s="557"/>
      <c r="H178" s="557"/>
      <c r="I178" s="557"/>
      <c r="J178" s="557"/>
      <c r="K178" s="557"/>
      <c r="M178" s="271"/>
      <c r="N178" s="271"/>
      <c r="O178" s="271"/>
      <c r="P178" s="271"/>
      <c r="Q178" s="271"/>
      <c r="R178" s="271"/>
      <c r="S178" s="271"/>
      <c r="T178" s="271"/>
      <c r="U178" s="271"/>
      <c r="V178" s="271"/>
      <c r="W178" s="271"/>
      <c r="X178" s="271"/>
      <c r="Y178" s="271"/>
      <c r="Z178" s="271"/>
      <c r="AA178" s="271"/>
    </row>
    <row r="179" spans="1:27" s="532" customFormat="1" x14ac:dyDescent="0.2">
      <c r="A179" s="472"/>
      <c r="B179" s="472"/>
      <c r="C179" s="472"/>
      <c r="D179" s="472"/>
      <c r="E179" s="557"/>
      <c r="F179" s="557"/>
      <c r="G179" s="557"/>
      <c r="H179" s="557"/>
      <c r="I179" s="557"/>
      <c r="J179" s="557"/>
      <c r="K179" s="557"/>
      <c r="M179" s="271"/>
      <c r="N179" s="271"/>
      <c r="O179" s="271"/>
      <c r="P179" s="271"/>
      <c r="Q179" s="271"/>
      <c r="R179" s="271"/>
      <c r="S179" s="271"/>
      <c r="T179" s="271"/>
      <c r="U179" s="271"/>
      <c r="V179" s="271"/>
      <c r="W179" s="271"/>
      <c r="X179" s="271"/>
      <c r="Y179" s="271"/>
      <c r="Z179" s="271"/>
      <c r="AA179" s="271"/>
    </row>
    <row r="180" spans="1:27" s="532" customFormat="1" x14ac:dyDescent="0.2">
      <c r="A180" s="472"/>
      <c r="B180" s="472"/>
      <c r="C180" s="472"/>
      <c r="D180" s="472"/>
      <c r="E180" s="557"/>
      <c r="F180" s="557"/>
      <c r="G180" s="557"/>
      <c r="H180" s="557"/>
      <c r="I180" s="557"/>
      <c r="J180" s="557"/>
      <c r="K180" s="557"/>
      <c r="M180" s="271"/>
      <c r="N180" s="271"/>
      <c r="O180" s="271"/>
      <c r="P180" s="271"/>
      <c r="Q180" s="271"/>
      <c r="R180" s="271"/>
      <c r="S180" s="271"/>
      <c r="T180" s="271"/>
      <c r="U180" s="271"/>
      <c r="V180" s="271"/>
      <c r="W180" s="271"/>
      <c r="X180" s="271"/>
      <c r="Y180" s="271"/>
      <c r="Z180" s="271"/>
      <c r="AA180" s="271"/>
    </row>
    <row r="181" spans="1:27" s="532" customFormat="1" x14ac:dyDescent="0.2">
      <c r="A181" s="472"/>
      <c r="B181" s="472"/>
      <c r="C181" s="472"/>
      <c r="D181" s="472"/>
      <c r="E181" s="557"/>
      <c r="F181" s="557"/>
      <c r="G181" s="557"/>
      <c r="H181" s="557"/>
      <c r="I181" s="557"/>
      <c r="J181" s="557"/>
      <c r="K181" s="557"/>
      <c r="M181" s="271"/>
      <c r="N181" s="271"/>
      <c r="O181" s="271"/>
      <c r="P181" s="271"/>
      <c r="Q181" s="271"/>
      <c r="R181" s="271"/>
      <c r="S181" s="271"/>
      <c r="T181" s="271"/>
      <c r="U181" s="271"/>
      <c r="V181" s="271"/>
      <c r="W181" s="271"/>
      <c r="X181" s="271"/>
      <c r="Y181" s="271"/>
      <c r="Z181" s="271"/>
      <c r="AA181" s="271"/>
    </row>
    <row r="182" spans="1:27" s="532" customFormat="1" x14ac:dyDescent="0.2">
      <c r="A182" s="472"/>
      <c r="B182" s="472"/>
      <c r="C182" s="472"/>
      <c r="D182" s="472"/>
      <c r="E182" s="557"/>
      <c r="F182" s="557"/>
      <c r="G182" s="557"/>
      <c r="H182" s="557"/>
      <c r="I182" s="557"/>
      <c r="J182" s="557"/>
      <c r="K182" s="557"/>
      <c r="M182" s="271"/>
      <c r="N182" s="271"/>
      <c r="O182" s="271"/>
      <c r="P182" s="271"/>
      <c r="Q182" s="271"/>
      <c r="R182" s="271"/>
      <c r="S182" s="271"/>
      <c r="T182" s="271"/>
      <c r="U182" s="271"/>
      <c r="V182" s="271"/>
      <c r="W182" s="271"/>
      <c r="X182" s="271"/>
      <c r="Y182" s="271"/>
      <c r="Z182" s="271"/>
      <c r="AA182" s="271"/>
    </row>
    <row r="183" spans="1:27" s="532" customFormat="1" x14ac:dyDescent="0.2">
      <c r="A183" s="472"/>
      <c r="B183" s="472"/>
      <c r="C183" s="472"/>
      <c r="D183" s="472"/>
      <c r="E183" s="557"/>
      <c r="F183" s="557"/>
      <c r="G183" s="557"/>
      <c r="H183" s="557"/>
      <c r="I183" s="557"/>
      <c r="J183" s="557"/>
      <c r="K183" s="557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</row>
    <row r="184" spans="1:27" s="532" customFormat="1" x14ac:dyDescent="0.2">
      <c r="A184" s="472"/>
      <c r="B184" s="472"/>
      <c r="C184" s="472"/>
      <c r="D184" s="472"/>
      <c r="E184" s="557"/>
      <c r="F184" s="557"/>
      <c r="G184" s="557"/>
      <c r="H184" s="557"/>
      <c r="I184" s="557"/>
      <c r="J184" s="557"/>
      <c r="K184" s="557"/>
      <c r="M184" s="271"/>
      <c r="N184" s="271"/>
      <c r="O184" s="271"/>
      <c r="P184" s="271"/>
      <c r="Q184" s="271"/>
      <c r="R184" s="271"/>
      <c r="S184" s="271"/>
      <c r="T184" s="271"/>
      <c r="U184" s="271"/>
      <c r="V184" s="271"/>
      <c r="W184" s="271"/>
      <c r="X184" s="271"/>
      <c r="Y184" s="271"/>
      <c r="Z184" s="271"/>
      <c r="AA184" s="271"/>
    </row>
    <row r="185" spans="1:27" s="532" customFormat="1" x14ac:dyDescent="0.2">
      <c r="A185" s="472"/>
      <c r="B185" s="472"/>
      <c r="C185" s="472"/>
      <c r="D185" s="472"/>
      <c r="E185" s="557"/>
      <c r="F185" s="557"/>
      <c r="G185" s="557"/>
      <c r="H185" s="557"/>
      <c r="I185" s="557"/>
      <c r="J185" s="557"/>
      <c r="K185" s="557"/>
      <c r="M185" s="271"/>
      <c r="N185" s="271"/>
      <c r="O185" s="271"/>
      <c r="P185" s="271"/>
      <c r="Q185" s="271"/>
      <c r="R185" s="271"/>
      <c r="S185" s="271"/>
      <c r="T185" s="271"/>
      <c r="U185" s="271"/>
      <c r="V185" s="271"/>
      <c r="W185" s="271"/>
      <c r="X185" s="271"/>
      <c r="Y185" s="271"/>
      <c r="Z185" s="271"/>
      <c r="AA185" s="271"/>
    </row>
    <row r="186" spans="1:27" s="532" customFormat="1" x14ac:dyDescent="0.2">
      <c r="A186" s="472"/>
      <c r="B186" s="472"/>
      <c r="C186" s="472"/>
      <c r="D186" s="472"/>
      <c r="E186" s="557"/>
      <c r="F186" s="557"/>
      <c r="G186" s="557"/>
      <c r="H186" s="557"/>
      <c r="I186" s="557"/>
      <c r="J186" s="557"/>
      <c r="K186" s="557"/>
      <c r="M186" s="271"/>
      <c r="N186" s="271"/>
      <c r="O186" s="271"/>
      <c r="P186" s="271"/>
      <c r="Q186" s="271"/>
      <c r="R186" s="271"/>
      <c r="S186" s="271"/>
      <c r="T186" s="271"/>
      <c r="U186" s="271"/>
      <c r="V186" s="271"/>
      <c r="W186" s="271"/>
      <c r="X186" s="271"/>
      <c r="Y186" s="271"/>
      <c r="Z186" s="271"/>
      <c r="AA186" s="271"/>
    </row>
    <row r="187" spans="1:27" s="532" customFormat="1" x14ac:dyDescent="0.2">
      <c r="A187" s="472"/>
      <c r="B187" s="472"/>
      <c r="C187" s="472"/>
      <c r="D187" s="472"/>
      <c r="E187" s="557"/>
      <c r="F187" s="557"/>
      <c r="G187" s="557"/>
      <c r="H187" s="557"/>
      <c r="I187" s="557"/>
      <c r="J187" s="557"/>
      <c r="K187" s="557"/>
      <c r="M187" s="271"/>
      <c r="N187" s="271"/>
      <c r="O187" s="271"/>
      <c r="P187" s="271"/>
      <c r="Q187" s="271"/>
      <c r="R187" s="271"/>
      <c r="S187" s="271"/>
      <c r="T187" s="271"/>
      <c r="U187" s="271"/>
      <c r="V187" s="271"/>
      <c r="W187" s="271"/>
      <c r="X187" s="271"/>
      <c r="Y187" s="271"/>
      <c r="Z187" s="271"/>
      <c r="AA187" s="271"/>
    </row>
    <row r="188" spans="1:27" s="532" customFormat="1" x14ac:dyDescent="0.2">
      <c r="A188" s="472"/>
      <c r="B188" s="472"/>
      <c r="C188" s="472"/>
      <c r="D188" s="472"/>
      <c r="E188" s="557"/>
      <c r="F188" s="557"/>
      <c r="G188" s="557"/>
      <c r="H188" s="557"/>
      <c r="I188" s="557"/>
      <c r="J188" s="557"/>
      <c r="K188" s="557"/>
      <c r="M188" s="271"/>
      <c r="N188" s="271"/>
      <c r="O188" s="271"/>
      <c r="P188" s="271"/>
      <c r="Q188" s="271"/>
      <c r="R188" s="271"/>
      <c r="S188" s="271"/>
      <c r="T188" s="271"/>
      <c r="U188" s="271"/>
      <c r="V188" s="271"/>
      <c r="W188" s="271"/>
      <c r="X188" s="271"/>
      <c r="Y188" s="271"/>
      <c r="Z188" s="271"/>
      <c r="AA188" s="271"/>
    </row>
    <row r="189" spans="1:27" s="532" customFormat="1" x14ac:dyDescent="0.2">
      <c r="A189" s="472"/>
      <c r="B189" s="472"/>
      <c r="C189" s="472"/>
      <c r="D189" s="472"/>
      <c r="E189" s="557"/>
      <c r="F189" s="557"/>
      <c r="G189" s="557"/>
      <c r="H189" s="557"/>
      <c r="I189" s="557"/>
      <c r="J189" s="557"/>
      <c r="K189" s="557"/>
      <c r="M189" s="271"/>
      <c r="N189" s="271"/>
      <c r="O189" s="271"/>
      <c r="P189" s="271"/>
      <c r="Q189" s="271"/>
      <c r="R189" s="271"/>
      <c r="S189" s="271"/>
      <c r="T189" s="271"/>
      <c r="U189" s="271"/>
      <c r="V189" s="271"/>
      <c r="W189" s="271"/>
      <c r="X189" s="271"/>
      <c r="Y189" s="271"/>
      <c r="Z189" s="271"/>
      <c r="AA189" s="271"/>
    </row>
    <row r="190" spans="1:27" s="532" customFormat="1" x14ac:dyDescent="0.2">
      <c r="A190" s="472"/>
      <c r="B190" s="472"/>
      <c r="C190" s="472"/>
      <c r="D190" s="472"/>
      <c r="E190" s="557"/>
      <c r="F190" s="557"/>
      <c r="G190" s="557"/>
      <c r="H190" s="557"/>
      <c r="I190" s="557"/>
      <c r="J190" s="557"/>
      <c r="K190" s="557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  <c r="AA190" s="271"/>
    </row>
    <row r="191" spans="1:27" s="532" customFormat="1" x14ac:dyDescent="0.2">
      <c r="A191" s="472"/>
      <c r="B191" s="472"/>
      <c r="C191" s="472"/>
      <c r="D191" s="472"/>
      <c r="E191" s="557"/>
      <c r="F191" s="557"/>
      <c r="G191" s="557"/>
      <c r="H191" s="557"/>
      <c r="I191" s="557"/>
      <c r="J191" s="557"/>
      <c r="K191" s="557"/>
      <c r="M191" s="271"/>
      <c r="N191" s="271"/>
      <c r="O191" s="271"/>
      <c r="P191" s="271"/>
      <c r="Q191" s="271"/>
      <c r="R191" s="271"/>
      <c r="S191" s="271"/>
      <c r="T191" s="271"/>
      <c r="U191" s="271"/>
      <c r="V191" s="271"/>
      <c r="W191" s="271"/>
      <c r="X191" s="271"/>
      <c r="Y191" s="271"/>
      <c r="Z191" s="271"/>
      <c r="AA191" s="271"/>
    </row>
    <row r="192" spans="1:27" s="532" customFormat="1" x14ac:dyDescent="0.2">
      <c r="A192" s="472"/>
      <c r="B192" s="472"/>
      <c r="C192" s="472"/>
      <c r="D192" s="472"/>
      <c r="E192" s="557"/>
      <c r="F192" s="557"/>
      <c r="G192" s="557"/>
      <c r="H192" s="557"/>
      <c r="I192" s="557"/>
      <c r="J192" s="557"/>
      <c r="K192" s="557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</row>
    <row r="193" spans="1:27" s="532" customFormat="1" x14ac:dyDescent="0.2">
      <c r="A193" s="472"/>
      <c r="B193" s="472"/>
      <c r="C193" s="472"/>
      <c r="D193" s="472"/>
      <c r="E193" s="557"/>
      <c r="F193" s="557"/>
      <c r="G193" s="557"/>
      <c r="H193" s="557"/>
      <c r="I193" s="557"/>
      <c r="J193" s="557"/>
      <c r="K193" s="557"/>
      <c r="M193" s="271"/>
      <c r="N193" s="271"/>
      <c r="O193" s="271"/>
      <c r="P193" s="271"/>
      <c r="Q193" s="271"/>
      <c r="R193" s="271"/>
      <c r="S193" s="271"/>
      <c r="T193" s="271"/>
      <c r="U193" s="271"/>
      <c r="V193" s="271"/>
      <c r="W193" s="271"/>
      <c r="X193" s="271"/>
      <c r="Y193" s="271"/>
      <c r="Z193" s="271"/>
      <c r="AA193" s="271"/>
    </row>
    <row r="194" spans="1:27" s="532" customFormat="1" x14ac:dyDescent="0.2">
      <c r="A194" s="472"/>
      <c r="B194" s="472"/>
      <c r="C194" s="472"/>
      <c r="D194" s="472"/>
      <c r="E194" s="557"/>
      <c r="F194" s="557"/>
      <c r="G194" s="557"/>
      <c r="H194" s="557"/>
      <c r="I194" s="557"/>
      <c r="J194" s="557"/>
      <c r="K194" s="557"/>
      <c r="M194" s="271"/>
      <c r="N194" s="271"/>
      <c r="O194" s="271"/>
      <c r="P194" s="271"/>
      <c r="Q194" s="271"/>
      <c r="R194" s="271"/>
      <c r="S194" s="271"/>
      <c r="T194" s="271"/>
      <c r="U194" s="271"/>
      <c r="V194" s="271"/>
      <c r="W194" s="271"/>
      <c r="X194" s="271"/>
      <c r="Y194" s="271"/>
      <c r="Z194" s="271"/>
      <c r="AA194" s="271"/>
    </row>
    <row r="195" spans="1:27" s="532" customFormat="1" x14ac:dyDescent="0.2">
      <c r="A195" s="472"/>
      <c r="B195" s="472"/>
      <c r="C195" s="472"/>
      <c r="D195" s="472"/>
      <c r="E195" s="557"/>
      <c r="F195" s="557"/>
      <c r="G195" s="557"/>
      <c r="H195" s="557"/>
      <c r="I195" s="557"/>
      <c r="J195" s="557"/>
      <c r="K195" s="557"/>
      <c r="M195" s="271"/>
      <c r="N195" s="271"/>
      <c r="O195" s="271"/>
      <c r="P195" s="271"/>
      <c r="Q195" s="271"/>
      <c r="R195" s="271"/>
      <c r="S195" s="271"/>
      <c r="T195" s="271"/>
      <c r="U195" s="271"/>
      <c r="V195" s="271"/>
      <c r="W195" s="271"/>
      <c r="X195" s="271"/>
      <c r="Y195" s="271"/>
      <c r="Z195" s="271"/>
      <c r="AA195" s="271"/>
    </row>
    <row r="196" spans="1:27" s="532" customFormat="1" x14ac:dyDescent="0.2">
      <c r="A196" s="472"/>
      <c r="B196" s="472"/>
      <c r="C196" s="472"/>
      <c r="D196" s="472"/>
      <c r="E196" s="557"/>
      <c r="F196" s="557"/>
      <c r="G196" s="557"/>
      <c r="H196" s="557"/>
      <c r="I196" s="557"/>
      <c r="J196" s="557"/>
      <c r="K196" s="557"/>
      <c r="M196" s="271"/>
      <c r="N196" s="271"/>
      <c r="O196" s="271"/>
      <c r="P196" s="271"/>
      <c r="Q196" s="271"/>
      <c r="R196" s="271"/>
      <c r="S196" s="271"/>
      <c r="T196" s="271"/>
      <c r="U196" s="271"/>
      <c r="V196" s="271"/>
      <c r="W196" s="271"/>
      <c r="X196" s="271"/>
      <c r="Y196" s="271"/>
      <c r="Z196" s="271"/>
      <c r="AA196" s="271"/>
    </row>
    <row r="197" spans="1:27" s="532" customFormat="1" x14ac:dyDescent="0.2">
      <c r="A197" s="472"/>
      <c r="B197" s="472"/>
      <c r="C197" s="472"/>
      <c r="D197" s="472"/>
      <c r="E197" s="557"/>
      <c r="F197" s="557"/>
      <c r="G197" s="557"/>
      <c r="H197" s="557"/>
      <c r="I197" s="557"/>
      <c r="J197" s="557"/>
      <c r="K197" s="557"/>
      <c r="M197" s="271"/>
      <c r="N197" s="271"/>
      <c r="O197" s="271"/>
      <c r="P197" s="271"/>
      <c r="Q197" s="271"/>
      <c r="R197" s="271"/>
      <c r="S197" s="271"/>
      <c r="T197" s="271"/>
      <c r="U197" s="271"/>
      <c r="V197" s="271"/>
      <c r="W197" s="271"/>
      <c r="X197" s="271"/>
      <c r="Y197" s="271"/>
      <c r="Z197" s="271"/>
      <c r="AA197" s="271"/>
    </row>
    <row r="198" spans="1:27" s="532" customFormat="1" x14ac:dyDescent="0.2">
      <c r="A198" s="472"/>
      <c r="B198" s="472"/>
      <c r="C198" s="472"/>
      <c r="D198" s="472"/>
      <c r="E198" s="557"/>
      <c r="F198" s="557"/>
      <c r="G198" s="557"/>
      <c r="H198" s="557"/>
      <c r="I198" s="557"/>
      <c r="J198" s="557"/>
      <c r="K198" s="557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  <c r="AA198" s="271"/>
    </row>
    <row r="199" spans="1:27" s="532" customFormat="1" x14ac:dyDescent="0.2">
      <c r="A199" s="472"/>
      <c r="B199" s="472"/>
      <c r="C199" s="472"/>
      <c r="D199" s="472"/>
      <c r="E199" s="557"/>
      <c r="F199" s="557"/>
      <c r="G199" s="557"/>
      <c r="H199" s="557"/>
      <c r="I199" s="557"/>
      <c r="J199" s="557"/>
      <c r="K199" s="557"/>
      <c r="M199" s="271"/>
      <c r="N199" s="271"/>
      <c r="O199" s="271"/>
      <c r="P199" s="271"/>
      <c r="Q199" s="271"/>
      <c r="R199" s="271"/>
      <c r="S199" s="271"/>
      <c r="T199" s="271"/>
      <c r="U199" s="271"/>
      <c r="V199" s="271"/>
      <c r="W199" s="271"/>
      <c r="X199" s="271"/>
      <c r="Y199" s="271"/>
      <c r="Z199" s="271"/>
      <c r="AA199" s="271"/>
    </row>
    <row r="200" spans="1:27" s="532" customFormat="1" x14ac:dyDescent="0.2">
      <c r="A200" s="472"/>
      <c r="B200" s="472"/>
      <c r="C200" s="472"/>
      <c r="D200" s="472"/>
      <c r="E200" s="557"/>
      <c r="F200" s="557"/>
      <c r="G200" s="557"/>
      <c r="H200" s="557"/>
      <c r="I200" s="557"/>
      <c r="J200" s="557"/>
      <c r="K200" s="557"/>
      <c r="M200" s="271"/>
      <c r="N200" s="271"/>
      <c r="O200" s="271"/>
      <c r="P200" s="271"/>
      <c r="Q200" s="271"/>
      <c r="R200" s="271"/>
      <c r="S200" s="271"/>
      <c r="T200" s="271"/>
      <c r="U200" s="271"/>
      <c r="V200" s="271"/>
      <c r="W200" s="271"/>
      <c r="X200" s="271"/>
      <c r="Y200" s="271"/>
      <c r="Z200" s="271"/>
      <c r="AA200" s="271"/>
    </row>
    <row r="201" spans="1:27" s="532" customFormat="1" x14ac:dyDescent="0.2">
      <c r="A201" s="472"/>
      <c r="B201" s="472"/>
      <c r="C201" s="472"/>
      <c r="D201" s="472"/>
      <c r="E201" s="557"/>
      <c r="F201" s="557"/>
      <c r="G201" s="557"/>
      <c r="H201" s="557"/>
      <c r="I201" s="557"/>
      <c r="J201" s="557"/>
      <c r="K201" s="557"/>
      <c r="M201" s="271"/>
      <c r="N201" s="271"/>
      <c r="O201" s="271"/>
      <c r="P201" s="271"/>
      <c r="Q201" s="271"/>
      <c r="R201" s="271"/>
      <c r="S201" s="271"/>
      <c r="T201" s="271"/>
      <c r="U201" s="271"/>
      <c r="V201" s="271"/>
      <c r="W201" s="271"/>
      <c r="X201" s="271"/>
      <c r="Y201" s="271"/>
      <c r="Z201" s="271"/>
      <c r="AA201" s="271"/>
    </row>
    <row r="202" spans="1:27" s="532" customFormat="1" x14ac:dyDescent="0.2">
      <c r="A202" s="472"/>
      <c r="B202" s="472"/>
      <c r="C202" s="472"/>
      <c r="D202" s="472"/>
      <c r="E202" s="557"/>
      <c r="F202" s="557"/>
      <c r="G202" s="557"/>
      <c r="H202" s="557"/>
      <c r="I202" s="557"/>
      <c r="J202" s="557"/>
      <c r="K202" s="557"/>
      <c r="M202" s="271"/>
      <c r="N202" s="271"/>
      <c r="O202" s="271"/>
      <c r="P202" s="271"/>
      <c r="Q202" s="271"/>
      <c r="R202" s="271"/>
      <c r="S202" s="271"/>
      <c r="T202" s="271"/>
      <c r="U202" s="271"/>
      <c r="V202" s="271"/>
      <c r="W202" s="271"/>
      <c r="X202" s="271"/>
      <c r="Y202" s="271"/>
      <c r="Z202" s="271"/>
      <c r="AA202" s="271"/>
    </row>
    <row r="203" spans="1:27" s="532" customFormat="1" x14ac:dyDescent="0.2">
      <c r="A203" s="472"/>
      <c r="B203" s="472"/>
      <c r="C203" s="472"/>
      <c r="D203" s="472"/>
      <c r="E203" s="557"/>
      <c r="F203" s="557"/>
      <c r="G203" s="557"/>
      <c r="H203" s="557"/>
      <c r="I203" s="557"/>
      <c r="J203" s="557"/>
      <c r="K203" s="557"/>
      <c r="M203" s="271"/>
      <c r="N203" s="271"/>
      <c r="O203" s="271"/>
      <c r="P203" s="271"/>
      <c r="Q203" s="271"/>
      <c r="R203" s="271"/>
      <c r="S203" s="271"/>
      <c r="T203" s="271"/>
      <c r="U203" s="271"/>
      <c r="V203" s="271"/>
      <c r="W203" s="271"/>
      <c r="X203" s="271"/>
      <c r="Y203" s="271"/>
      <c r="Z203" s="271"/>
      <c r="AA203" s="271"/>
    </row>
    <row r="204" spans="1:27" s="532" customFormat="1" x14ac:dyDescent="0.2">
      <c r="A204" s="472"/>
      <c r="B204" s="472"/>
      <c r="C204" s="472"/>
      <c r="D204" s="472"/>
      <c r="E204" s="557"/>
      <c r="F204" s="557"/>
      <c r="G204" s="557"/>
      <c r="H204" s="557"/>
      <c r="I204" s="557"/>
      <c r="J204" s="557"/>
      <c r="K204" s="557"/>
      <c r="M204" s="271"/>
      <c r="N204" s="271"/>
      <c r="O204" s="271"/>
      <c r="P204" s="271"/>
      <c r="Q204" s="271"/>
      <c r="R204" s="271"/>
      <c r="S204" s="271"/>
      <c r="T204" s="271"/>
      <c r="U204" s="271"/>
      <c r="V204" s="271"/>
      <c r="W204" s="271"/>
      <c r="X204" s="271"/>
      <c r="Y204" s="271"/>
      <c r="Z204" s="271"/>
      <c r="AA204" s="271"/>
    </row>
    <row r="205" spans="1:27" s="532" customFormat="1" x14ac:dyDescent="0.2">
      <c r="A205" s="472"/>
      <c r="B205" s="472"/>
      <c r="C205" s="472"/>
      <c r="D205" s="472"/>
      <c r="E205" s="557"/>
      <c r="F205" s="557"/>
      <c r="G205" s="557"/>
      <c r="H205" s="557"/>
      <c r="I205" s="557"/>
      <c r="J205" s="557"/>
      <c r="K205" s="557"/>
      <c r="M205" s="271"/>
      <c r="N205" s="271"/>
      <c r="O205" s="271"/>
      <c r="P205" s="271"/>
      <c r="Q205" s="271"/>
      <c r="R205" s="271"/>
      <c r="S205" s="271"/>
      <c r="T205" s="271"/>
      <c r="U205" s="271"/>
      <c r="V205" s="271"/>
      <c r="W205" s="271"/>
      <c r="X205" s="271"/>
      <c r="Y205" s="271"/>
      <c r="Z205" s="271"/>
      <c r="AA205" s="271"/>
    </row>
    <row r="206" spans="1:27" s="532" customFormat="1" x14ac:dyDescent="0.2">
      <c r="A206" s="472"/>
      <c r="B206" s="472"/>
      <c r="C206" s="472"/>
      <c r="D206" s="472"/>
      <c r="E206" s="557"/>
      <c r="F206" s="557"/>
      <c r="G206" s="557"/>
      <c r="H206" s="557"/>
      <c r="I206" s="557"/>
      <c r="J206" s="557"/>
      <c r="K206" s="557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</row>
    <row r="207" spans="1:27" s="532" customFormat="1" x14ac:dyDescent="0.2">
      <c r="A207" s="472"/>
      <c r="B207" s="472"/>
      <c r="C207" s="472"/>
      <c r="D207" s="472"/>
      <c r="E207" s="557"/>
      <c r="F207" s="557"/>
      <c r="G207" s="557"/>
      <c r="H207" s="557"/>
      <c r="I207" s="557"/>
      <c r="J207" s="557"/>
      <c r="K207" s="557"/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  <c r="AA207" s="271"/>
    </row>
    <row r="208" spans="1:27" s="532" customFormat="1" x14ac:dyDescent="0.2">
      <c r="A208" s="472"/>
      <c r="B208" s="472"/>
      <c r="C208" s="472"/>
      <c r="D208" s="472"/>
      <c r="E208" s="557"/>
      <c r="F208" s="557"/>
      <c r="G208" s="557"/>
      <c r="H208" s="557"/>
      <c r="I208" s="557"/>
      <c r="J208" s="557"/>
      <c r="K208" s="557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  <c r="AA208" s="271"/>
    </row>
    <row r="209" spans="1:27" s="532" customFormat="1" x14ac:dyDescent="0.2">
      <c r="A209" s="472"/>
      <c r="B209" s="472"/>
      <c r="C209" s="472"/>
      <c r="D209" s="472"/>
      <c r="E209" s="557"/>
      <c r="F209" s="557"/>
      <c r="G209" s="557"/>
      <c r="H209" s="557"/>
      <c r="I209" s="557"/>
      <c r="J209" s="557"/>
      <c r="K209" s="557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  <c r="AA209" s="271"/>
    </row>
    <row r="210" spans="1:27" s="532" customFormat="1" x14ac:dyDescent="0.2">
      <c r="A210" s="472"/>
      <c r="B210" s="472"/>
      <c r="C210" s="472"/>
      <c r="D210" s="472"/>
      <c r="E210" s="557"/>
      <c r="F210" s="557"/>
      <c r="G210" s="557"/>
      <c r="H210" s="557"/>
      <c r="I210" s="557"/>
      <c r="J210" s="557"/>
      <c r="K210" s="557"/>
      <c r="M210" s="271"/>
      <c r="N210" s="271"/>
      <c r="O210" s="271"/>
      <c r="P210" s="271"/>
      <c r="Q210" s="271"/>
      <c r="R210" s="271"/>
      <c r="S210" s="271"/>
      <c r="T210" s="271"/>
      <c r="U210" s="271"/>
      <c r="V210" s="271"/>
      <c r="W210" s="271"/>
      <c r="X210" s="271"/>
      <c r="Y210" s="271"/>
      <c r="Z210" s="271"/>
      <c r="AA210" s="271"/>
    </row>
    <row r="211" spans="1:27" s="532" customFormat="1" x14ac:dyDescent="0.2">
      <c r="A211" s="472"/>
      <c r="B211" s="472"/>
      <c r="C211" s="472"/>
      <c r="D211" s="472"/>
      <c r="E211" s="557"/>
      <c r="F211" s="557"/>
      <c r="G211" s="557"/>
      <c r="H211" s="557"/>
      <c r="I211" s="557"/>
      <c r="J211" s="557"/>
      <c r="K211" s="557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</row>
    <row r="212" spans="1:27" s="532" customFormat="1" x14ac:dyDescent="0.2">
      <c r="A212" s="472"/>
      <c r="B212" s="472"/>
      <c r="C212" s="472"/>
      <c r="D212" s="472"/>
      <c r="E212" s="557"/>
      <c r="F212" s="557"/>
      <c r="G212" s="557"/>
      <c r="H212" s="557"/>
      <c r="I212" s="557"/>
      <c r="J212" s="557"/>
      <c r="K212" s="557"/>
      <c r="M212" s="271"/>
      <c r="N212" s="271"/>
      <c r="O212" s="271"/>
      <c r="P212" s="271"/>
      <c r="Q212" s="271"/>
      <c r="R212" s="271"/>
      <c r="S212" s="271"/>
      <c r="T212" s="271"/>
      <c r="U212" s="271"/>
      <c r="V212" s="271"/>
      <c r="W212" s="271"/>
      <c r="X212" s="271"/>
      <c r="Y212" s="271"/>
      <c r="Z212" s="271"/>
      <c r="AA212" s="271"/>
    </row>
    <row r="213" spans="1:27" s="532" customFormat="1" x14ac:dyDescent="0.2">
      <c r="A213" s="472"/>
      <c r="B213" s="472"/>
      <c r="C213" s="472"/>
      <c r="D213" s="472"/>
      <c r="E213" s="557"/>
      <c r="F213" s="557"/>
      <c r="G213" s="557"/>
      <c r="H213" s="557"/>
      <c r="I213" s="557"/>
      <c r="J213" s="557"/>
      <c r="K213" s="557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</row>
    <row r="214" spans="1:27" s="532" customFormat="1" x14ac:dyDescent="0.2">
      <c r="A214" s="472"/>
      <c r="B214" s="472"/>
      <c r="C214" s="472"/>
      <c r="D214" s="472"/>
      <c r="E214" s="557"/>
      <c r="F214" s="557"/>
      <c r="G214" s="557"/>
      <c r="H214" s="557"/>
      <c r="I214" s="557"/>
      <c r="J214" s="557"/>
      <c r="K214" s="557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  <c r="AA214" s="271"/>
    </row>
    <row r="215" spans="1:27" s="532" customFormat="1" x14ac:dyDescent="0.2">
      <c r="A215" s="472"/>
      <c r="B215" s="472"/>
      <c r="C215" s="472"/>
      <c r="D215" s="472"/>
      <c r="E215" s="557"/>
      <c r="F215" s="557"/>
      <c r="G215" s="557"/>
      <c r="H215" s="557"/>
      <c r="I215" s="557"/>
      <c r="J215" s="557"/>
      <c r="K215" s="557"/>
      <c r="M215" s="271"/>
      <c r="N215" s="271"/>
      <c r="O215" s="271"/>
      <c r="P215" s="271"/>
      <c r="Q215" s="271"/>
      <c r="R215" s="271"/>
      <c r="S215" s="271"/>
      <c r="T215" s="271"/>
      <c r="U215" s="271"/>
      <c r="V215" s="271"/>
      <c r="W215" s="271"/>
      <c r="X215" s="271"/>
      <c r="Y215" s="271"/>
      <c r="Z215" s="271"/>
      <c r="AA215" s="271"/>
    </row>
    <row r="216" spans="1:27" s="532" customFormat="1" x14ac:dyDescent="0.2">
      <c r="A216" s="472"/>
      <c r="B216" s="472"/>
      <c r="C216" s="472"/>
      <c r="D216" s="472"/>
      <c r="E216" s="557"/>
      <c r="F216" s="557"/>
      <c r="G216" s="557"/>
      <c r="H216" s="557"/>
      <c r="I216" s="557"/>
      <c r="J216" s="557"/>
      <c r="K216" s="557"/>
      <c r="M216" s="271"/>
      <c r="N216" s="271"/>
      <c r="O216" s="271"/>
      <c r="P216" s="271"/>
      <c r="Q216" s="271"/>
      <c r="R216" s="271"/>
      <c r="S216" s="271"/>
      <c r="T216" s="271"/>
      <c r="U216" s="271"/>
      <c r="V216" s="271"/>
      <c r="W216" s="271"/>
      <c r="X216" s="271"/>
      <c r="Y216" s="271"/>
      <c r="Z216" s="271"/>
      <c r="AA216" s="271"/>
    </row>
    <row r="217" spans="1:27" s="532" customFormat="1" x14ac:dyDescent="0.2">
      <c r="A217" s="472"/>
      <c r="B217" s="472"/>
      <c r="C217" s="472"/>
      <c r="D217" s="472"/>
      <c r="E217" s="557"/>
      <c r="F217" s="557"/>
      <c r="G217" s="557"/>
      <c r="H217" s="557"/>
      <c r="I217" s="557"/>
      <c r="J217" s="557"/>
      <c r="K217" s="557"/>
      <c r="M217" s="271"/>
      <c r="N217" s="271"/>
      <c r="O217" s="271"/>
      <c r="P217" s="271"/>
      <c r="Q217" s="271"/>
      <c r="R217" s="271"/>
      <c r="S217" s="271"/>
      <c r="T217" s="271"/>
      <c r="U217" s="271"/>
      <c r="V217" s="271"/>
      <c r="W217" s="271"/>
      <c r="X217" s="271"/>
      <c r="Y217" s="271"/>
      <c r="Z217" s="271"/>
      <c r="AA217" s="271"/>
    </row>
    <row r="218" spans="1:27" s="532" customFormat="1" x14ac:dyDescent="0.2">
      <c r="A218" s="472"/>
      <c r="B218" s="472"/>
      <c r="C218" s="472"/>
      <c r="D218" s="472"/>
      <c r="E218" s="557"/>
      <c r="F218" s="557"/>
      <c r="G218" s="557"/>
      <c r="H218" s="557"/>
      <c r="I218" s="557"/>
      <c r="J218" s="557"/>
      <c r="K218" s="557"/>
      <c r="M218" s="271"/>
      <c r="N218" s="271"/>
      <c r="O218" s="271"/>
      <c r="P218" s="271"/>
      <c r="Q218" s="271"/>
      <c r="R218" s="271"/>
      <c r="S218" s="271"/>
      <c r="T218" s="271"/>
      <c r="U218" s="271"/>
      <c r="V218" s="271"/>
      <c r="W218" s="271"/>
      <c r="X218" s="271"/>
      <c r="Y218" s="271"/>
      <c r="Z218" s="271"/>
      <c r="AA218" s="271"/>
    </row>
    <row r="219" spans="1:27" s="532" customFormat="1" x14ac:dyDescent="0.2">
      <c r="A219" s="472"/>
      <c r="B219" s="472"/>
      <c r="C219" s="472"/>
      <c r="D219" s="472"/>
      <c r="E219" s="557"/>
      <c r="F219" s="557"/>
      <c r="G219" s="557"/>
      <c r="H219" s="557"/>
      <c r="I219" s="557"/>
      <c r="J219" s="557"/>
      <c r="K219" s="557"/>
      <c r="M219" s="271"/>
      <c r="N219" s="271"/>
      <c r="O219" s="271"/>
      <c r="P219" s="271"/>
      <c r="Q219" s="271"/>
      <c r="R219" s="271"/>
      <c r="S219" s="271"/>
      <c r="T219" s="271"/>
      <c r="U219" s="271"/>
      <c r="V219" s="271"/>
      <c r="W219" s="271"/>
      <c r="X219" s="271"/>
      <c r="Y219" s="271"/>
      <c r="Z219" s="271"/>
      <c r="AA219" s="271"/>
    </row>
    <row r="220" spans="1:27" s="532" customFormat="1" x14ac:dyDescent="0.2">
      <c r="A220" s="472"/>
      <c r="B220" s="472"/>
      <c r="C220" s="472"/>
      <c r="D220" s="472"/>
      <c r="E220" s="557"/>
      <c r="F220" s="557"/>
      <c r="G220" s="557"/>
      <c r="H220" s="557"/>
      <c r="I220" s="557"/>
      <c r="J220" s="557"/>
      <c r="K220" s="557"/>
      <c r="M220" s="271"/>
      <c r="N220" s="271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271"/>
      <c r="AA220" s="271"/>
    </row>
    <row r="221" spans="1:27" s="532" customFormat="1" x14ac:dyDescent="0.2">
      <c r="A221" s="472"/>
      <c r="B221" s="472"/>
      <c r="C221" s="472"/>
      <c r="D221" s="472"/>
      <c r="E221" s="557"/>
      <c r="F221" s="557"/>
      <c r="G221" s="557"/>
      <c r="H221" s="557"/>
      <c r="I221" s="557"/>
      <c r="J221" s="557"/>
      <c r="K221" s="557"/>
      <c r="M221" s="271"/>
      <c r="N221" s="271"/>
      <c r="O221" s="271"/>
      <c r="P221" s="271"/>
      <c r="Q221" s="271"/>
      <c r="R221" s="271"/>
      <c r="S221" s="271"/>
      <c r="T221" s="271"/>
      <c r="U221" s="271"/>
      <c r="V221" s="271"/>
      <c r="W221" s="271"/>
      <c r="X221" s="271"/>
      <c r="Y221" s="271"/>
      <c r="Z221" s="271"/>
      <c r="AA221" s="271"/>
    </row>
    <row r="222" spans="1:27" s="532" customFormat="1" x14ac:dyDescent="0.2">
      <c r="A222" s="472"/>
      <c r="B222" s="472"/>
      <c r="C222" s="472"/>
      <c r="D222" s="472"/>
      <c r="E222" s="557"/>
      <c r="F222" s="557"/>
      <c r="G222" s="557"/>
      <c r="H222" s="557"/>
      <c r="I222" s="557"/>
      <c r="J222" s="557"/>
      <c r="K222" s="557"/>
      <c r="M222" s="271"/>
      <c r="N222" s="271"/>
      <c r="O222" s="271"/>
      <c r="P222" s="271"/>
      <c r="Q222" s="271"/>
      <c r="R222" s="271"/>
      <c r="S222" s="271"/>
      <c r="T222" s="271"/>
      <c r="U222" s="271"/>
      <c r="V222" s="271"/>
      <c r="W222" s="271"/>
      <c r="X222" s="271"/>
      <c r="Y222" s="271"/>
      <c r="Z222" s="271"/>
      <c r="AA222" s="271"/>
    </row>
    <row r="223" spans="1:27" s="532" customFormat="1" x14ac:dyDescent="0.2">
      <c r="A223" s="472"/>
      <c r="B223" s="472"/>
      <c r="C223" s="472"/>
      <c r="D223" s="472"/>
      <c r="E223" s="557"/>
      <c r="F223" s="557"/>
      <c r="G223" s="557"/>
      <c r="H223" s="557"/>
      <c r="I223" s="557"/>
      <c r="J223" s="557"/>
      <c r="K223" s="557"/>
      <c r="M223" s="271"/>
      <c r="N223" s="271"/>
      <c r="O223" s="271"/>
      <c r="P223" s="271"/>
      <c r="Q223" s="271"/>
      <c r="R223" s="271"/>
      <c r="S223" s="271"/>
      <c r="T223" s="271"/>
      <c r="U223" s="271"/>
      <c r="V223" s="271"/>
      <c r="W223" s="271"/>
      <c r="X223" s="271"/>
      <c r="Y223" s="271"/>
      <c r="Z223" s="271"/>
      <c r="AA223" s="271"/>
    </row>
    <row r="224" spans="1:27" s="532" customFormat="1" x14ac:dyDescent="0.2">
      <c r="A224" s="472"/>
      <c r="B224" s="472"/>
      <c r="C224" s="472"/>
      <c r="D224" s="472"/>
      <c r="E224" s="557"/>
      <c r="F224" s="557"/>
      <c r="G224" s="557"/>
      <c r="H224" s="557"/>
      <c r="I224" s="557"/>
      <c r="J224" s="557"/>
      <c r="K224" s="557"/>
      <c r="M224" s="271"/>
      <c r="N224" s="271"/>
      <c r="O224" s="271"/>
      <c r="P224" s="271"/>
      <c r="Q224" s="271"/>
      <c r="R224" s="271"/>
      <c r="S224" s="271"/>
      <c r="T224" s="271"/>
      <c r="U224" s="271"/>
      <c r="V224" s="271"/>
      <c r="W224" s="271"/>
      <c r="X224" s="271"/>
      <c r="Y224" s="271"/>
      <c r="Z224" s="271"/>
      <c r="AA224" s="271"/>
    </row>
    <row r="225" spans="1:27" s="532" customFormat="1" x14ac:dyDescent="0.2">
      <c r="A225" s="472"/>
      <c r="B225" s="472"/>
      <c r="C225" s="472"/>
      <c r="D225" s="472"/>
      <c r="E225" s="557"/>
      <c r="F225" s="557"/>
      <c r="G225" s="557"/>
      <c r="H225" s="557"/>
      <c r="I225" s="557"/>
      <c r="J225" s="557"/>
      <c r="K225" s="557"/>
      <c r="M225" s="271"/>
      <c r="N225" s="271"/>
      <c r="O225" s="271"/>
      <c r="P225" s="271"/>
      <c r="Q225" s="271"/>
      <c r="R225" s="271"/>
      <c r="S225" s="271"/>
      <c r="T225" s="271"/>
      <c r="U225" s="271"/>
      <c r="V225" s="271"/>
      <c r="W225" s="271"/>
      <c r="X225" s="271"/>
      <c r="Y225" s="271"/>
      <c r="Z225" s="271"/>
      <c r="AA225" s="271"/>
    </row>
    <row r="226" spans="1:27" s="532" customFormat="1" x14ac:dyDescent="0.2">
      <c r="A226" s="472"/>
      <c r="B226" s="472"/>
      <c r="C226" s="472"/>
      <c r="D226" s="472"/>
      <c r="E226" s="557"/>
      <c r="F226" s="557"/>
      <c r="G226" s="557"/>
      <c r="H226" s="557"/>
      <c r="I226" s="557"/>
      <c r="J226" s="557"/>
      <c r="K226" s="557"/>
      <c r="M226" s="271"/>
      <c r="N226" s="271"/>
      <c r="O226" s="271"/>
      <c r="P226" s="271"/>
      <c r="Q226" s="271"/>
      <c r="R226" s="271"/>
      <c r="S226" s="271"/>
      <c r="T226" s="271"/>
      <c r="U226" s="271"/>
      <c r="V226" s="271"/>
      <c r="W226" s="271"/>
      <c r="X226" s="271"/>
      <c r="Y226" s="271"/>
      <c r="Z226" s="271"/>
      <c r="AA226" s="271"/>
    </row>
    <row r="227" spans="1:27" s="532" customFormat="1" x14ac:dyDescent="0.2">
      <c r="A227" s="472"/>
      <c r="B227" s="472"/>
      <c r="C227" s="472"/>
      <c r="D227" s="472"/>
      <c r="E227" s="557"/>
      <c r="F227" s="557"/>
      <c r="G227" s="557"/>
      <c r="H227" s="557"/>
      <c r="I227" s="557"/>
      <c r="J227" s="557"/>
      <c r="K227" s="557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  <c r="AA227" s="271"/>
    </row>
    <row r="228" spans="1:27" s="532" customFormat="1" x14ac:dyDescent="0.2">
      <c r="A228" s="472"/>
      <c r="B228" s="472"/>
      <c r="C228" s="472"/>
      <c r="D228" s="472"/>
      <c r="E228" s="557"/>
      <c r="F228" s="557"/>
      <c r="G228" s="557"/>
      <c r="H228" s="557"/>
      <c r="I228" s="557"/>
      <c r="J228" s="557"/>
      <c r="K228" s="557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  <c r="AA228" s="271"/>
    </row>
    <row r="229" spans="1:27" s="532" customFormat="1" x14ac:dyDescent="0.2">
      <c r="A229" s="472"/>
      <c r="B229" s="472"/>
      <c r="C229" s="472"/>
      <c r="D229" s="472"/>
      <c r="E229" s="557"/>
      <c r="F229" s="557"/>
      <c r="G229" s="557"/>
      <c r="H229" s="557"/>
      <c r="I229" s="557"/>
      <c r="J229" s="557"/>
      <c r="K229" s="557"/>
      <c r="M229" s="271"/>
      <c r="N229" s="271"/>
      <c r="O229" s="271"/>
      <c r="P229" s="271"/>
      <c r="Q229" s="271"/>
      <c r="R229" s="271"/>
      <c r="S229" s="271"/>
      <c r="T229" s="271"/>
      <c r="U229" s="271"/>
      <c r="V229" s="271"/>
      <c r="W229" s="271"/>
      <c r="X229" s="271"/>
      <c r="Y229" s="271"/>
      <c r="Z229" s="271"/>
      <c r="AA229" s="271"/>
    </row>
    <row r="230" spans="1:27" s="532" customFormat="1" x14ac:dyDescent="0.2">
      <c r="A230" s="472"/>
      <c r="B230" s="472"/>
      <c r="C230" s="472"/>
      <c r="D230" s="472"/>
      <c r="E230" s="557"/>
      <c r="F230" s="557"/>
      <c r="G230" s="557"/>
      <c r="H230" s="557"/>
      <c r="I230" s="557"/>
      <c r="J230" s="557"/>
      <c r="K230" s="557"/>
      <c r="M230" s="271"/>
      <c r="N230" s="271"/>
      <c r="O230" s="271"/>
      <c r="P230" s="271"/>
      <c r="Q230" s="271"/>
      <c r="R230" s="271"/>
      <c r="S230" s="271"/>
      <c r="T230" s="271"/>
      <c r="U230" s="271"/>
      <c r="V230" s="271"/>
      <c r="W230" s="271"/>
      <c r="X230" s="271"/>
      <c r="Y230" s="271"/>
      <c r="Z230" s="271"/>
      <c r="AA230" s="271"/>
    </row>
    <row r="231" spans="1:27" s="532" customFormat="1" x14ac:dyDescent="0.2">
      <c r="A231" s="472"/>
      <c r="B231" s="472"/>
      <c r="C231" s="472"/>
      <c r="D231" s="472"/>
      <c r="E231" s="557"/>
      <c r="F231" s="557"/>
      <c r="G231" s="557"/>
      <c r="H231" s="557"/>
      <c r="I231" s="557"/>
      <c r="J231" s="557"/>
      <c r="K231" s="557"/>
      <c r="M231" s="271"/>
      <c r="N231" s="271"/>
      <c r="O231" s="271"/>
      <c r="P231" s="271"/>
      <c r="Q231" s="271"/>
      <c r="R231" s="271"/>
      <c r="S231" s="271"/>
      <c r="T231" s="271"/>
      <c r="U231" s="271"/>
      <c r="V231" s="271"/>
      <c r="W231" s="271"/>
      <c r="X231" s="271"/>
      <c r="Y231" s="271"/>
      <c r="Z231" s="271"/>
      <c r="AA231" s="271"/>
    </row>
    <row r="232" spans="1:27" s="532" customFormat="1" x14ac:dyDescent="0.2">
      <c r="A232" s="472"/>
      <c r="B232" s="472"/>
      <c r="C232" s="472"/>
      <c r="D232" s="472"/>
      <c r="E232" s="557"/>
      <c r="F232" s="557"/>
      <c r="G232" s="557"/>
      <c r="H232" s="557"/>
      <c r="I232" s="557"/>
      <c r="J232" s="557"/>
      <c r="K232" s="557"/>
      <c r="M232" s="271"/>
      <c r="N232" s="271"/>
      <c r="O232" s="271"/>
      <c r="P232" s="271"/>
      <c r="Q232" s="271"/>
      <c r="R232" s="271"/>
      <c r="S232" s="271"/>
      <c r="T232" s="271"/>
      <c r="U232" s="271"/>
      <c r="V232" s="271"/>
      <c r="W232" s="271"/>
      <c r="X232" s="271"/>
      <c r="Y232" s="271"/>
      <c r="Z232" s="271"/>
      <c r="AA232" s="271"/>
    </row>
    <row r="233" spans="1:27" s="532" customFormat="1" x14ac:dyDescent="0.2">
      <c r="A233" s="472"/>
      <c r="B233" s="472"/>
      <c r="C233" s="472"/>
      <c r="D233" s="472"/>
      <c r="E233" s="557"/>
      <c r="F233" s="557"/>
      <c r="G233" s="557"/>
      <c r="H233" s="557"/>
      <c r="I233" s="557"/>
      <c r="J233" s="557"/>
      <c r="K233" s="557"/>
      <c r="M233" s="271"/>
      <c r="N233" s="271"/>
      <c r="O233" s="271"/>
      <c r="P233" s="271"/>
      <c r="Q233" s="271"/>
      <c r="R233" s="271"/>
      <c r="S233" s="271"/>
      <c r="T233" s="271"/>
      <c r="U233" s="271"/>
      <c r="V233" s="271"/>
      <c r="W233" s="271"/>
      <c r="X233" s="271"/>
      <c r="Y233" s="271"/>
      <c r="Z233" s="271"/>
      <c r="AA233" s="271"/>
    </row>
    <row r="234" spans="1:27" s="532" customFormat="1" x14ac:dyDescent="0.2">
      <c r="A234" s="472"/>
      <c r="B234" s="472"/>
      <c r="C234" s="472"/>
      <c r="D234" s="472"/>
      <c r="E234" s="557"/>
      <c r="F234" s="557"/>
      <c r="G234" s="557"/>
      <c r="H234" s="557"/>
      <c r="I234" s="557"/>
      <c r="J234" s="557"/>
      <c r="K234" s="557"/>
      <c r="M234" s="271"/>
      <c r="N234" s="271"/>
      <c r="O234" s="271"/>
      <c r="P234" s="271"/>
      <c r="Q234" s="271"/>
      <c r="R234" s="271"/>
      <c r="S234" s="271"/>
      <c r="T234" s="271"/>
      <c r="U234" s="271"/>
      <c r="V234" s="271"/>
      <c r="W234" s="271"/>
      <c r="X234" s="271"/>
      <c r="Y234" s="271"/>
      <c r="Z234" s="271"/>
      <c r="AA234" s="271"/>
    </row>
    <row r="235" spans="1:27" s="532" customFormat="1" x14ac:dyDescent="0.2">
      <c r="A235" s="472"/>
      <c r="B235" s="472"/>
      <c r="C235" s="472"/>
      <c r="D235" s="472"/>
      <c r="E235" s="557"/>
      <c r="F235" s="557"/>
      <c r="G235" s="557"/>
      <c r="H235" s="557"/>
      <c r="I235" s="557"/>
      <c r="J235" s="557"/>
      <c r="K235" s="557"/>
      <c r="M235" s="271"/>
      <c r="N235" s="271"/>
      <c r="O235" s="271"/>
      <c r="P235" s="271"/>
      <c r="Q235" s="271"/>
      <c r="R235" s="271"/>
      <c r="S235" s="271"/>
      <c r="T235" s="271"/>
      <c r="U235" s="271"/>
      <c r="V235" s="271"/>
      <c r="W235" s="271"/>
      <c r="X235" s="271"/>
      <c r="Y235" s="271"/>
      <c r="Z235" s="271"/>
      <c r="AA235" s="271"/>
    </row>
    <row r="236" spans="1:27" s="532" customFormat="1" x14ac:dyDescent="0.2">
      <c r="A236" s="472"/>
      <c r="B236" s="472"/>
      <c r="C236" s="472"/>
      <c r="D236" s="472"/>
      <c r="E236" s="557"/>
      <c r="F236" s="557"/>
      <c r="G236" s="557"/>
      <c r="H236" s="557"/>
      <c r="I236" s="557"/>
      <c r="J236" s="557"/>
      <c r="K236" s="557"/>
      <c r="M236" s="271"/>
      <c r="N236" s="271"/>
      <c r="O236" s="271"/>
      <c r="P236" s="271"/>
      <c r="Q236" s="271"/>
      <c r="R236" s="271"/>
      <c r="S236" s="271"/>
      <c r="T236" s="271"/>
      <c r="U236" s="271"/>
      <c r="V236" s="271"/>
      <c r="W236" s="271"/>
      <c r="X236" s="271"/>
      <c r="Y236" s="271"/>
      <c r="Z236" s="271"/>
      <c r="AA236" s="271"/>
    </row>
    <row r="237" spans="1:27" s="532" customFormat="1" x14ac:dyDescent="0.2">
      <c r="A237" s="472"/>
      <c r="B237" s="472"/>
      <c r="C237" s="472"/>
      <c r="D237" s="472"/>
      <c r="E237" s="557"/>
      <c r="F237" s="557"/>
      <c r="G237" s="557"/>
      <c r="H237" s="557"/>
      <c r="I237" s="557"/>
      <c r="J237" s="557"/>
      <c r="K237" s="557"/>
      <c r="M237" s="271"/>
      <c r="N237" s="271"/>
      <c r="O237" s="271"/>
      <c r="P237" s="271"/>
      <c r="Q237" s="271"/>
      <c r="R237" s="271"/>
      <c r="S237" s="271"/>
      <c r="T237" s="271"/>
      <c r="U237" s="271"/>
      <c r="V237" s="271"/>
      <c r="W237" s="271"/>
      <c r="X237" s="271"/>
      <c r="Y237" s="271"/>
      <c r="Z237" s="271"/>
      <c r="AA237" s="271"/>
    </row>
    <row r="238" spans="1:27" s="532" customFormat="1" x14ac:dyDescent="0.2">
      <c r="A238" s="472"/>
      <c r="B238" s="472"/>
      <c r="C238" s="472"/>
      <c r="D238" s="472"/>
      <c r="E238" s="557"/>
      <c r="F238" s="557"/>
      <c r="G238" s="557"/>
      <c r="H238" s="557"/>
      <c r="I238" s="557"/>
      <c r="J238" s="557"/>
      <c r="K238" s="557"/>
      <c r="M238" s="271"/>
      <c r="N238" s="271"/>
      <c r="O238" s="271"/>
      <c r="P238" s="271"/>
      <c r="Q238" s="271"/>
      <c r="R238" s="271"/>
      <c r="S238" s="271"/>
      <c r="T238" s="271"/>
      <c r="U238" s="271"/>
      <c r="V238" s="271"/>
      <c r="W238" s="271"/>
      <c r="X238" s="271"/>
      <c r="Y238" s="271"/>
      <c r="Z238" s="271"/>
      <c r="AA238" s="271"/>
    </row>
    <row r="239" spans="1:27" s="532" customFormat="1" x14ac:dyDescent="0.2">
      <c r="A239" s="472"/>
      <c r="B239" s="472"/>
      <c r="C239" s="472"/>
      <c r="D239" s="472"/>
      <c r="E239" s="557"/>
      <c r="F239" s="557"/>
      <c r="G239" s="557"/>
      <c r="H239" s="557"/>
      <c r="I239" s="557"/>
      <c r="J239" s="557"/>
      <c r="K239" s="557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  <c r="AA239" s="271"/>
    </row>
    <row r="240" spans="1:27" s="532" customFormat="1" x14ac:dyDescent="0.2">
      <c r="A240" s="472"/>
      <c r="B240" s="472"/>
      <c r="C240" s="472"/>
      <c r="D240" s="472"/>
      <c r="E240" s="557"/>
      <c r="F240" s="557"/>
      <c r="G240" s="557"/>
      <c r="H240" s="557"/>
      <c r="I240" s="557"/>
      <c r="J240" s="557"/>
      <c r="K240" s="557"/>
      <c r="M240" s="271"/>
      <c r="N240" s="271"/>
      <c r="O240" s="271"/>
      <c r="P240" s="271"/>
      <c r="Q240" s="271"/>
      <c r="R240" s="271"/>
      <c r="S240" s="271"/>
      <c r="T240" s="271"/>
      <c r="U240" s="271"/>
      <c r="V240" s="271"/>
      <c r="W240" s="271"/>
      <c r="X240" s="271"/>
      <c r="Y240" s="271"/>
      <c r="Z240" s="271"/>
      <c r="AA240" s="271"/>
    </row>
    <row r="241" spans="1:27" s="532" customFormat="1" x14ac:dyDescent="0.2">
      <c r="A241" s="472"/>
      <c r="B241" s="472"/>
      <c r="C241" s="472"/>
      <c r="D241" s="472"/>
      <c r="E241" s="557"/>
      <c r="F241" s="557"/>
      <c r="G241" s="557"/>
      <c r="H241" s="557"/>
      <c r="I241" s="557"/>
      <c r="J241" s="557"/>
      <c r="K241" s="557"/>
      <c r="M241" s="271"/>
      <c r="N241" s="271"/>
      <c r="O241" s="271"/>
      <c r="P241" s="271"/>
      <c r="Q241" s="271"/>
      <c r="R241" s="271"/>
      <c r="S241" s="271"/>
      <c r="T241" s="271"/>
      <c r="U241" s="271"/>
      <c r="V241" s="271"/>
      <c r="W241" s="271"/>
      <c r="X241" s="271"/>
      <c r="Y241" s="271"/>
      <c r="Z241" s="271"/>
      <c r="AA241" s="271"/>
    </row>
    <row r="242" spans="1:27" s="532" customFormat="1" x14ac:dyDescent="0.2">
      <c r="A242" s="472"/>
      <c r="B242" s="472"/>
      <c r="C242" s="472"/>
      <c r="D242" s="472"/>
      <c r="E242" s="557"/>
      <c r="F242" s="557"/>
      <c r="G242" s="557"/>
      <c r="H242" s="557"/>
      <c r="I242" s="557"/>
      <c r="J242" s="557"/>
      <c r="K242" s="557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  <c r="AA242" s="271"/>
    </row>
    <row r="243" spans="1:27" s="532" customFormat="1" x14ac:dyDescent="0.2">
      <c r="A243" s="472"/>
      <c r="B243" s="472"/>
      <c r="C243" s="472"/>
      <c r="D243" s="472"/>
      <c r="E243" s="557"/>
      <c r="F243" s="557"/>
      <c r="G243" s="557"/>
      <c r="H243" s="557"/>
      <c r="I243" s="557"/>
      <c r="J243" s="557"/>
      <c r="K243" s="557"/>
      <c r="M243" s="271"/>
      <c r="N243" s="271"/>
      <c r="O243" s="271"/>
      <c r="P243" s="271"/>
      <c r="Q243" s="271"/>
      <c r="R243" s="271"/>
      <c r="S243" s="271"/>
      <c r="T243" s="271"/>
      <c r="U243" s="271"/>
      <c r="V243" s="271"/>
      <c r="W243" s="271"/>
      <c r="X243" s="271"/>
      <c r="Y243" s="271"/>
      <c r="Z243" s="271"/>
      <c r="AA243" s="271"/>
    </row>
    <row r="244" spans="1:27" s="532" customFormat="1" x14ac:dyDescent="0.2">
      <c r="A244" s="472"/>
      <c r="B244" s="472"/>
      <c r="C244" s="472"/>
      <c r="D244" s="472"/>
      <c r="E244" s="557"/>
      <c r="F244" s="557"/>
      <c r="G244" s="557"/>
      <c r="H244" s="557"/>
      <c r="I244" s="557"/>
      <c r="J244" s="557"/>
      <c r="K244" s="557"/>
      <c r="M244" s="271"/>
      <c r="N244" s="271"/>
      <c r="O244" s="271"/>
      <c r="P244" s="271"/>
      <c r="Q244" s="271"/>
      <c r="R244" s="271"/>
      <c r="S244" s="271"/>
      <c r="T244" s="271"/>
      <c r="U244" s="271"/>
      <c r="V244" s="271"/>
      <c r="W244" s="271"/>
      <c r="X244" s="271"/>
      <c r="Y244" s="271"/>
      <c r="Z244" s="271"/>
      <c r="AA244" s="271"/>
    </row>
    <row r="245" spans="1:27" s="532" customFormat="1" x14ac:dyDescent="0.2">
      <c r="A245" s="472"/>
      <c r="B245" s="472"/>
      <c r="C245" s="472"/>
      <c r="D245" s="472"/>
      <c r="E245" s="557"/>
      <c r="F245" s="557"/>
      <c r="G245" s="557"/>
      <c r="H245" s="557"/>
      <c r="I245" s="557"/>
      <c r="J245" s="557"/>
      <c r="K245" s="557"/>
      <c r="M245" s="271"/>
      <c r="N245" s="271"/>
      <c r="O245" s="271"/>
      <c r="P245" s="271"/>
      <c r="Q245" s="271"/>
      <c r="R245" s="271"/>
      <c r="S245" s="271"/>
      <c r="T245" s="271"/>
      <c r="U245" s="271"/>
      <c r="V245" s="271"/>
      <c r="W245" s="271"/>
      <c r="X245" s="271"/>
      <c r="Y245" s="271"/>
      <c r="Z245" s="271"/>
      <c r="AA245" s="271"/>
    </row>
    <row r="246" spans="1:27" s="532" customFormat="1" x14ac:dyDescent="0.2">
      <c r="A246" s="472"/>
      <c r="B246" s="472"/>
      <c r="C246" s="472"/>
      <c r="D246" s="472"/>
      <c r="E246" s="557"/>
      <c r="F246" s="557"/>
      <c r="G246" s="557"/>
      <c r="H246" s="557"/>
      <c r="I246" s="557"/>
      <c r="J246" s="557"/>
      <c r="K246" s="557"/>
      <c r="M246" s="271"/>
      <c r="N246" s="271"/>
      <c r="O246" s="271"/>
      <c r="P246" s="271"/>
      <c r="Q246" s="271"/>
      <c r="R246" s="271"/>
      <c r="S246" s="271"/>
      <c r="T246" s="271"/>
      <c r="U246" s="271"/>
      <c r="V246" s="271"/>
      <c r="W246" s="271"/>
      <c r="X246" s="271"/>
      <c r="Y246" s="271"/>
      <c r="Z246" s="271"/>
      <c r="AA246" s="271"/>
    </row>
    <row r="247" spans="1:27" s="532" customFormat="1" x14ac:dyDescent="0.2">
      <c r="A247" s="472"/>
      <c r="B247" s="472"/>
      <c r="C247" s="472"/>
      <c r="D247" s="472"/>
      <c r="E247" s="557"/>
      <c r="F247" s="557"/>
      <c r="G247" s="557"/>
      <c r="H247" s="557"/>
      <c r="I247" s="557"/>
      <c r="J247" s="557"/>
      <c r="K247" s="557"/>
      <c r="M247" s="271"/>
      <c r="N247" s="271"/>
      <c r="O247" s="271"/>
      <c r="P247" s="271"/>
      <c r="Q247" s="271"/>
      <c r="R247" s="271"/>
      <c r="S247" s="271"/>
      <c r="T247" s="271"/>
      <c r="U247" s="271"/>
      <c r="V247" s="271"/>
      <c r="W247" s="271"/>
      <c r="X247" s="271"/>
      <c r="Y247" s="271"/>
      <c r="Z247" s="271"/>
      <c r="AA247" s="271"/>
    </row>
    <row r="248" spans="1:27" s="532" customFormat="1" x14ac:dyDescent="0.2">
      <c r="A248" s="472"/>
      <c r="B248" s="472"/>
      <c r="C248" s="472"/>
      <c r="D248" s="472"/>
      <c r="E248" s="557"/>
      <c r="F248" s="557"/>
      <c r="G248" s="557"/>
      <c r="H248" s="557"/>
      <c r="I248" s="557"/>
      <c r="J248" s="557"/>
      <c r="K248" s="557"/>
      <c r="M248" s="271"/>
      <c r="N248" s="271"/>
      <c r="O248" s="271"/>
      <c r="P248" s="271"/>
      <c r="Q248" s="271"/>
      <c r="R248" s="271"/>
      <c r="S248" s="271"/>
      <c r="T248" s="271"/>
      <c r="U248" s="271"/>
      <c r="V248" s="271"/>
      <c r="W248" s="271"/>
      <c r="X248" s="271"/>
      <c r="Y248" s="271"/>
      <c r="Z248" s="271"/>
      <c r="AA248" s="271"/>
    </row>
    <row r="249" spans="1:27" s="532" customFormat="1" x14ac:dyDescent="0.2">
      <c r="A249" s="472"/>
      <c r="B249" s="472"/>
      <c r="C249" s="472"/>
      <c r="D249" s="472"/>
      <c r="E249" s="557"/>
      <c r="F249" s="557"/>
      <c r="G249" s="557"/>
      <c r="H249" s="557"/>
      <c r="I249" s="557"/>
      <c r="J249" s="557"/>
      <c r="K249" s="557"/>
      <c r="M249" s="271"/>
      <c r="N249" s="271"/>
      <c r="O249" s="271"/>
      <c r="P249" s="271"/>
      <c r="Q249" s="271"/>
      <c r="R249" s="271"/>
      <c r="S249" s="271"/>
      <c r="T249" s="271"/>
      <c r="U249" s="271"/>
      <c r="V249" s="271"/>
      <c r="W249" s="271"/>
      <c r="X249" s="271"/>
      <c r="Y249" s="271"/>
      <c r="Z249" s="271"/>
      <c r="AA249" s="271"/>
    </row>
    <row r="250" spans="1:27" s="532" customFormat="1" x14ac:dyDescent="0.2">
      <c r="A250" s="472"/>
      <c r="B250" s="472"/>
      <c r="C250" s="472"/>
      <c r="D250" s="472"/>
      <c r="E250" s="557"/>
      <c r="F250" s="557"/>
      <c r="G250" s="557"/>
      <c r="H250" s="557"/>
      <c r="I250" s="557"/>
      <c r="J250" s="557"/>
      <c r="K250" s="557"/>
      <c r="M250" s="271"/>
      <c r="N250" s="271"/>
      <c r="O250" s="271"/>
      <c r="P250" s="271"/>
      <c r="Q250" s="271"/>
      <c r="R250" s="271"/>
      <c r="S250" s="271"/>
      <c r="T250" s="271"/>
      <c r="U250" s="271"/>
      <c r="V250" s="271"/>
      <c r="W250" s="271"/>
      <c r="X250" s="271"/>
      <c r="Y250" s="271"/>
      <c r="Z250" s="271"/>
      <c r="AA250" s="271"/>
    </row>
    <row r="251" spans="1:27" s="532" customFormat="1" x14ac:dyDescent="0.2">
      <c r="A251" s="472"/>
      <c r="B251" s="472"/>
      <c r="C251" s="472"/>
      <c r="D251" s="472"/>
      <c r="E251" s="557"/>
      <c r="F251" s="557"/>
      <c r="G251" s="557"/>
      <c r="H251" s="557"/>
      <c r="I251" s="557"/>
      <c r="J251" s="557"/>
      <c r="K251" s="557"/>
      <c r="M251" s="271"/>
      <c r="N251" s="271"/>
      <c r="O251" s="271"/>
      <c r="P251" s="271"/>
      <c r="Q251" s="271"/>
      <c r="R251" s="271"/>
      <c r="S251" s="271"/>
      <c r="T251" s="271"/>
      <c r="U251" s="271"/>
      <c r="V251" s="271"/>
      <c r="W251" s="271"/>
      <c r="X251" s="271"/>
      <c r="Y251" s="271"/>
      <c r="Z251" s="271"/>
      <c r="AA251" s="271"/>
    </row>
    <row r="252" spans="1:27" s="532" customFormat="1" x14ac:dyDescent="0.2">
      <c r="A252" s="472"/>
      <c r="B252" s="472"/>
      <c r="C252" s="472"/>
      <c r="D252" s="472"/>
      <c r="E252" s="557"/>
      <c r="F252" s="557"/>
      <c r="G252" s="557"/>
      <c r="H252" s="557"/>
      <c r="I252" s="557"/>
      <c r="J252" s="557"/>
      <c r="K252" s="557"/>
      <c r="M252" s="271"/>
      <c r="N252" s="271"/>
      <c r="O252" s="271"/>
      <c r="P252" s="271"/>
      <c r="Q252" s="271"/>
      <c r="R252" s="271"/>
      <c r="S252" s="271"/>
      <c r="T252" s="271"/>
      <c r="U252" s="271"/>
      <c r="V252" s="271"/>
      <c r="W252" s="271"/>
      <c r="X252" s="271"/>
      <c r="Y252" s="271"/>
      <c r="Z252" s="271"/>
      <c r="AA252" s="271"/>
    </row>
    <row r="253" spans="1:27" s="532" customFormat="1" x14ac:dyDescent="0.2">
      <c r="A253" s="472"/>
      <c r="B253" s="472"/>
      <c r="C253" s="472"/>
      <c r="D253" s="472"/>
      <c r="E253" s="557"/>
      <c r="F253" s="557"/>
      <c r="G253" s="557"/>
      <c r="H253" s="557"/>
      <c r="I253" s="557"/>
      <c r="J253" s="557"/>
      <c r="K253" s="557"/>
      <c r="M253" s="271"/>
      <c r="N253" s="271"/>
      <c r="O253" s="271"/>
      <c r="P253" s="271"/>
      <c r="Q253" s="271"/>
      <c r="R253" s="271"/>
      <c r="S253" s="271"/>
      <c r="T253" s="271"/>
      <c r="U253" s="271"/>
      <c r="V253" s="271"/>
      <c r="W253" s="271"/>
      <c r="X253" s="271"/>
      <c r="Y253" s="271"/>
      <c r="Z253" s="271"/>
      <c r="AA253" s="271"/>
    </row>
    <row r="254" spans="1:27" s="532" customFormat="1" x14ac:dyDescent="0.2">
      <c r="A254" s="472"/>
      <c r="B254" s="472"/>
      <c r="C254" s="472"/>
      <c r="D254" s="472"/>
      <c r="E254" s="557"/>
      <c r="F254" s="557"/>
      <c r="G254" s="557"/>
      <c r="H254" s="557"/>
      <c r="I254" s="557"/>
      <c r="J254" s="557"/>
      <c r="K254" s="557"/>
      <c r="M254" s="271"/>
      <c r="N254" s="271"/>
      <c r="O254" s="271"/>
      <c r="P254" s="271"/>
      <c r="Q254" s="271"/>
      <c r="R254" s="271"/>
      <c r="S254" s="271"/>
      <c r="T254" s="271"/>
      <c r="U254" s="271"/>
      <c r="V254" s="271"/>
      <c r="W254" s="271"/>
      <c r="X254" s="271"/>
      <c r="Y254" s="271"/>
      <c r="Z254" s="271"/>
      <c r="AA254" s="271"/>
    </row>
    <row r="255" spans="1:27" s="532" customFormat="1" x14ac:dyDescent="0.2">
      <c r="A255" s="472"/>
      <c r="B255" s="472"/>
      <c r="C255" s="472"/>
      <c r="D255" s="472"/>
      <c r="E255" s="557"/>
      <c r="F255" s="557"/>
      <c r="G255" s="557"/>
      <c r="H255" s="557"/>
      <c r="I255" s="557"/>
      <c r="J255" s="557"/>
      <c r="K255" s="557"/>
      <c r="M255" s="271"/>
      <c r="N255" s="271"/>
      <c r="O255" s="271"/>
      <c r="P255" s="271"/>
      <c r="Q255" s="271"/>
      <c r="R255" s="271"/>
      <c r="S255" s="271"/>
      <c r="T255" s="271"/>
      <c r="U255" s="271"/>
      <c r="V255" s="271"/>
      <c r="W255" s="271"/>
      <c r="X255" s="271"/>
      <c r="Y255" s="271"/>
      <c r="Z255" s="271"/>
      <c r="AA255" s="271"/>
    </row>
    <row r="256" spans="1:27" s="532" customFormat="1" x14ac:dyDescent="0.2">
      <c r="A256" s="472"/>
      <c r="B256" s="472"/>
      <c r="C256" s="472"/>
      <c r="D256" s="472"/>
      <c r="E256" s="557"/>
      <c r="F256" s="557"/>
      <c r="G256" s="557"/>
      <c r="H256" s="557"/>
      <c r="I256" s="557"/>
      <c r="J256" s="557"/>
      <c r="K256" s="557"/>
      <c r="M256" s="271"/>
      <c r="N256" s="271"/>
      <c r="O256" s="271"/>
      <c r="P256" s="271"/>
      <c r="Q256" s="271"/>
      <c r="R256" s="271"/>
      <c r="S256" s="271"/>
      <c r="T256" s="271"/>
      <c r="U256" s="271"/>
      <c r="V256" s="271"/>
      <c r="W256" s="271"/>
      <c r="X256" s="271"/>
      <c r="Y256" s="271"/>
      <c r="Z256" s="271"/>
      <c r="AA256" s="271"/>
    </row>
    <row r="257" spans="1:27" s="532" customFormat="1" x14ac:dyDescent="0.2">
      <c r="A257" s="472"/>
      <c r="B257" s="472"/>
      <c r="C257" s="472"/>
      <c r="D257" s="472"/>
      <c r="E257" s="557"/>
      <c r="F257" s="557"/>
      <c r="G257" s="557"/>
      <c r="H257" s="557"/>
      <c r="I257" s="557"/>
      <c r="J257" s="557"/>
      <c r="K257" s="557"/>
      <c r="M257" s="271"/>
      <c r="N257" s="271"/>
      <c r="O257" s="271"/>
      <c r="P257" s="271"/>
      <c r="Q257" s="271"/>
      <c r="R257" s="271"/>
      <c r="S257" s="271"/>
      <c r="T257" s="271"/>
      <c r="U257" s="271"/>
      <c r="V257" s="271"/>
      <c r="W257" s="271"/>
      <c r="X257" s="271"/>
      <c r="Y257" s="271"/>
      <c r="Z257" s="271"/>
      <c r="AA257" s="271"/>
    </row>
    <row r="258" spans="1:27" s="532" customFormat="1" x14ac:dyDescent="0.2">
      <c r="A258" s="472"/>
      <c r="B258" s="472"/>
      <c r="C258" s="472"/>
      <c r="D258" s="472"/>
      <c r="E258" s="557"/>
      <c r="F258" s="557"/>
      <c r="G258" s="557"/>
      <c r="H258" s="557"/>
      <c r="I258" s="557"/>
      <c r="J258" s="557"/>
      <c r="K258" s="557"/>
      <c r="M258" s="271"/>
      <c r="N258" s="271"/>
      <c r="O258" s="271"/>
      <c r="P258" s="271"/>
      <c r="Q258" s="271"/>
      <c r="R258" s="271"/>
      <c r="S258" s="271"/>
      <c r="T258" s="271"/>
      <c r="U258" s="271"/>
      <c r="V258" s="271"/>
      <c r="W258" s="271"/>
      <c r="X258" s="271"/>
      <c r="Y258" s="271"/>
      <c r="Z258" s="271"/>
      <c r="AA258" s="271"/>
    </row>
    <row r="259" spans="1:27" s="532" customFormat="1" x14ac:dyDescent="0.2">
      <c r="A259" s="472"/>
      <c r="B259" s="472"/>
      <c r="C259" s="472"/>
      <c r="D259" s="472"/>
      <c r="E259" s="557"/>
      <c r="F259" s="557"/>
      <c r="G259" s="557"/>
      <c r="H259" s="557"/>
      <c r="I259" s="557"/>
      <c r="J259" s="557"/>
      <c r="K259" s="557"/>
      <c r="M259" s="271"/>
      <c r="N259" s="271"/>
      <c r="O259" s="271"/>
      <c r="P259" s="271"/>
      <c r="Q259" s="271"/>
      <c r="R259" s="271"/>
      <c r="S259" s="271"/>
      <c r="T259" s="271"/>
      <c r="U259" s="271"/>
      <c r="V259" s="271"/>
      <c r="W259" s="271"/>
      <c r="X259" s="271"/>
      <c r="Y259" s="271"/>
      <c r="Z259" s="271"/>
      <c r="AA259" s="271"/>
    </row>
    <row r="260" spans="1:27" s="532" customFormat="1" x14ac:dyDescent="0.2">
      <c r="A260" s="472"/>
      <c r="B260" s="472"/>
      <c r="C260" s="472"/>
      <c r="D260" s="472"/>
      <c r="E260" s="557"/>
      <c r="F260" s="557"/>
      <c r="G260" s="557"/>
      <c r="H260" s="557"/>
      <c r="I260" s="557"/>
      <c r="J260" s="557"/>
      <c r="K260" s="557"/>
      <c r="M260" s="271"/>
      <c r="N260" s="271"/>
      <c r="O260" s="271"/>
      <c r="P260" s="271"/>
      <c r="Q260" s="271"/>
      <c r="R260" s="271"/>
      <c r="S260" s="271"/>
      <c r="T260" s="271"/>
      <c r="U260" s="271"/>
      <c r="V260" s="271"/>
      <c r="W260" s="271"/>
      <c r="X260" s="271"/>
      <c r="Y260" s="271"/>
      <c r="Z260" s="271"/>
      <c r="AA260" s="271"/>
    </row>
    <row r="261" spans="1:27" s="532" customFormat="1" x14ac:dyDescent="0.2">
      <c r="A261" s="472"/>
      <c r="B261" s="472"/>
      <c r="C261" s="472"/>
      <c r="D261" s="472"/>
      <c r="E261" s="557"/>
      <c r="F261" s="557"/>
      <c r="G261" s="557"/>
      <c r="H261" s="557"/>
      <c r="I261" s="557"/>
      <c r="J261" s="557"/>
      <c r="K261" s="557"/>
      <c r="M261" s="271"/>
      <c r="N261" s="271"/>
      <c r="O261" s="271"/>
      <c r="P261" s="271"/>
      <c r="Q261" s="271"/>
      <c r="R261" s="271"/>
      <c r="S261" s="271"/>
      <c r="T261" s="271"/>
      <c r="U261" s="271"/>
      <c r="V261" s="271"/>
      <c r="W261" s="271"/>
      <c r="X261" s="271"/>
      <c r="Y261" s="271"/>
      <c r="Z261" s="271"/>
      <c r="AA261" s="271"/>
    </row>
    <row r="262" spans="1:27" s="532" customFormat="1" x14ac:dyDescent="0.2">
      <c r="A262" s="472"/>
      <c r="B262" s="472"/>
      <c r="C262" s="472"/>
      <c r="D262" s="472"/>
      <c r="E262" s="557"/>
      <c r="F262" s="557"/>
      <c r="G262" s="557"/>
      <c r="H262" s="557"/>
      <c r="I262" s="557"/>
      <c r="J262" s="557"/>
      <c r="K262" s="557"/>
      <c r="M262" s="271"/>
      <c r="N262" s="271"/>
      <c r="O262" s="271"/>
      <c r="P262" s="271"/>
      <c r="Q262" s="271"/>
      <c r="R262" s="271"/>
      <c r="S262" s="271"/>
      <c r="T262" s="271"/>
      <c r="U262" s="271"/>
      <c r="V262" s="271"/>
      <c r="W262" s="271"/>
      <c r="X262" s="271"/>
      <c r="Y262" s="271"/>
      <c r="Z262" s="271"/>
      <c r="AA262" s="271"/>
    </row>
    <row r="263" spans="1:27" s="532" customFormat="1" x14ac:dyDescent="0.2">
      <c r="A263" s="472"/>
      <c r="B263" s="472"/>
      <c r="C263" s="472"/>
      <c r="D263" s="472"/>
      <c r="E263" s="557"/>
      <c r="F263" s="557"/>
      <c r="G263" s="557"/>
      <c r="H263" s="557"/>
      <c r="I263" s="557"/>
      <c r="J263" s="557"/>
      <c r="K263" s="557"/>
      <c r="M263" s="271"/>
      <c r="N263" s="271"/>
      <c r="O263" s="271"/>
      <c r="P263" s="271"/>
      <c r="Q263" s="271"/>
      <c r="R263" s="271"/>
      <c r="S263" s="271"/>
      <c r="T263" s="271"/>
      <c r="U263" s="271"/>
      <c r="V263" s="271"/>
      <c r="W263" s="271"/>
      <c r="X263" s="271"/>
      <c r="Y263" s="271"/>
      <c r="Z263" s="271"/>
      <c r="AA263" s="271"/>
    </row>
    <row r="264" spans="1:27" s="532" customFormat="1" x14ac:dyDescent="0.2">
      <c r="A264" s="472"/>
      <c r="B264" s="472"/>
      <c r="C264" s="472"/>
      <c r="D264" s="472"/>
      <c r="E264" s="557"/>
      <c r="F264" s="557"/>
      <c r="G264" s="557"/>
      <c r="H264" s="557"/>
      <c r="I264" s="557"/>
      <c r="J264" s="557"/>
      <c r="K264" s="557"/>
      <c r="M264" s="271"/>
      <c r="N264" s="271"/>
      <c r="O264" s="271"/>
      <c r="P264" s="271"/>
      <c r="Q264" s="271"/>
      <c r="R264" s="271"/>
      <c r="S264" s="271"/>
      <c r="T264" s="271"/>
      <c r="U264" s="271"/>
      <c r="V264" s="271"/>
      <c r="W264" s="271"/>
      <c r="X264" s="271"/>
      <c r="Y264" s="271"/>
      <c r="Z264" s="271"/>
      <c r="AA264" s="271"/>
    </row>
    <row r="265" spans="1:27" s="532" customFormat="1" x14ac:dyDescent="0.2">
      <c r="A265" s="472"/>
      <c r="B265" s="472"/>
      <c r="C265" s="472"/>
      <c r="D265" s="472"/>
      <c r="E265" s="557"/>
      <c r="F265" s="557"/>
      <c r="G265" s="557"/>
      <c r="H265" s="557"/>
      <c r="I265" s="557"/>
      <c r="J265" s="557"/>
      <c r="K265" s="557"/>
      <c r="M265" s="271"/>
      <c r="N265" s="271"/>
      <c r="O265" s="271"/>
      <c r="P265" s="271"/>
      <c r="Q265" s="271"/>
      <c r="R265" s="271"/>
      <c r="S265" s="271"/>
      <c r="T265" s="271"/>
      <c r="U265" s="271"/>
      <c r="V265" s="271"/>
      <c r="W265" s="271"/>
      <c r="X265" s="271"/>
      <c r="Y265" s="271"/>
      <c r="Z265" s="271"/>
      <c r="AA265" s="271"/>
    </row>
    <row r="266" spans="1:27" s="532" customFormat="1" x14ac:dyDescent="0.2">
      <c r="A266" s="472"/>
      <c r="B266" s="472"/>
      <c r="C266" s="472"/>
      <c r="D266" s="472"/>
      <c r="E266" s="557"/>
      <c r="F266" s="557"/>
      <c r="G266" s="557"/>
      <c r="H266" s="557"/>
      <c r="I266" s="557"/>
      <c r="J266" s="557"/>
      <c r="K266" s="557"/>
      <c r="M266" s="271"/>
      <c r="N266" s="271"/>
      <c r="O266" s="271"/>
      <c r="P266" s="271"/>
      <c r="Q266" s="271"/>
      <c r="R266" s="271"/>
      <c r="S266" s="271"/>
      <c r="T266" s="271"/>
      <c r="U266" s="271"/>
      <c r="V266" s="271"/>
      <c r="W266" s="271"/>
      <c r="X266" s="271"/>
      <c r="Y266" s="271"/>
      <c r="Z266" s="271"/>
      <c r="AA266" s="271"/>
    </row>
    <row r="267" spans="1:27" s="532" customFormat="1" x14ac:dyDescent="0.2">
      <c r="A267" s="472"/>
      <c r="B267" s="472"/>
      <c r="C267" s="472"/>
      <c r="D267" s="472"/>
      <c r="E267" s="557"/>
      <c r="F267" s="557"/>
      <c r="G267" s="557"/>
      <c r="H267" s="557"/>
      <c r="I267" s="557"/>
      <c r="J267" s="557"/>
      <c r="K267" s="557"/>
      <c r="M267" s="271"/>
      <c r="N267" s="271"/>
      <c r="O267" s="271"/>
      <c r="P267" s="271"/>
      <c r="Q267" s="271"/>
      <c r="R267" s="271"/>
      <c r="S267" s="271"/>
      <c r="T267" s="271"/>
      <c r="U267" s="271"/>
      <c r="V267" s="271"/>
      <c r="W267" s="271"/>
      <c r="X267" s="271"/>
      <c r="Y267" s="271"/>
      <c r="Z267" s="271"/>
      <c r="AA267" s="271"/>
    </row>
    <row r="268" spans="1:27" s="532" customFormat="1" x14ac:dyDescent="0.2">
      <c r="A268" s="472"/>
      <c r="B268" s="472"/>
      <c r="C268" s="472"/>
      <c r="D268" s="472"/>
      <c r="E268" s="557"/>
      <c r="F268" s="557"/>
      <c r="G268" s="557"/>
      <c r="H268" s="557"/>
      <c r="I268" s="557"/>
      <c r="J268" s="557"/>
      <c r="K268" s="557"/>
      <c r="M268" s="271"/>
      <c r="N268" s="271"/>
      <c r="O268" s="271"/>
      <c r="P268" s="271"/>
      <c r="Q268" s="271"/>
      <c r="R268" s="271"/>
      <c r="S268" s="271"/>
      <c r="T268" s="271"/>
      <c r="U268" s="271"/>
      <c r="V268" s="271"/>
      <c r="W268" s="271"/>
      <c r="X268" s="271"/>
      <c r="Y268" s="271"/>
      <c r="Z268" s="271"/>
      <c r="AA268" s="271"/>
    </row>
    <row r="269" spans="1:27" s="532" customFormat="1" x14ac:dyDescent="0.2">
      <c r="A269" s="472"/>
      <c r="B269" s="472"/>
      <c r="C269" s="472"/>
      <c r="D269" s="472"/>
      <c r="E269" s="557"/>
      <c r="F269" s="557"/>
      <c r="G269" s="557"/>
      <c r="H269" s="557"/>
      <c r="I269" s="557"/>
      <c r="J269" s="557"/>
      <c r="K269" s="557"/>
      <c r="M269" s="271"/>
      <c r="N269" s="271"/>
      <c r="O269" s="271"/>
      <c r="P269" s="271"/>
      <c r="Q269" s="271"/>
      <c r="R269" s="271"/>
      <c r="S269" s="271"/>
      <c r="T269" s="271"/>
      <c r="U269" s="271"/>
      <c r="V269" s="271"/>
      <c r="W269" s="271"/>
      <c r="X269" s="271"/>
      <c r="Y269" s="271"/>
      <c r="Z269" s="271"/>
      <c r="AA269" s="271"/>
    </row>
    <row r="270" spans="1:27" s="532" customFormat="1" x14ac:dyDescent="0.2">
      <c r="A270" s="472"/>
      <c r="B270" s="472"/>
      <c r="C270" s="472"/>
      <c r="D270" s="472"/>
      <c r="E270" s="557"/>
      <c r="F270" s="557"/>
      <c r="G270" s="557"/>
      <c r="H270" s="557"/>
      <c r="I270" s="557"/>
      <c r="J270" s="557"/>
      <c r="K270" s="557"/>
      <c r="M270" s="271"/>
      <c r="N270" s="271"/>
      <c r="O270" s="271"/>
      <c r="P270" s="271"/>
      <c r="Q270" s="271"/>
      <c r="R270" s="271"/>
      <c r="S270" s="271"/>
      <c r="T270" s="271"/>
      <c r="U270" s="271"/>
      <c r="V270" s="271"/>
      <c r="W270" s="271"/>
      <c r="X270" s="271"/>
      <c r="Y270" s="271"/>
      <c r="Z270" s="271"/>
      <c r="AA270" s="271"/>
    </row>
    <row r="271" spans="1:27" s="532" customFormat="1" x14ac:dyDescent="0.2">
      <c r="A271" s="472"/>
      <c r="B271" s="472"/>
      <c r="C271" s="472"/>
      <c r="D271" s="472"/>
      <c r="E271" s="557"/>
      <c r="F271" s="557"/>
      <c r="G271" s="557"/>
      <c r="H271" s="557"/>
      <c r="I271" s="557"/>
      <c r="J271" s="557"/>
      <c r="K271" s="557"/>
      <c r="M271" s="271"/>
      <c r="N271" s="271"/>
      <c r="O271" s="271"/>
      <c r="P271" s="271"/>
      <c r="Q271" s="271"/>
      <c r="R271" s="271"/>
      <c r="S271" s="271"/>
      <c r="T271" s="271"/>
      <c r="U271" s="271"/>
      <c r="V271" s="271"/>
      <c r="W271" s="271"/>
      <c r="X271" s="271"/>
      <c r="Y271" s="271"/>
      <c r="Z271" s="271"/>
      <c r="AA271" s="271"/>
    </row>
    <row r="272" spans="1:27" s="532" customFormat="1" x14ac:dyDescent="0.2">
      <c r="A272" s="472"/>
      <c r="B272" s="472"/>
      <c r="C272" s="472"/>
      <c r="D272" s="472"/>
      <c r="E272" s="557"/>
      <c r="F272" s="557"/>
      <c r="G272" s="557"/>
      <c r="H272" s="557"/>
      <c r="I272" s="557"/>
      <c r="J272" s="557"/>
      <c r="K272" s="557"/>
      <c r="M272" s="271"/>
      <c r="N272" s="271"/>
      <c r="O272" s="271"/>
      <c r="P272" s="271"/>
      <c r="Q272" s="271"/>
      <c r="R272" s="271"/>
      <c r="S272" s="271"/>
      <c r="T272" s="271"/>
      <c r="U272" s="271"/>
      <c r="V272" s="271"/>
      <c r="W272" s="271"/>
      <c r="X272" s="271"/>
      <c r="Y272" s="271"/>
      <c r="Z272" s="271"/>
      <c r="AA272" s="271"/>
    </row>
    <row r="273" spans="1:27" s="532" customFormat="1" x14ac:dyDescent="0.2">
      <c r="A273" s="472"/>
      <c r="B273" s="472"/>
      <c r="C273" s="472"/>
      <c r="D273" s="472"/>
      <c r="E273" s="557"/>
      <c r="F273" s="557"/>
      <c r="G273" s="557"/>
      <c r="H273" s="557"/>
      <c r="I273" s="557"/>
      <c r="J273" s="557"/>
      <c r="K273" s="557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</row>
    <row r="274" spans="1:27" s="532" customFormat="1" x14ac:dyDescent="0.2">
      <c r="A274" s="472"/>
      <c r="B274" s="472"/>
      <c r="C274" s="472"/>
      <c r="D274" s="472"/>
      <c r="E274" s="557"/>
      <c r="F274" s="557"/>
      <c r="G274" s="557"/>
      <c r="H274" s="557"/>
      <c r="I274" s="557"/>
      <c r="J274" s="557"/>
      <c r="K274" s="557"/>
      <c r="M274" s="271"/>
      <c r="N274" s="271"/>
      <c r="O274" s="271"/>
      <c r="P274" s="271"/>
      <c r="Q274" s="271"/>
      <c r="R274" s="271"/>
      <c r="S274" s="271"/>
      <c r="T274" s="271"/>
      <c r="U274" s="271"/>
      <c r="V274" s="271"/>
      <c r="W274" s="271"/>
      <c r="X274" s="271"/>
      <c r="Y274" s="271"/>
      <c r="Z274" s="271"/>
      <c r="AA274" s="271"/>
    </row>
    <row r="275" spans="1:27" s="532" customFormat="1" x14ac:dyDescent="0.2">
      <c r="A275" s="472"/>
      <c r="B275" s="472"/>
      <c r="C275" s="472"/>
      <c r="D275" s="472"/>
      <c r="E275" s="557"/>
      <c r="F275" s="557"/>
      <c r="G275" s="557"/>
      <c r="H275" s="557"/>
      <c r="I275" s="557"/>
      <c r="J275" s="557"/>
      <c r="K275" s="557"/>
      <c r="M275" s="271"/>
      <c r="N275" s="271"/>
      <c r="O275" s="271"/>
      <c r="P275" s="271"/>
      <c r="Q275" s="271"/>
      <c r="R275" s="271"/>
      <c r="S275" s="271"/>
      <c r="T275" s="271"/>
      <c r="U275" s="271"/>
      <c r="V275" s="271"/>
      <c r="W275" s="271"/>
      <c r="X275" s="271"/>
      <c r="Y275" s="271"/>
      <c r="Z275" s="271"/>
      <c r="AA275" s="271"/>
    </row>
    <row r="276" spans="1:27" s="532" customFormat="1" x14ac:dyDescent="0.2">
      <c r="A276" s="472"/>
      <c r="B276" s="472"/>
      <c r="C276" s="472"/>
      <c r="D276" s="472"/>
      <c r="E276" s="557"/>
      <c r="F276" s="557"/>
      <c r="G276" s="557"/>
      <c r="H276" s="557"/>
      <c r="I276" s="557"/>
      <c r="J276" s="557"/>
      <c r="K276" s="557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  <c r="AA276" s="271"/>
    </row>
    <row r="277" spans="1:27" s="532" customFormat="1" x14ac:dyDescent="0.2">
      <c r="A277" s="472"/>
      <c r="B277" s="472"/>
      <c r="C277" s="472"/>
      <c r="D277" s="472"/>
      <c r="E277" s="557"/>
      <c r="F277" s="557"/>
      <c r="G277" s="557"/>
      <c r="H277" s="557"/>
      <c r="I277" s="557"/>
      <c r="J277" s="557"/>
      <c r="K277" s="557"/>
      <c r="M277" s="271"/>
      <c r="N277" s="271"/>
      <c r="O277" s="271"/>
      <c r="P277" s="271"/>
      <c r="Q277" s="271"/>
      <c r="R277" s="271"/>
      <c r="S277" s="271"/>
      <c r="T277" s="271"/>
      <c r="U277" s="271"/>
      <c r="V277" s="271"/>
      <c r="W277" s="271"/>
      <c r="X277" s="271"/>
      <c r="Y277" s="271"/>
      <c r="Z277" s="271"/>
      <c r="AA277" s="271"/>
    </row>
    <row r="278" spans="1:27" s="532" customFormat="1" x14ac:dyDescent="0.2">
      <c r="A278" s="472"/>
      <c r="B278" s="472"/>
      <c r="C278" s="472"/>
      <c r="D278" s="472"/>
      <c r="E278" s="557"/>
      <c r="F278" s="557"/>
      <c r="G278" s="557"/>
      <c r="H278" s="557"/>
      <c r="I278" s="557"/>
      <c r="J278" s="557"/>
      <c r="K278" s="557"/>
      <c r="M278" s="271"/>
      <c r="N278" s="271"/>
      <c r="O278" s="271"/>
      <c r="P278" s="271"/>
      <c r="Q278" s="271"/>
      <c r="R278" s="271"/>
      <c r="S278" s="271"/>
      <c r="T278" s="271"/>
      <c r="U278" s="271"/>
      <c r="V278" s="271"/>
      <c r="W278" s="271"/>
      <c r="X278" s="271"/>
      <c r="Y278" s="271"/>
      <c r="Z278" s="271"/>
      <c r="AA278" s="271"/>
    </row>
    <row r="279" spans="1:27" s="532" customFormat="1" x14ac:dyDescent="0.2">
      <c r="A279" s="472"/>
      <c r="B279" s="472"/>
      <c r="C279" s="472"/>
      <c r="D279" s="472"/>
      <c r="E279" s="557"/>
      <c r="F279" s="557"/>
      <c r="G279" s="557"/>
      <c r="H279" s="557"/>
      <c r="I279" s="557"/>
      <c r="J279" s="557"/>
      <c r="K279" s="557"/>
      <c r="M279" s="271"/>
      <c r="N279" s="271"/>
      <c r="O279" s="271"/>
      <c r="P279" s="271"/>
      <c r="Q279" s="271"/>
      <c r="R279" s="271"/>
      <c r="S279" s="271"/>
      <c r="T279" s="271"/>
      <c r="U279" s="271"/>
      <c r="V279" s="271"/>
      <c r="W279" s="271"/>
      <c r="X279" s="271"/>
      <c r="Y279" s="271"/>
      <c r="Z279" s="271"/>
      <c r="AA279" s="271"/>
    </row>
    <row r="280" spans="1:27" s="532" customFormat="1" x14ac:dyDescent="0.2">
      <c r="A280" s="472"/>
      <c r="B280" s="472"/>
      <c r="C280" s="472"/>
      <c r="D280" s="472"/>
      <c r="E280" s="557"/>
      <c r="F280" s="557"/>
      <c r="G280" s="557"/>
      <c r="H280" s="557"/>
      <c r="I280" s="557"/>
      <c r="J280" s="557"/>
      <c r="K280" s="557"/>
      <c r="M280" s="271"/>
      <c r="N280" s="271"/>
      <c r="O280" s="271"/>
      <c r="P280" s="271"/>
      <c r="Q280" s="271"/>
      <c r="R280" s="271"/>
      <c r="S280" s="271"/>
      <c r="T280" s="271"/>
      <c r="U280" s="271"/>
      <c r="V280" s="271"/>
      <c r="W280" s="271"/>
      <c r="X280" s="271"/>
      <c r="Y280" s="271"/>
      <c r="Z280" s="271"/>
      <c r="AA280" s="271"/>
    </row>
    <row r="281" spans="1:27" s="532" customFormat="1" x14ac:dyDescent="0.2">
      <c r="A281" s="472"/>
      <c r="B281" s="472"/>
      <c r="C281" s="472"/>
      <c r="D281" s="472"/>
      <c r="E281" s="557"/>
      <c r="F281" s="557"/>
      <c r="G281" s="557"/>
      <c r="H281" s="557"/>
      <c r="I281" s="557"/>
      <c r="J281" s="557"/>
      <c r="K281" s="557"/>
      <c r="M281" s="271"/>
      <c r="N281" s="271"/>
      <c r="O281" s="271"/>
      <c r="P281" s="271"/>
      <c r="Q281" s="271"/>
      <c r="R281" s="271"/>
      <c r="S281" s="271"/>
      <c r="T281" s="271"/>
      <c r="U281" s="271"/>
      <c r="V281" s="271"/>
      <c r="W281" s="271"/>
      <c r="X281" s="271"/>
      <c r="Y281" s="271"/>
      <c r="Z281" s="271"/>
      <c r="AA281" s="271"/>
    </row>
    <row r="282" spans="1:27" s="532" customFormat="1" x14ac:dyDescent="0.2">
      <c r="A282" s="472"/>
      <c r="B282" s="472"/>
      <c r="C282" s="472"/>
      <c r="D282" s="472"/>
      <c r="E282" s="557"/>
      <c r="F282" s="557"/>
      <c r="G282" s="557"/>
      <c r="H282" s="557"/>
      <c r="I282" s="557"/>
      <c r="J282" s="557"/>
      <c r="K282" s="557"/>
      <c r="M282" s="271"/>
      <c r="N282" s="271"/>
      <c r="O282" s="271"/>
      <c r="P282" s="271"/>
      <c r="Q282" s="271"/>
      <c r="R282" s="271"/>
      <c r="S282" s="271"/>
      <c r="T282" s="271"/>
      <c r="U282" s="271"/>
      <c r="V282" s="271"/>
      <c r="W282" s="271"/>
      <c r="X282" s="271"/>
      <c r="Y282" s="271"/>
      <c r="Z282" s="271"/>
      <c r="AA282" s="271"/>
    </row>
    <row r="283" spans="1:27" s="532" customFormat="1" x14ac:dyDescent="0.2">
      <c r="A283" s="472"/>
      <c r="B283" s="472"/>
      <c r="C283" s="472"/>
      <c r="D283" s="472"/>
      <c r="E283" s="557"/>
      <c r="F283" s="557"/>
      <c r="G283" s="557"/>
      <c r="H283" s="557"/>
      <c r="I283" s="557"/>
      <c r="J283" s="557"/>
      <c r="K283" s="557"/>
      <c r="M283" s="271"/>
      <c r="N283" s="271"/>
      <c r="O283" s="271"/>
      <c r="P283" s="271"/>
      <c r="Q283" s="271"/>
      <c r="R283" s="271"/>
      <c r="S283" s="271"/>
      <c r="T283" s="271"/>
      <c r="U283" s="271"/>
      <c r="V283" s="271"/>
      <c r="W283" s="271"/>
      <c r="X283" s="271"/>
      <c r="Y283" s="271"/>
      <c r="Z283" s="271"/>
      <c r="AA283" s="271"/>
    </row>
    <row r="284" spans="1:27" s="532" customFormat="1" x14ac:dyDescent="0.2">
      <c r="A284" s="472"/>
      <c r="B284" s="472"/>
      <c r="C284" s="472"/>
      <c r="D284" s="472"/>
      <c r="E284" s="557"/>
      <c r="F284" s="557"/>
      <c r="G284" s="557"/>
      <c r="H284" s="557"/>
      <c r="I284" s="557"/>
      <c r="J284" s="557"/>
      <c r="K284" s="557"/>
      <c r="M284" s="271"/>
      <c r="N284" s="271"/>
      <c r="O284" s="271"/>
      <c r="P284" s="271"/>
      <c r="Q284" s="271"/>
      <c r="R284" s="271"/>
      <c r="S284" s="271"/>
      <c r="T284" s="271"/>
      <c r="U284" s="271"/>
      <c r="V284" s="271"/>
      <c r="W284" s="271"/>
      <c r="X284" s="271"/>
      <c r="Y284" s="271"/>
      <c r="Z284" s="271"/>
      <c r="AA284" s="271"/>
    </row>
    <row r="285" spans="1:27" s="532" customFormat="1" x14ac:dyDescent="0.2">
      <c r="A285" s="472"/>
      <c r="B285" s="472"/>
      <c r="C285" s="472"/>
      <c r="D285" s="472"/>
      <c r="E285" s="557"/>
      <c r="F285" s="557"/>
      <c r="G285" s="557"/>
      <c r="H285" s="557"/>
      <c r="I285" s="557"/>
      <c r="J285" s="557"/>
      <c r="K285" s="557"/>
      <c r="M285" s="271"/>
      <c r="N285" s="271"/>
      <c r="O285" s="271"/>
      <c r="P285" s="271"/>
      <c r="Q285" s="271"/>
      <c r="R285" s="271"/>
      <c r="S285" s="271"/>
      <c r="T285" s="271"/>
      <c r="U285" s="271"/>
      <c r="V285" s="271"/>
      <c r="W285" s="271"/>
      <c r="X285" s="271"/>
      <c r="Y285" s="271"/>
      <c r="Z285" s="271"/>
      <c r="AA285" s="271"/>
    </row>
    <row r="286" spans="1:27" s="532" customFormat="1" x14ac:dyDescent="0.2">
      <c r="A286" s="472"/>
      <c r="B286" s="472"/>
      <c r="C286" s="472"/>
      <c r="D286" s="472"/>
      <c r="E286" s="557"/>
      <c r="F286" s="557"/>
      <c r="G286" s="557"/>
      <c r="H286" s="557"/>
      <c r="I286" s="557"/>
      <c r="J286" s="557"/>
      <c r="K286" s="557"/>
      <c r="M286" s="271"/>
      <c r="N286" s="271"/>
      <c r="O286" s="271"/>
      <c r="P286" s="271"/>
      <c r="Q286" s="271"/>
      <c r="R286" s="271"/>
      <c r="S286" s="271"/>
      <c r="T286" s="271"/>
      <c r="U286" s="271"/>
      <c r="V286" s="271"/>
      <c r="W286" s="271"/>
      <c r="X286" s="271"/>
      <c r="Y286" s="271"/>
      <c r="Z286" s="271"/>
      <c r="AA286" s="271"/>
    </row>
    <row r="287" spans="1:27" s="532" customFormat="1" x14ac:dyDescent="0.2">
      <c r="A287" s="472"/>
      <c r="B287" s="472"/>
      <c r="C287" s="472"/>
      <c r="D287" s="472"/>
      <c r="E287" s="557"/>
      <c r="F287" s="557"/>
      <c r="G287" s="557"/>
      <c r="H287" s="557"/>
      <c r="I287" s="557"/>
      <c r="J287" s="557"/>
      <c r="K287" s="557"/>
      <c r="M287" s="271"/>
      <c r="N287" s="271"/>
      <c r="O287" s="271"/>
      <c r="P287" s="271"/>
      <c r="Q287" s="271"/>
      <c r="R287" s="271"/>
      <c r="S287" s="271"/>
      <c r="T287" s="271"/>
      <c r="U287" s="271"/>
      <c r="V287" s="271"/>
      <c r="W287" s="271"/>
      <c r="X287" s="271"/>
      <c r="Y287" s="271"/>
      <c r="Z287" s="271"/>
      <c r="AA287" s="271"/>
    </row>
    <row r="288" spans="1:27" s="532" customFormat="1" x14ac:dyDescent="0.2">
      <c r="A288" s="472"/>
      <c r="B288" s="472"/>
      <c r="C288" s="472"/>
      <c r="D288" s="472"/>
      <c r="E288" s="557"/>
      <c r="F288" s="557"/>
      <c r="G288" s="557"/>
      <c r="H288" s="557"/>
      <c r="I288" s="557"/>
      <c r="J288" s="557"/>
      <c r="K288" s="557"/>
      <c r="M288" s="271"/>
      <c r="N288" s="271"/>
      <c r="O288" s="271"/>
      <c r="P288" s="271"/>
      <c r="Q288" s="271"/>
      <c r="R288" s="271"/>
      <c r="S288" s="271"/>
      <c r="T288" s="271"/>
      <c r="U288" s="271"/>
      <c r="V288" s="271"/>
      <c r="W288" s="271"/>
      <c r="X288" s="271"/>
      <c r="Y288" s="271"/>
      <c r="Z288" s="271"/>
      <c r="AA288" s="271"/>
    </row>
    <row r="289" spans="1:27" s="532" customFormat="1" x14ac:dyDescent="0.2">
      <c r="A289" s="472"/>
      <c r="B289" s="472"/>
      <c r="C289" s="472"/>
      <c r="D289" s="472"/>
      <c r="E289" s="557"/>
      <c r="F289" s="557"/>
      <c r="G289" s="557"/>
      <c r="H289" s="557"/>
      <c r="I289" s="557"/>
      <c r="J289" s="557"/>
      <c r="K289" s="557"/>
      <c r="M289" s="271"/>
      <c r="N289" s="271"/>
      <c r="O289" s="271"/>
      <c r="P289" s="271"/>
      <c r="Q289" s="271"/>
      <c r="R289" s="271"/>
      <c r="S289" s="271"/>
      <c r="T289" s="271"/>
      <c r="U289" s="271"/>
      <c r="V289" s="271"/>
      <c r="W289" s="271"/>
      <c r="X289" s="271"/>
      <c r="Y289" s="271"/>
      <c r="Z289" s="271"/>
      <c r="AA289" s="271"/>
    </row>
    <row r="290" spans="1:27" s="532" customFormat="1" x14ac:dyDescent="0.2">
      <c r="A290" s="472"/>
      <c r="B290" s="472"/>
      <c r="C290" s="472"/>
      <c r="D290" s="472"/>
      <c r="E290" s="557"/>
      <c r="F290" s="557"/>
      <c r="G290" s="557"/>
      <c r="H290" s="557"/>
      <c r="I290" s="557"/>
      <c r="J290" s="557"/>
      <c r="K290" s="557"/>
      <c r="M290" s="271"/>
      <c r="N290" s="271"/>
      <c r="O290" s="271"/>
      <c r="P290" s="271"/>
      <c r="Q290" s="271"/>
      <c r="R290" s="271"/>
      <c r="S290" s="271"/>
      <c r="T290" s="271"/>
      <c r="U290" s="271"/>
      <c r="V290" s="271"/>
      <c r="W290" s="271"/>
      <c r="X290" s="271"/>
      <c r="Y290" s="271"/>
      <c r="Z290" s="271"/>
      <c r="AA290" s="271"/>
    </row>
    <row r="291" spans="1:27" s="532" customFormat="1" x14ac:dyDescent="0.2">
      <c r="A291" s="472"/>
      <c r="B291" s="472"/>
      <c r="C291" s="472"/>
      <c r="D291" s="472"/>
      <c r="E291" s="557"/>
      <c r="F291" s="557"/>
      <c r="G291" s="557"/>
      <c r="H291" s="557"/>
      <c r="I291" s="557"/>
      <c r="J291" s="557"/>
      <c r="K291" s="557"/>
      <c r="M291" s="271"/>
      <c r="N291" s="271"/>
      <c r="O291" s="271"/>
      <c r="P291" s="271"/>
      <c r="Q291" s="271"/>
      <c r="R291" s="271"/>
      <c r="S291" s="271"/>
      <c r="T291" s="271"/>
      <c r="U291" s="271"/>
      <c r="V291" s="271"/>
      <c r="W291" s="271"/>
      <c r="X291" s="271"/>
      <c r="Y291" s="271"/>
      <c r="Z291" s="271"/>
      <c r="AA291" s="271"/>
    </row>
    <row r="292" spans="1:27" s="532" customFormat="1" x14ac:dyDescent="0.2">
      <c r="A292" s="472"/>
      <c r="B292" s="472"/>
      <c r="C292" s="472"/>
      <c r="D292" s="472"/>
      <c r="E292" s="557"/>
      <c r="F292" s="557"/>
      <c r="G292" s="557"/>
      <c r="H292" s="557"/>
      <c r="I292" s="557"/>
      <c r="J292" s="557"/>
      <c r="K292" s="557"/>
      <c r="M292" s="271"/>
      <c r="N292" s="271"/>
      <c r="O292" s="271"/>
      <c r="P292" s="271"/>
      <c r="Q292" s="271"/>
      <c r="R292" s="271"/>
      <c r="S292" s="271"/>
      <c r="T292" s="271"/>
      <c r="U292" s="271"/>
      <c r="V292" s="271"/>
      <c r="W292" s="271"/>
      <c r="X292" s="271"/>
      <c r="Y292" s="271"/>
      <c r="Z292" s="271"/>
      <c r="AA292" s="271"/>
    </row>
    <row r="293" spans="1:27" s="532" customFormat="1" x14ac:dyDescent="0.2">
      <c r="A293" s="472"/>
      <c r="B293" s="472"/>
      <c r="C293" s="472"/>
      <c r="D293" s="472"/>
      <c r="E293" s="557"/>
      <c r="F293" s="557"/>
      <c r="G293" s="557"/>
      <c r="H293" s="557"/>
      <c r="I293" s="557"/>
      <c r="J293" s="557"/>
      <c r="K293" s="557"/>
      <c r="M293" s="271"/>
      <c r="N293" s="271"/>
      <c r="O293" s="271"/>
      <c r="P293" s="271"/>
      <c r="Q293" s="271"/>
      <c r="R293" s="271"/>
      <c r="S293" s="271"/>
      <c r="T293" s="271"/>
      <c r="U293" s="271"/>
      <c r="V293" s="271"/>
      <c r="W293" s="271"/>
      <c r="X293" s="271"/>
      <c r="Y293" s="271"/>
      <c r="Z293" s="271"/>
      <c r="AA293" s="271"/>
    </row>
    <row r="294" spans="1:27" s="532" customFormat="1" x14ac:dyDescent="0.2">
      <c r="A294" s="472"/>
      <c r="B294" s="472"/>
      <c r="C294" s="472"/>
      <c r="D294" s="472"/>
      <c r="E294" s="557"/>
      <c r="F294" s="557"/>
      <c r="G294" s="557"/>
      <c r="H294" s="557"/>
      <c r="I294" s="557"/>
      <c r="J294" s="557"/>
      <c r="K294" s="557"/>
      <c r="M294" s="271"/>
      <c r="N294" s="271"/>
      <c r="O294" s="271"/>
      <c r="P294" s="271"/>
      <c r="Q294" s="271"/>
      <c r="R294" s="271"/>
      <c r="S294" s="271"/>
      <c r="T294" s="271"/>
      <c r="U294" s="271"/>
      <c r="V294" s="271"/>
      <c r="W294" s="271"/>
      <c r="X294" s="271"/>
      <c r="Y294" s="271"/>
      <c r="Z294" s="271"/>
      <c r="AA294" s="271"/>
    </row>
    <row r="295" spans="1:27" s="532" customFormat="1" x14ac:dyDescent="0.2">
      <c r="A295" s="472"/>
      <c r="B295" s="472"/>
      <c r="C295" s="472"/>
      <c r="D295" s="472"/>
      <c r="E295" s="557"/>
      <c r="F295" s="557"/>
      <c r="G295" s="557"/>
      <c r="H295" s="557"/>
      <c r="I295" s="557"/>
      <c r="J295" s="557"/>
      <c r="K295" s="557"/>
      <c r="M295" s="271"/>
      <c r="N295" s="271"/>
      <c r="O295" s="271"/>
      <c r="P295" s="271"/>
      <c r="Q295" s="271"/>
      <c r="R295" s="271"/>
      <c r="S295" s="271"/>
      <c r="T295" s="271"/>
      <c r="U295" s="271"/>
      <c r="V295" s="271"/>
      <c r="W295" s="271"/>
      <c r="X295" s="271"/>
      <c r="Y295" s="271"/>
      <c r="Z295" s="271"/>
      <c r="AA295" s="271"/>
    </row>
    <row r="296" spans="1:27" s="532" customFormat="1" x14ac:dyDescent="0.2">
      <c r="A296" s="472"/>
      <c r="B296" s="472"/>
      <c r="C296" s="472"/>
      <c r="D296" s="472"/>
      <c r="E296" s="557"/>
      <c r="F296" s="557"/>
      <c r="G296" s="557"/>
      <c r="H296" s="557"/>
      <c r="I296" s="557"/>
      <c r="J296" s="557"/>
      <c r="K296" s="557"/>
      <c r="M296" s="271"/>
      <c r="N296" s="271"/>
      <c r="O296" s="271"/>
      <c r="P296" s="271"/>
      <c r="Q296" s="271"/>
      <c r="R296" s="271"/>
      <c r="S296" s="271"/>
      <c r="T296" s="271"/>
      <c r="U296" s="271"/>
      <c r="V296" s="271"/>
      <c r="W296" s="271"/>
      <c r="X296" s="271"/>
      <c r="Y296" s="271"/>
      <c r="Z296" s="271"/>
      <c r="AA296" s="271"/>
    </row>
    <row r="297" spans="1:27" s="532" customFormat="1" x14ac:dyDescent="0.2">
      <c r="A297" s="472"/>
      <c r="B297" s="472"/>
      <c r="C297" s="472"/>
      <c r="D297" s="472"/>
      <c r="E297" s="557"/>
      <c r="F297" s="557"/>
      <c r="G297" s="557"/>
      <c r="H297" s="557"/>
      <c r="I297" s="557"/>
      <c r="J297" s="557"/>
      <c r="K297" s="557"/>
      <c r="M297" s="271"/>
      <c r="N297" s="271"/>
      <c r="O297" s="271"/>
      <c r="P297" s="271"/>
      <c r="Q297" s="271"/>
      <c r="R297" s="271"/>
      <c r="S297" s="271"/>
      <c r="T297" s="271"/>
      <c r="U297" s="271"/>
      <c r="V297" s="271"/>
      <c r="W297" s="271"/>
      <c r="X297" s="271"/>
      <c r="Y297" s="271"/>
      <c r="Z297" s="271"/>
      <c r="AA297" s="271"/>
    </row>
    <row r="298" spans="1:27" s="532" customFormat="1" x14ac:dyDescent="0.2">
      <c r="A298" s="472"/>
      <c r="B298" s="472"/>
      <c r="C298" s="472"/>
      <c r="D298" s="472"/>
      <c r="E298" s="557"/>
      <c r="F298" s="557"/>
      <c r="G298" s="557"/>
      <c r="H298" s="557"/>
      <c r="I298" s="557"/>
      <c r="J298" s="557"/>
      <c r="K298" s="557"/>
      <c r="M298" s="271"/>
      <c r="N298" s="271"/>
      <c r="O298" s="271"/>
      <c r="P298" s="271"/>
      <c r="Q298" s="271"/>
      <c r="R298" s="271"/>
      <c r="S298" s="271"/>
      <c r="T298" s="271"/>
      <c r="U298" s="271"/>
      <c r="V298" s="271"/>
      <c r="W298" s="271"/>
      <c r="X298" s="271"/>
      <c r="Y298" s="271"/>
      <c r="Z298" s="271"/>
      <c r="AA298" s="271"/>
    </row>
    <row r="299" spans="1:27" s="532" customFormat="1" x14ac:dyDescent="0.2">
      <c r="A299" s="472"/>
      <c r="B299" s="472"/>
      <c r="C299" s="472"/>
      <c r="D299" s="472"/>
      <c r="E299" s="557"/>
      <c r="F299" s="557"/>
      <c r="G299" s="557"/>
      <c r="H299" s="557"/>
      <c r="I299" s="557"/>
      <c r="J299" s="557"/>
      <c r="K299" s="557"/>
      <c r="M299" s="271"/>
      <c r="N299" s="271"/>
      <c r="O299" s="271"/>
      <c r="P299" s="271"/>
      <c r="Q299" s="271"/>
      <c r="R299" s="271"/>
      <c r="S299" s="271"/>
      <c r="T299" s="271"/>
      <c r="U299" s="271"/>
      <c r="V299" s="271"/>
      <c r="W299" s="271"/>
      <c r="X299" s="271"/>
      <c r="Y299" s="271"/>
      <c r="Z299" s="271"/>
      <c r="AA299" s="271"/>
    </row>
    <row r="300" spans="1:27" s="532" customFormat="1" x14ac:dyDescent="0.2">
      <c r="A300" s="472"/>
      <c r="B300" s="472"/>
      <c r="C300" s="472"/>
      <c r="D300" s="472"/>
      <c r="E300" s="557"/>
      <c r="F300" s="557"/>
      <c r="G300" s="557"/>
      <c r="H300" s="557"/>
      <c r="I300" s="557"/>
      <c r="J300" s="557"/>
      <c r="K300" s="557"/>
      <c r="M300" s="271"/>
      <c r="N300" s="271"/>
      <c r="O300" s="271"/>
      <c r="P300" s="271"/>
      <c r="Q300" s="271"/>
      <c r="R300" s="271"/>
      <c r="S300" s="271"/>
      <c r="T300" s="271"/>
      <c r="U300" s="271"/>
      <c r="V300" s="271"/>
      <c r="W300" s="271"/>
      <c r="X300" s="271"/>
      <c r="Y300" s="271"/>
      <c r="Z300" s="271"/>
      <c r="AA300" s="271"/>
    </row>
    <row r="301" spans="1:27" s="532" customFormat="1" x14ac:dyDescent="0.2">
      <c r="A301" s="472"/>
      <c r="B301" s="472"/>
      <c r="C301" s="472"/>
      <c r="D301" s="472"/>
      <c r="E301" s="557"/>
      <c r="F301" s="557"/>
      <c r="G301" s="557"/>
      <c r="H301" s="557"/>
      <c r="I301" s="557"/>
      <c r="J301" s="557"/>
      <c r="K301" s="557"/>
      <c r="M301" s="271"/>
      <c r="N301" s="271"/>
      <c r="O301" s="271"/>
      <c r="P301" s="271"/>
      <c r="Q301" s="271"/>
      <c r="R301" s="271"/>
      <c r="S301" s="271"/>
      <c r="T301" s="271"/>
      <c r="U301" s="271"/>
      <c r="V301" s="271"/>
      <c r="W301" s="271"/>
      <c r="X301" s="271"/>
      <c r="Y301" s="271"/>
      <c r="Z301" s="271"/>
      <c r="AA301" s="271"/>
    </row>
    <row r="302" spans="1:27" s="532" customFormat="1" x14ac:dyDescent="0.2">
      <c r="A302" s="472"/>
      <c r="B302" s="472"/>
      <c r="C302" s="472"/>
      <c r="D302" s="472"/>
      <c r="E302" s="557"/>
      <c r="F302" s="557"/>
      <c r="G302" s="557"/>
      <c r="H302" s="557"/>
      <c r="I302" s="557"/>
      <c r="J302" s="557"/>
      <c r="K302" s="557"/>
      <c r="M302" s="271"/>
      <c r="N302" s="271"/>
      <c r="O302" s="271"/>
      <c r="P302" s="271"/>
      <c r="Q302" s="271"/>
      <c r="R302" s="271"/>
      <c r="S302" s="271"/>
      <c r="T302" s="271"/>
      <c r="U302" s="271"/>
      <c r="V302" s="271"/>
      <c r="W302" s="271"/>
      <c r="X302" s="271"/>
      <c r="Y302" s="271"/>
      <c r="Z302" s="271"/>
      <c r="AA302" s="271"/>
    </row>
    <row r="303" spans="1:27" s="532" customFormat="1" x14ac:dyDescent="0.2">
      <c r="A303" s="472"/>
      <c r="B303" s="472"/>
      <c r="C303" s="472"/>
      <c r="D303" s="472"/>
      <c r="E303" s="557"/>
      <c r="F303" s="557"/>
      <c r="G303" s="557"/>
      <c r="H303" s="557"/>
      <c r="I303" s="557"/>
      <c r="J303" s="557"/>
      <c r="K303" s="557"/>
      <c r="M303" s="271"/>
      <c r="N303" s="271"/>
      <c r="O303" s="271"/>
      <c r="P303" s="271"/>
      <c r="Q303" s="271"/>
      <c r="R303" s="271"/>
      <c r="S303" s="271"/>
      <c r="T303" s="271"/>
      <c r="U303" s="271"/>
      <c r="V303" s="271"/>
      <c r="W303" s="271"/>
      <c r="X303" s="271"/>
      <c r="Y303" s="271"/>
      <c r="Z303" s="271"/>
      <c r="AA303" s="271"/>
    </row>
    <row r="304" spans="1:27" s="532" customFormat="1" x14ac:dyDescent="0.2">
      <c r="A304" s="472"/>
      <c r="B304" s="472"/>
      <c r="C304" s="472"/>
      <c r="D304" s="472"/>
      <c r="E304" s="557"/>
      <c r="F304" s="557"/>
      <c r="G304" s="557"/>
      <c r="H304" s="557"/>
      <c r="I304" s="557"/>
      <c r="J304" s="557"/>
      <c r="K304" s="557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  <c r="AA304" s="271"/>
    </row>
    <row r="305" spans="1:27" s="532" customFormat="1" x14ac:dyDescent="0.2">
      <c r="A305" s="472"/>
      <c r="B305" s="472"/>
      <c r="C305" s="472"/>
      <c r="D305" s="472"/>
      <c r="E305" s="557"/>
      <c r="F305" s="557"/>
      <c r="G305" s="557"/>
      <c r="H305" s="557"/>
      <c r="I305" s="557"/>
      <c r="J305" s="557"/>
      <c r="K305" s="557"/>
      <c r="M305" s="271"/>
      <c r="N305" s="271"/>
      <c r="O305" s="271"/>
      <c r="P305" s="271"/>
      <c r="Q305" s="271"/>
      <c r="R305" s="271"/>
      <c r="S305" s="271"/>
      <c r="T305" s="271"/>
      <c r="U305" s="271"/>
      <c r="V305" s="271"/>
      <c r="W305" s="271"/>
      <c r="X305" s="271"/>
      <c r="Y305" s="271"/>
      <c r="Z305" s="271"/>
      <c r="AA305" s="271"/>
    </row>
    <row r="306" spans="1:27" s="532" customFormat="1" x14ac:dyDescent="0.2">
      <c r="A306" s="472"/>
      <c r="B306" s="472"/>
      <c r="C306" s="472"/>
      <c r="D306" s="472"/>
      <c r="E306" s="557"/>
      <c r="F306" s="557"/>
      <c r="G306" s="557"/>
      <c r="H306" s="557"/>
      <c r="I306" s="557"/>
      <c r="J306" s="557"/>
      <c r="K306" s="557"/>
      <c r="M306" s="271"/>
      <c r="N306" s="271"/>
      <c r="O306" s="271"/>
      <c r="P306" s="271"/>
      <c r="Q306" s="271"/>
      <c r="R306" s="271"/>
      <c r="S306" s="271"/>
      <c r="T306" s="271"/>
      <c r="U306" s="271"/>
      <c r="V306" s="271"/>
      <c r="W306" s="271"/>
      <c r="X306" s="271"/>
      <c r="Y306" s="271"/>
      <c r="Z306" s="271"/>
      <c r="AA306" s="271"/>
    </row>
    <row r="307" spans="1:27" s="532" customFormat="1" x14ac:dyDescent="0.2">
      <c r="A307" s="472"/>
      <c r="B307" s="472"/>
      <c r="C307" s="472"/>
      <c r="D307" s="472"/>
      <c r="E307" s="557"/>
      <c r="F307" s="557"/>
      <c r="G307" s="557"/>
      <c r="H307" s="557"/>
      <c r="I307" s="557"/>
      <c r="J307" s="557"/>
      <c r="K307" s="557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  <c r="AA307" s="271"/>
    </row>
    <row r="308" spans="1:27" s="532" customFormat="1" x14ac:dyDescent="0.2">
      <c r="A308" s="472"/>
      <c r="B308" s="472"/>
      <c r="C308" s="472"/>
      <c r="D308" s="472"/>
      <c r="E308" s="557"/>
      <c r="F308" s="557"/>
      <c r="G308" s="557"/>
      <c r="H308" s="557"/>
      <c r="I308" s="557"/>
      <c r="J308" s="557"/>
      <c r="K308" s="557"/>
      <c r="M308" s="271"/>
      <c r="N308" s="271"/>
      <c r="O308" s="271"/>
      <c r="P308" s="271"/>
      <c r="Q308" s="271"/>
      <c r="R308" s="271"/>
      <c r="S308" s="271"/>
      <c r="T308" s="271"/>
      <c r="U308" s="271"/>
      <c r="V308" s="271"/>
      <c r="W308" s="271"/>
      <c r="X308" s="271"/>
      <c r="Y308" s="271"/>
      <c r="Z308" s="271"/>
      <c r="AA308" s="271"/>
    </row>
    <row r="309" spans="1:27" s="532" customFormat="1" x14ac:dyDescent="0.2">
      <c r="A309" s="472"/>
      <c r="B309" s="472"/>
      <c r="C309" s="472"/>
      <c r="D309" s="472"/>
      <c r="E309" s="557"/>
      <c r="F309" s="557"/>
      <c r="G309" s="557"/>
      <c r="H309" s="557"/>
      <c r="I309" s="557"/>
      <c r="J309" s="557"/>
      <c r="K309" s="557"/>
      <c r="M309" s="271"/>
      <c r="N309" s="271"/>
      <c r="O309" s="271"/>
      <c r="P309" s="271"/>
      <c r="Q309" s="271"/>
      <c r="R309" s="271"/>
      <c r="S309" s="271"/>
      <c r="T309" s="271"/>
      <c r="U309" s="271"/>
      <c r="V309" s="271"/>
      <c r="W309" s="271"/>
      <c r="X309" s="271"/>
      <c r="Y309" s="271"/>
      <c r="Z309" s="271"/>
      <c r="AA309" s="271"/>
    </row>
    <row r="310" spans="1:27" s="532" customFormat="1" x14ac:dyDescent="0.2">
      <c r="A310" s="472"/>
      <c r="B310" s="472"/>
      <c r="C310" s="472"/>
      <c r="D310" s="472"/>
      <c r="E310" s="557"/>
      <c r="F310" s="557"/>
      <c r="G310" s="557"/>
      <c r="H310" s="557"/>
      <c r="I310" s="557"/>
      <c r="J310" s="557"/>
      <c r="K310" s="557"/>
      <c r="M310" s="271"/>
      <c r="N310" s="271"/>
      <c r="O310" s="271"/>
      <c r="P310" s="271"/>
      <c r="Q310" s="271"/>
      <c r="R310" s="271"/>
      <c r="S310" s="271"/>
      <c r="T310" s="271"/>
      <c r="U310" s="271"/>
      <c r="V310" s="271"/>
      <c r="W310" s="271"/>
      <c r="X310" s="271"/>
      <c r="Y310" s="271"/>
      <c r="Z310" s="271"/>
      <c r="AA310" s="271"/>
    </row>
    <row r="311" spans="1:27" s="532" customFormat="1" x14ac:dyDescent="0.2">
      <c r="A311" s="472"/>
      <c r="B311" s="472"/>
      <c r="C311" s="472"/>
      <c r="D311" s="472"/>
      <c r="E311" s="557"/>
      <c r="F311" s="557"/>
      <c r="G311" s="557"/>
      <c r="H311" s="557"/>
      <c r="I311" s="557"/>
      <c r="J311" s="557"/>
      <c r="K311" s="557"/>
      <c r="M311" s="271"/>
      <c r="N311" s="271"/>
      <c r="O311" s="271"/>
      <c r="P311" s="271"/>
      <c r="Q311" s="271"/>
      <c r="R311" s="271"/>
      <c r="S311" s="271"/>
      <c r="T311" s="271"/>
      <c r="U311" s="271"/>
      <c r="V311" s="271"/>
      <c r="W311" s="271"/>
      <c r="X311" s="271"/>
      <c r="Y311" s="271"/>
      <c r="Z311" s="271"/>
      <c r="AA311" s="271"/>
    </row>
    <row r="312" spans="1:27" s="532" customFormat="1" x14ac:dyDescent="0.2">
      <c r="A312" s="472"/>
      <c r="B312" s="472"/>
      <c r="C312" s="472"/>
      <c r="D312" s="472"/>
      <c r="E312" s="557"/>
      <c r="F312" s="557"/>
      <c r="G312" s="557"/>
      <c r="H312" s="557"/>
      <c r="I312" s="557"/>
      <c r="J312" s="557"/>
      <c r="K312" s="557"/>
      <c r="M312" s="271"/>
      <c r="N312" s="271"/>
      <c r="O312" s="271"/>
      <c r="P312" s="271"/>
      <c r="Q312" s="271"/>
      <c r="R312" s="271"/>
      <c r="S312" s="271"/>
      <c r="T312" s="271"/>
      <c r="U312" s="271"/>
      <c r="V312" s="271"/>
      <c r="W312" s="271"/>
      <c r="X312" s="271"/>
      <c r="Y312" s="271"/>
      <c r="Z312" s="271"/>
      <c r="AA312" s="271"/>
    </row>
    <row r="313" spans="1:27" s="532" customFormat="1" x14ac:dyDescent="0.2">
      <c r="A313" s="472"/>
      <c r="B313" s="472"/>
      <c r="C313" s="472"/>
      <c r="D313" s="472"/>
      <c r="E313" s="557"/>
      <c r="F313" s="557"/>
      <c r="G313" s="557"/>
      <c r="H313" s="557"/>
      <c r="I313" s="557"/>
      <c r="J313" s="557"/>
      <c r="K313" s="557"/>
      <c r="M313" s="271"/>
      <c r="N313" s="271"/>
      <c r="O313" s="271"/>
      <c r="P313" s="271"/>
      <c r="Q313" s="271"/>
      <c r="R313" s="271"/>
      <c r="S313" s="271"/>
      <c r="T313" s="271"/>
      <c r="U313" s="271"/>
      <c r="V313" s="271"/>
      <c r="W313" s="271"/>
      <c r="X313" s="271"/>
      <c r="Y313" s="271"/>
      <c r="Z313" s="271"/>
      <c r="AA313" s="271"/>
    </row>
    <row r="314" spans="1:27" s="532" customFormat="1" x14ac:dyDescent="0.2">
      <c r="A314" s="472"/>
      <c r="B314" s="472"/>
      <c r="C314" s="472"/>
      <c r="D314" s="472"/>
      <c r="E314" s="557"/>
      <c r="F314" s="557"/>
      <c r="G314" s="557"/>
      <c r="H314" s="557"/>
      <c r="I314" s="557"/>
      <c r="J314" s="557"/>
      <c r="K314" s="557"/>
      <c r="M314" s="271"/>
      <c r="N314" s="271"/>
      <c r="O314" s="271"/>
      <c r="P314" s="271"/>
      <c r="Q314" s="271"/>
      <c r="R314" s="271"/>
      <c r="S314" s="271"/>
      <c r="T314" s="271"/>
      <c r="U314" s="271"/>
      <c r="V314" s="271"/>
      <c r="W314" s="271"/>
      <c r="X314" s="271"/>
      <c r="Y314" s="271"/>
      <c r="Z314" s="271"/>
      <c r="AA314" s="271"/>
    </row>
    <row r="315" spans="1:27" s="532" customFormat="1" x14ac:dyDescent="0.2">
      <c r="A315" s="472"/>
      <c r="B315" s="472"/>
      <c r="C315" s="472"/>
      <c r="D315" s="472"/>
      <c r="E315" s="557"/>
      <c r="F315" s="557"/>
      <c r="G315" s="557"/>
      <c r="H315" s="557"/>
      <c r="I315" s="557"/>
      <c r="J315" s="557"/>
      <c r="K315" s="557"/>
      <c r="M315" s="271"/>
      <c r="N315" s="271"/>
      <c r="O315" s="271"/>
      <c r="P315" s="271"/>
      <c r="Q315" s="271"/>
      <c r="R315" s="271"/>
      <c r="S315" s="271"/>
      <c r="T315" s="271"/>
      <c r="U315" s="271"/>
      <c r="V315" s="271"/>
      <c r="W315" s="271"/>
      <c r="X315" s="271"/>
      <c r="Y315" s="271"/>
      <c r="Z315" s="271"/>
      <c r="AA315" s="271"/>
    </row>
    <row r="316" spans="1:27" s="532" customFormat="1" x14ac:dyDescent="0.2">
      <c r="A316" s="472"/>
      <c r="B316" s="472"/>
      <c r="C316" s="472"/>
      <c r="D316" s="472"/>
      <c r="E316" s="557"/>
      <c r="F316" s="557"/>
      <c r="G316" s="557"/>
      <c r="H316" s="557"/>
      <c r="I316" s="557"/>
      <c r="J316" s="557"/>
      <c r="K316" s="557"/>
      <c r="M316" s="271"/>
      <c r="N316" s="271"/>
      <c r="O316" s="271"/>
      <c r="P316" s="271"/>
      <c r="Q316" s="271"/>
      <c r="R316" s="271"/>
      <c r="S316" s="271"/>
      <c r="T316" s="271"/>
      <c r="U316" s="271"/>
      <c r="V316" s="271"/>
      <c r="W316" s="271"/>
      <c r="X316" s="271"/>
      <c r="Y316" s="271"/>
      <c r="Z316" s="271"/>
      <c r="AA316" s="271"/>
    </row>
    <row r="317" spans="1:27" s="532" customFormat="1" x14ac:dyDescent="0.2">
      <c r="A317" s="472"/>
      <c r="B317" s="472"/>
      <c r="C317" s="472"/>
      <c r="D317" s="472"/>
      <c r="E317" s="557"/>
      <c r="F317" s="557"/>
      <c r="G317" s="557"/>
      <c r="H317" s="557"/>
      <c r="I317" s="557"/>
      <c r="J317" s="557"/>
      <c r="K317" s="557"/>
      <c r="M317" s="271"/>
      <c r="N317" s="271"/>
      <c r="O317" s="271"/>
      <c r="P317" s="271"/>
      <c r="Q317" s="271"/>
      <c r="R317" s="271"/>
      <c r="S317" s="271"/>
      <c r="T317" s="271"/>
      <c r="U317" s="271"/>
      <c r="V317" s="271"/>
      <c r="W317" s="271"/>
      <c r="X317" s="271"/>
      <c r="Y317" s="271"/>
      <c r="Z317" s="271"/>
      <c r="AA317" s="271"/>
    </row>
    <row r="318" spans="1:27" s="532" customFormat="1" x14ac:dyDescent="0.2">
      <c r="A318" s="472"/>
      <c r="B318" s="472"/>
      <c r="C318" s="472"/>
      <c r="D318" s="472"/>
      <c r="E318" s="557"/>
      <c r="F318" s="557"/>
      <c r="G318" s="557"/>
      <c r="H318" s="557"/>
      <c r="I318" s="557"/>
      <c r="J318" s="557"/>
      <c r="K318" s="557"/>
      <c r="M318" s="271"/>
      <c r="N318" s="271"/>
      <c r="O318" s="271"/>
      <c r="P318" s="271"/>
      <c r="Q318" s="271"/>
      <c r="R318" s="271"/>
      <c r="S318" s="271"/>
      <c r="T318" s="271"/>
      <c r="U318" s="271"/>
      <c r="V318" s="271"/>
      <c r="W318" s="271"/>
      <c r="X318" s="271"/>
      <c r="Y318" s="271"/>
      <c r="Z318" s="271"/>
      <c r="AA318" s="271"/>
    </row>
    <row r="319" spans="1:27" s="532" customFormat="1" x14ac:dyDescent="0.2">
      <c r="A319" s="472"/>
      <c r="B319" s="472"/>
      <c r="C319" s="472"/>
      <c r="D319" s="472"/>
      <c r="E319" s="557"/>
      <c r="F319" s="557"/>
      <c r="G319" s="557"/>
      <c r="H319" s="557"/>
      <c r="I319" s="557"/>
      <c r="J319" s="557"/>
      <c r="K319" s="557"/>
      <c r="M319" s="271"/>
      <c r="N319" s="271"/>
      <c r="O319" s="271"/>
      <c r="P319" s="271"/>
      <c r="Q319" s="271"/>
      <c r="R319" s="271"/>
      <c r="S319" s="271"/>
      <c r="T319" s="271"/>
      <c r="U319" s="271"/>
      <c r="V319" s="271"/>
      <c r="W319" s="271"/>
      <c r="X319" s="271"/>
      <c r="Y319" s="271"/>
      <c r="Z319" s="271"/>
      <c r="AA319" s="271"/>
    </row>
    <row r="320" spans="1:27" s="532" customFormat="1" x14ac:dyDescent="0.2">
      <c r="A320" s="472"/>
      <c r="B320" s="472"/>
      <c r="C320" s="472"/>
      <c r="D320" s="472"/>
      <c r="E320" s="557"/>
      <c r="F320" s="557"/>
      <c r="G320" s="557"/>
      <c r="H320" s="557"/>
      <c r="I320" s="557"/>
      <c r="J320" s="557"/>
      <c r="K320" s="557"/>
      <c r="M320" s="271"/>
      <c r="N320" s="271"/>
      <c r="O320" s="271"/>
      <c r="P320" s="271"/>
      <c r="Q320" s="271"/>
      <c r="R320" s="271"/>
      <c r="S320" s="271"/>
      <c r="T320" s="271"/>
      <c r="U320" s="271"/>
      <c r="V320" s="271"/>
      <c r="W320" s="271"/>
      <c r="X320" s="271"/>
      <c r="Y320" s="271"/>
      <c r="Z320" s="271"/>
      <c r="AA320" s="271"/>
    </row>
    <row r="321" spans="1:27" s="532" customFormat="1" x14ac:dyDescent="0.2">
      <c r="A321" s="472"/>
      <c r="B321" s="472"/>
      <c r="C321" s="472"/>
      <c r="D321" s="472"/>
      <c r="E321" s="557"/>
      <c r="F321" s="557"/>
      <c r="G321" s="557"/>
      <c r="H321" s="557"/>
      <c r="I321" s="557"/>
      <c r="J321" s="557"/>
      <c r="K321" s="557"/>
      <c r="M321" s="271"/>
      <c r="N321" s="271"/>
      <c r="O321" s="271"/>
      <c r="P321" s="271"/>
      <c r="Q321" s="271"/>
      <c r="R321" s="271"/>
      <c r="S321" s="271"/>
      <c r="T321" s="271"/>
      <c r="U321" s="271"/>
      <c r="V321" s="271"/>
      <c r="W321" s="271"/>
      <c r="X321" s="271"/>
      <c r="Y321" s="271"/>
      <c r="Z321" s="271"/>
      <c r="AA321" s="271"/>
    </row>
    <row r="322" spans="1:27" s="532" customFormat="1" x14ac:dyDescent="0.2">
      <c r="A322" s="472"/>
      <c r="B322" s="472"/>
      <c r="C322" s="472"/>
      <c r="D322" s="472"/>
      <c r="E322" s="557"/>
      <c r="F322" s="557"/>
      <c r="G322" s="557"/>
      <c r="H322" s="557"/>
      <c r="I322" s="557"/>
      <c r="J322" s="557"/>
      <c r="K322" s="557"/>
      <c r="M322" s="271"/>
      <c r="N322" s="271"/>
      <c r="O322" s="271"/>
      <c r="P322" s="271"/>
      <c r="Q322" s="271"/>
      <c r="R322" s="271"/>
      <c r="S322" s="271"/>
      <c r="T322" s="271"/>
      <c r="U322" s="271"/>
      <c r="V322" s="271"/>
      <c r="W322" s="271"/>
      <c r="X322" s="271"/>
      <c r="Y322" s="271"/>
      <c r="Z322" s="271"/>
      <c r="AA322" s="271"/>
    </row>
    <row r="323" spans="1:27" s="532" customFormat="1" x14ac:dyDescent="0.2">
      <c r="A323" s="472"/>
      <c r="B323" s="472"/>
      <c r="C323" s="472"/>
      <c r="D323" s="472"/>
      <c r="E323" s="557"/>
      <c r="F323" s="557"/>
      <c r="G323" s="557"/>
      <c r="H323" s="557"/>
      <c r="I323" s="557"/>
      <c r="J323" s="557"/>
      <c r="K323" s="557"/>
      <c r="M323" s="271"/>
      <c r="N323" s="271"/>
      <c r="O323" s="271"/>
      <c r="P323" s="271"/>
      <c r="Q323" s="271"/>
      <c r="R323" s="271"/>
      <c r="S323" s="271"/>
      <c r="T323" s="271"/>
      <c r="U323" s="271"/>
      <c r="V323" s="271"/>
      <c r="W323" s="271"/>
      <c r="X323" s="271"/>
      <c r="Y323" s="271"/>
      <c r="Z323" s="271"/>
      <c r="AA323" s="271"/>
    </row>
    <row r="324" spans="1:27" s="532" customFormat="1" x14ac:dyDescent="0.2">
      <c r="A324" s="472"/>
      <c r="B324" s="472"/>
      <c r="C324" s="472"/>
      <c r="D324" s="472"/>
      <c r="E324" s="557"/>
      <c r="F324" s="557"/>
      <c r="G324" s="557"/>
      <c r="H324" s="557"/>
      <c r="I324" s="557"/>
      <c r="J324" s="557"/>
      <c r="K324" s="557"/>
      <c r="M324" s="271"/>
      <c r="N324" s="271"/>
      <c r="O324" s="271"/>
      <c r="P324" s="271"/>
      <c r="Q324" s="271"/>
      <c r="R324" s="271"/>
      <c r="S324" s="271"/>
      <c r="T324" s="271"/>
      <c r="U324" s="271"/>
      <c r="V324" s="271"/>
      <c r="W324" s="271"/>
      <c r="X324" s="271"/>
      <c r="Y324" s="271"/>
      <c r="Z324" s="271"/>
      <c r="AA324" s="271"/>
    </row>
    <row r="325" spans="1:27" s="532" customFormat="1" x14ac:dyDescent="0.2">
      <c r="A325" s="472"/>
      <c r="B325" s="472"/>
      <c r="C325" s="472"/>
      <c r="D325" s="472"/>
      <c r="E325" s="557"/>
      <c r="F325" s="557"/>
      <c r="G325" s="557"/>
      <c r="H325" s="557"/>
      <c r="I325" s="557"/>
      <c r="J325" s="557"/>
      <c r="K325" s="557"/>
      <c r="M325" s="271"/>
      <c r="N325" s="271"/>
      <c r="O325" s="271"/>
      <c r="P325" s="271"/>
      <c r="Q325" s="271"/>
      <c r="R325" s="271"/>
      <c r="S325" s="271"/>
      <c r="T325" s="271"/>
      <c r="U325" s="271"/>
      <c r="V325" s="271"/>
      <c r="W325" s="271"/>
      <c r="X325" s="271"/>
      <c r="Y325" s="271"/>
      <c r="Z325" s="271"/>
      <c r="AA325" s="271"/>
    </row>
    <row r="326" spans="1:27" s="532" customFormat="1" x14ac:dyDescent="0.2">
      <c r="A326" s="472"/>
      <c r="B326" s="472"/>
      <c r="C326" s="472"/>
      <c r="D326" s="472"/>
      <c r="E326" s="557"/>
      <c r="F326" s="557"/>
      <c r="G326" s="557"/>
      <c r="H326" s="557"/>
      <c r="I326" s="557"/>
      <c r="J326" s="557"/>
      <c r="K326" s="557"/>
      <c r="M326" s="271"/>
      <c r="N326" s="271"/>
      <c r="O326" s="271"/>
      <c r="P326" s="271"/>
      <c r="Q326" s="271"/>
      <c r="R326" s="271"/>
      <c r="S326" s="271"/>
      <c r="T326" s="271"/>
      <c r="U326" s="271"/>
      <c r="V326" s="271"/>
      <c r="W326" s="271"/>
      <c r="X326" s="271"/>
      <c r="Y326" s="271"/>
      <c r="Z326" s="271"/>
      <c r="AA326" s="271"/>
    </row>
    <row r="327" spans="1:27" s="532" customFormat="1" x14ac:dyDescent="0.2">
      <c r="A327" s="472"/>
      <c r="B327" s="472"/>
      <c r="C327" s="472"/>
      <c r="D327" s="472"/>
      <c r="E327" s="557"/>
      <c r="F327" s="557"/>
      <c r="G327" s="557"/>
      <c r="H327" s="557"/>
      <c r="I327" s="557"/>
      <c r="J327" s="557"/>
      <c r="K327" s="557"/>
      <c r="M327" s="271"/>
      <c r="N327" s="271"/>
      <c r="O327" s="271"/>
      <c r="P327" s="271"/>
      <c r="Q327" s="271"/>
      <c r="R327" s="271"/>
      <c r="S327" s="271"/>
      <c r="T327" s="271"/>
      <c r="U327" s="271"/>
      <c r="V327" s="271"/>
      <c r="W327" s="271"/>
      <c r="X327" s="271"/>
      <c r="Y327" s="271"/>
      <c r="Z327" s="271"/>
      <c r="AA327" s="271"/>
    </row>
    <row r="328" spans="1:27" s="532" customFormat="1" x14ac:dyDescent="0.2">
      <c r="A328" s="472"/>
      <c r="B328" s="472"/>
      <c r="C328" s="472"/>
      <c r="D328" s="472"/>
      <c r="E328" s="557"/>
      <c r="F328" s="557"/>
      <c r="G328" s="557"/>
      <c r="H328" s="557"/>
      <c r="I328" s="557"/>
      <c r="J328" s="557"/>
      <c r="K328" s="557"/>
      <c r="M328" s="271"/>
      <c r="N328" s="271"/>
      <c r="O328" s="271"/>
      <c r="P328" s="271"/>
      <c r="Q328" s="271"/>
      <c r="R328" s="271"/>
      <c r="S328" s="271"/>
      <c r="T328" s="271"/>
      <c r="U328" s="271"/>
      <c r="V328" s="271"/>
      <c r="W328" s="271"/>
      <c r="X328" s="271"/>
      <c r="Y328" s="271"/>
      <c r="Z328" s="271"/>
      <c r="AA328" s="271"/>
    </row>
    <row r="329" spans="1:27" s="532" customFormat="1" x14ac:dyDescent="0.2">
      <c r="A329" s="472"/>
      <c r="B329" s="472"/>
      <c r="C329" s="472"/>
      <c r="D329" s="472"/>
      <c r="E329" s="557"/>
      <c r="F329" s="557"/>
      <c r="G329" s="557"/>
      <c r="H329" s="557"/>
      <c r="I329" s="557"/>
      <c r="J329" s="557"/>
      <c r="K329" s="557"/>
      <c r="M329" s="271"/>
      <c r="N329" s="271"/>
      <c r="O329" s="271"/>
      <c r="P329" s="271"/>
      <c r="Q329" s="271"/>
      <c r="R329" s="271"/>
      <c r="S329" s="271"/>
      <c r="T329" s="271"/>
      <c r="U329" s="271"/>
      <c r="V329" s="271"/>
      <c r="W329" s="271"/>
      <c r="X329" s="271"/>
      <c r="Y329" s="271"/>
      <c r="Z329" s="271"/>
      <c r="AA329" s="271"/>
    </row>
    <row r="330" spans="1:27" s="532" customFormat="1" x14ac:dyDescent="0.2">
      <c r="A330" s="472"/>
      <c r="B330" s="472"/>
      <c r="C330" s="472"/>
      <c r="D330" s="472"/>
      <c r="E330" s="557"/>
      <c r="F330" s="557"/>
      <c r="G330" s="557"/>
      <c r="H330" s="557"/>
      <c r="I330" s="557"/>
      <c r="J330" s="557"/>
      <c r="K330" s="557"/>
      <c r="M330" s="271"/>
      <c r="N330" s="271"/>
      <c r="O330" s="271"/>
      <c r="P330" s="271"/>
      <c r="Q330" s="271"/>
      <c r="R330" s="271"/>
      <c r="S330" s="271"/>
      <c r="T330" s="271"/>
      <c r="U330" s="271"/>
      <c r="V330" s="271"/>
      <c r="W330" s="271"/>
      <c r="X330" s="271"/>
      <c r="Y330" s="271"/>
      <c r="Z330" s="271"/>
      <c r="AA330" s="271"/>
    </row>
    <row r="331" spans="1:27" s="532" customFormat="1" x14ac:dyDescent="0.2">
      <c r="A331" s="472"/>
      <c r="B331" s="472"/>
      <c r="C331" s="472"/>
      <c r="D331" s="472"/>
      <c r="E331" s="557"/>
      <c r="F331" s="557"/>
      <c r="G331" s="557"/>
      <c r="H331" s="557"/>
      <c r="I331" s="557"/>
      <c r="J331" s="557"/>
      <c r="K331" s="557"/>
      <c r="M331" s="271"/>
      <c r="N331" s="271"/>
      <c r="O331" s="271"/>
      <c r="P331" s="271"/>
      <c r="Q331" s="271"/>
      <c r="R331" s="271"/>
      <c r="S331" s="271"/>
      <c r="T331" s="271"/>
      <c r="U331" s="271"/>
      <c r="V331" s="271"/>
      <c r="W331" s="271"/>
      <c r="X331" s="271"/>
      <c r="Y331" s="271"/>
      <c r="Z331" s="271"/>
      <c r="AA331" s="271"/>
    </row>
    <row r="332" spans="1:27" s="532" customFormat="1" x14ac:dyDescent="0.2">
      <c r="A332" s="472"/>
      <c r="B332" s="472"/>
      <c r="C332" s="472"/>
      <c r="D332" s="472"/>
      <c r="E332" s="557"/>
      <c r="F332" s="557"/>
      <c r="G332" s="557"/>
      <c r="H332" s="557"/>
      <c r="I332" s="557"/>
      <c r="J332" s="557"/>
      <c r="K332" s="557"/>
      <c r="M332" s="271"/>
      <c r="N332" s="271"/>
      <c r="O332" s="271"/>
      <c r="P332" s="271"/>
      <c r="Q332" s="271"/>
      <c r="R332" s="271"/>
      <c r="S332" s="271"/>
      <c r="T332" s="271"/>
      <c r="U332" s="271"/>
      <c r="V332" s="271"/>
      <c r="W332" s="271"/>
      <c r="X332" s="271"/>
      <c r="Y332" s="271"/>
      <c r="Z332" s="271"/>
      <c r="AA332" s="271"/>
    </row>
    <row r="333" spans="1:27" s="532" customFormat="1" x14ac:dyDescent="0.2">
      <c r="A333" s="472"/>
      <c r="B333" s="472"/>
      <c r="C333" s="472"/>
      <c r="D333" s="472"/>
      <c r="E333" s="557"/>
      <c r="F333" s="557"/>
      <c r="G333" s="557"/>
      <c r="H333" s="557"/>
      <c r="I333" s="557"/>
      <c r="J333" s="557"/>
      <c r="K333" s="557"/>
      <c r="M333" s="271"/>
      <c r="N333" s="271"/>
      <c r="O333" s="271"/>
      <c r="P333" s="271"/>
      <c r="Q333" s="271"/>
      <c r="R333" s="271"/>
      <c r="S333" s="271"/>
      <c r="T333" s="271"/>
      <c r="U333" s="271"/>
      <c r="V333" s="271"/>
      <c r="W333" s="271"/>
      <c r="X333" s="271"/>
      <c r="Y333" s="271"/>
      <c r="Z333" s="271"/>
      <c r="AA333" s="271"/>
    </row>
    <row r="334" spans="1:27" s="532" customFormat="1" x14ac:dyDescent="0.2">
      <c r="A334" s="472"/>
      <c r="B334" s="472"/>
      <c r="C334" s="472"/>
      <c r="D334" s="472"/>
      <c r="E334" s="557"/>
      <c r="F334" s="557"/>
      <c r="G334" s="557"/>
      <c r="H334" s="557"/>
      <c r="I334" s="557"/>
      <c r="J334" s="557"/>
      <c r="K334" s="557"/>
      <c r="M334" s="271"/>
      <c r="N334" s="271"/>
      <c r="O334" s="271"/>
      <c r="P334" s="271"/>
      <c r="Q334" s="271"/>
      <c r="R334" s="271"/>
      <c r="S334" s="271"/>
      <c r="T334" s="271"/>
      <c r="U334" s="271"/>
      <c r="V334" s="271"/>
      <c r="W334" s="271"/>
      <c r="X334" s="271"/>
      <c r="Y334" s="271"/>
      <c r="Z334" s="271"/>
      <c r="AA334" s="271"/>
    </row>
    <row r="335" spans="1:27" s="532" customFormat="1" x14ac:dyDescent="0.2">
      <c r="A335" s="472"/>
      <c r="B335" s="472"/>
      <c r="C335" s="472"/>
      <c r="D335" s="472"/>
      <c r="E335" s="557"/>
      <c r="F335" s="557"/>
      <c r="G335" s="557"/>
      <c r="H335" s="557"/>
      <c r="I335" s="557"/>
      <c r="J335" s="557"/>
      <c r="K335" s="557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  <c r="AA335" s="271"/>
    </row>
    <row r="336" spans="1:27" s="532" customFormat="1" x14ac:dyDescent="0.2">
      <c r="A336" s="472"/>
      <c r="B336" s="472"/>
      <c r="C336" s="472"/>
      <c r="D336" s="472"/>
      <c r="E336" s="557"/>
      <c r="F336" s="557"/>
      <c r="G336" s="557"/>
      <c r="H336" s="557"/>
      <c r="I336" s="557"/>
      <c r="J336" s="557"/>
      <c r="K336" s="557"/>
      <c r="M336" s="271"/>
      <c r="N336" s="271"/>
      <c r="O336" s="271"/>
      <c r="P336" s="271"/>
      <c r="Q336" s="271"/>
      <c r="R336" s="271"/>
      <c r="S336" s="271"/>
      <c r="T336" s="271"/>
      <c r="U336" s="271"/>
      <c r="V336" s="271"/>
      <c r="W336" s="271"/>
      <c r="X336" s="271"/>
      <c r="Y336" s="271"/>
      <c r="Z336" s="271"/>
      <c r="AA336" s="271"/>
    </row>
    <row r="337" spans="1:27" s="532" customFormat="1" x14ac:dyDescent="0.2">
      <c r="A337" s="472"/>
      <c r="B337" s="472"/>
      <c r="C337" s="472"/>
      <c r="D337" s="472"/>
      <c r="E337" s="557"/>
      <c r="F337" s="557"/>
      <c r="G337" s="557"/>
      <c r="H337" s="557"/>
      <c r="I337" s="557"/>
      <c r="J337" s="557"/>
      <c r="K337" s="557"/>
      <c r="M337" s="271"/>
      <c r="N337" s="271"/>
      <c r="O337" s="271"/>
      <c r="P337" s="271"/>
      <c r="Q337" s="271"/>
      <c r="R337" s="271"/>
      <c r="S337" s="271"/>
      <c r="T337" s="271"/>
      <c r="U337" s="271"/>
      <c r="V337" s="271"/>
      <c r="W337" s="271"/>
      <c r="X337" s="271"/>
      <c r="Y337" s="271"/>
      <c r="Z337" s="271"/>
      <c r="AA337" s="271"/>
    </row>
    <row r="338" spans="1:27" s="532" customFormat="1" x14ac:dyDescent="0.2">
      <c r="A338" s="472"/>
      <c r="B338" s="472"/>
      <c r="C338" s="472"/>
      <c r="D338" s="472"/>
      <c r="E338" s="557"/>
      <c r="F338" s="557"/>
      <c r="G338" s="557"/>
      <c r="H338" s="557"/>
      <c r="I338" s="557"/>
      <c r="J338" s="557"/>
      <c r="K338" s="557"/>
      <c r="M338" s="271"/>
      <c r="N338" s="271"/>
      <c r="O338" s="271"/>
      <c r="P338" s="271"/>
      <c r="Q338" s="271"/>
      <c r="R338" s="271"/>
      <c r="S338" s="271"/>
      <c r="T338" s="271"/>
      <c r="U338" s="271"/>
      <c r="V338" s="271"/>
      <c r="W338" s="271"/>
      <c r="X338" s="271"/>
      <c r="Y338" s="271"/>
      <c r="Z338" s="271"/>
      <c r="AA338" s="271"/>
    </row>
    <row r="339" spans="1:27" s="532" customFormat="1" x14ac:dyDescent="0.2">
      <c r="A339" s="472"/>
      <c r="B339" s="472"/>
      <c r="C339" s="472"/>
      <c r="D339" s="472"/>
      <c r="E339" s="557"/>
      <c r="F339" s="557"/>
      <c r="G339" s="557"/>
      <c r="H339" s="557"/>
      <c r="I339" s="557"/>
      <c r="J339" s="557"/>
      <c r="K339" s="557"/>
      <c r="M339" s="271"/>
      <c r="N339" s="271"/>
      <c r="O339" s="271"/>
      <c r="P339" s="271"/>
      <c r="Q339" s="271"/>
      <c r="R339" s="271"/>
      <c r="S339" s="271"/>
      <c r="T339" s="271"/>
      <c r="U339" s="271"/>
      <c r="V339" s="271"/>
      <c r="W339" s="271"/>
      <c r="X339" s="271"/>
      <c r="Y339" s="271"/>
      <c r="Z339" s="271"/>
      <c r="AA339" s="271"/>
    </row>
    <row r="340" spans="1:27" s="532" customFormat="1" x14ac:dyDescent="0.2">
      <c r="A340" s="472"/>
      <c r="B340" s="472"/>
      <c r="C340" s="472"/>
      <c r="D340" s="472"/>
      <c r="E340" s="557"/>
      <c r="F340" s="557"/>
      <c r="G340" s="557"/>
      <c r="H340" s="557"/>
      <c r="I340" s="557"/>
      <c r="J340" s="557"/>
      <c r="K340" s="557"/>
      <c r="M340" s="271"/>
      <c r="N340" s="271"/>
      <c r="O340" s="271"/>
      <c r="P340" s="271"/>
      <c r="Q340" s="271"/>
      <c r="R340" s="271"/>
      <c r="S340" s="271"/>
      <c r="T340" s="271"/>
      <c r="U340" s="271"/>
      <c r="V340" s="271"/>
      <c r="W340" s="271"/>
      <c r="X340" s="271"/>
      <c r="Y340" s="271"/>
      <c r="Z340" s="271"/>
      <c r="AA340" s="271"/>
    </row>
    <row r="341" spans="1:27" s="532" customFormat="1" x14ac:dyDescent="0.2">
      <c r="A341" s="472"/>
      <c r="B341" s="472"/>
      <c r="C341" s="472"/>
      <c r="D341" s="472"/>
      <c r="E341" s="557"/>
      <c r="F341" s="557"/>
      <c r="G341" s="557"/>
      <c r="H341" s="557"/>
      <c r="I341" s="557"/>
      <c r="J341" s="557"/>
      <c r="K341" s="557"/>
      <c r="M341" s="271"/>
      <c r="N341" s="271"/>
      <c r="O341" s="271"/>
      <c r="P341" s="271"/>
      <c r="Q341" s="271"/>
      <c r="R341" s="271"/>
      <c r="S341" s="271"/>
      <c r="T341" s="271"/>
      <c r="U341" s="271"/>
      <c r="V341" s="271"/>
      <c r="W341" s="271"/>
      <c r="X341" s="271"/>
      <c r="Y341" s="271"/>
      <c r="Z341" s="271"/>
      <c r="AA341" s="271"/>
    </row>
    <row r="342" spans="1:27" s="532" customFormat="1" x14ac:dyDescent="0.2">
      <c r="A342" s="472"/>
      <c r="B342" s="472"/>
      <c r="C342" s="472"/>
      <c r="D342" s="472"/>
      <c r="E342" s="557"/>
      <c r="F342" s="557"/>
      <c r="G342" s="557"/>
      <c r="H342" s="557"/>
      <c r="I342" s="557"/>
      <c r="J342" s="557"/>
      <c r="K342" s="557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  <c r="AA342" s="271"/>
    </row>
    <row r="343" spans="1:27" s="532" customFormat="1" x14ac:dyDescent="0.2">
      <c r="A343" s="472"/>
      <c r="B343" s="472"/>
      <c r="C343" s="472"/>
      <c r="D343" s="472"/>
      <c r="E343" s="557"/>
      <c r="F343" s="557"/>
      <c r="G343" s="557"/>
      <c r="H343" s="557"/>
      <c r="I343" s="557"/>
      <c r="J343" s="557"/>
      <c r="K343" s="557"/>
      <c r="M343" s="271"/>
      <c r="N343" s="271"/>
      <c r="O343" s="271"/>
      <c r="P343" s="271"/>
      <c r="Q343" s="271"/>
      <c r="R343" s="271"/>
      <c r="S343" s="271"/>
      <c r="T343" s="271"/>
      <c r="U343" s="271"/>
      <c r="V343" s="271"/>
      <c r="W343" s="271"/>
      <c r="X343" s="271"/>
      <c r="Y343" s="271"/>
      <c r="Z343" s="271"/>
      <c r="AA343" s="271"/>
    </row>
    <row r="344" spans="1:27" s="532" customFormat="1" x14ac:dyDescent="0.2">
      <c r="A344" s="472"/>
      <c r="B344" s="472"/>
      <c r="C344" s="472"/>
      <c r="D344" s="472"/>
      <c r="E344" s="557"/>
      <c r="F344" s="557"/>
      <c r="G344" s="557"/>
      <c r="H344" s="557"/>
      <c r="I344" s="557"/>
      <c r="J344" s="557"/>
      <c r="K344" s="557"/>
      <c r="M344" s="271"/>
      <c r="N344" s="271"/>
      <c r="O344" s="271"/>
      <c r="P344" s="271"/>
      <c r="Q344" s="271"/>
      <c r="R344" s="271"/>
      <c r="S344" s="271"/>
      <c r="T344" s="271"/>
      <c r="U344" s="271"/>
      <c r="V344" s="271"/>
      <c r="W344" s="271"/>
      <c r="X344" s="271"/>
      <c r="Y344" s="271"/>
      <c r="Z344" s="271"/>
      <c r="AA344" s="271"/>
    </row>
    <row r="345" spans="1:27" s="532" customFormat="1" x14ac:dyDescent="0.2">
      <c r="A345" s="472"/>
      <c r="B345" s="472"/>
      <c r="C345" s="472"/>
      <c r="D345" s="472"/>
      <c r="E345" s="557"/>
      <c r="F345" s="557"/>
      <c r="G345" s="557"/>
      <c r="H345" s="557"/>
      <c r="I345" s="557"/>
      <c r="J345" s="557"/>
      <c r="K345" s="557"/>
      <c r="M345" s="271"/>
      <c r="N345" s="271"/>
      <c r="O345" s="271"/>
      <c r="P345" s="271"/>
      <c r="Q345" s="271"/>
      <c r="R345" s="271"/>
      <c r="S345" s="271"/>
      <c r="T345" s="271"/>
      <c r="U345" s="271"/>
      <c r="V345" s="271"/>
      <c r="W345" s="271"/>
      <c r="X345" s="271"/>
      <c r="Y345" s="271"/>
      <c r="Z345" s="271"/>
      <c r="AA345" s="271"/>
    </row>
    <row r="346" spans="1:27" s="532" customFormat="1" x14ac:dyDescent="0.2">
      <c r="A346" s="472"/>
      <c r="B346" s="472"/>
      <c r="C346" s="472"/>
      <c r="D346" s="472"/>
      <c r="E346" s="557"/>
      <c r="F346" s="557"/>
      <c r="G346" s="557"/>
      <c r="H346" s="557"/>
      <c r="I346" s="557"/>
      <c r="J346" s="557"/>
      <c r="K346" s="557"/>
      <c r="M346" s="271"/>
      <c r="N346" s="271"/>
      <c r="O346" s="271"/>
      <c r="P346" s="271"/>
      <c r="Q346" s="271"/>
      <c r="R346" s="271"/>
      <c r="S346" s="271"/>
      <c r="T346" s="271"/>
      <c r="U346" s="271"/>
      <c r="V346" s="271"/>
      <c r="W346" s="271"/>
      <c r="X346" s="271"/>
      <c r="Y346" s="271"/>
      <c r="Z346" s="271"/>
      <c r="AA346" s="271"/>
    </row>
    <row r="347" spans="1:27" s="532" customFormat="1" x14ac:dyDescent="0.2">
      <c r="A347" s="472"/>
      <c r="B347" s="472"/>
      <c r="C347" s="472"/>
      <c r="D347" s="472"/>
      <c r="E347" s="557"/>
      <c r="F347" s="557"/>
      <c r="G347" s="557"/>
      <c r="H347" s="557"/>
      <c r="I347" s="557"/>
      <c r="J347" s="557"/>
      <c r="K347" s="557"/>
      <c r="M347" s="271"/>
      <c r="N347" s="271"/>
      <c r="O347" s="271"/>
      <c r="P347" s="271"/>
      <c r="Q347" s="271"/>
      <c r="R347" s="271"/>
      <c r="S347" s="271"/>
      <c r="T347" s="271"/>
      <c r="U347" s="271"/>
      <c r="V347" s="271"/>
      <c r="W347" s="271"/>
      <c r="X347" s="271"/>
      <c r="Y347" s="271"/>
      <c r="Z347" s="271"/>
      <c r="AA347" s="271"/>
    </row>
    <row r="348" spans="1:27" s="532" customFormat="1" x14ac:dyDescent="0.2">
      <c r="A348" s="472"/>
      <c r="B348" s="472"/>
      <c r="C348" s="472"/>
      <c r="D348" s="472"/>
      <c r="E348" s="557"/>
      <c r="F348" s="557"/>
      <c r="G348" s="557"/>
      <c r="H348" s="557"/>
      <c r="I348" s="557"/>
      <c r="J348" s="557"/>
      <c r="K348" s="557"/>
      <c r="M348" s="271"/>
      <c r="N348" s="271"/>
      <c r="O348" s="271"/>
      <c r="P348" s="271"/>
      <c r="Q348" s="271"/>
      <c r="R348" s="271"/>
      <c r="S348" s="271"/>
      <c r="T348" s="271"/>
      <c r="U348" s="271"/>
      <c r="V348" s="271"/>
      <c r="W348" s="271"/>
      <c r="X348" s="271"/>
      <c r="Y348" s="271"/>
      <c r="Z348" s="271"/>
      <c r="AA348" s="271"/>
    </row>
    <row r="349" spans="1:27" s="532" customFormat="1" x14ac:dyDescent="0.2">
      <c r="A349" s="472"/>
      <c r="B349" s="472"/>
      <c r="C349" s="472"/>
      <c r="D349" s="472"/>
      <c r="E349" s="557"/>
      <c r="F349" s="557"/>
      <c r="G349" s="557"/>
      <c r="H349" s="557"/>
      <c r="I349" s="557"/>
      <c r="J349" s="557"/>
      <c r="K349" s="557"/>
      <c r="M349" s="271"/>
      <c r="N349" s="271"/>
      <c r="O349" s="271"/>
      <c r="P349" s="271"/>
      <c r="Q349" s="271"/>
      <c r="R349" s="271"/>
      <c r="S349" s="271"/>
      <c r="T349" s="271"/>
      <c r="U349" s="271"/>
      <c r="V349" s="271"/>
      <c r="W349" s="271"/>
      <c r="X349" s="271"/>
      <c r="Y349" s="271"/>
      <c r="Z349" s="271"/>
      <c r="AA349" s="271"/>
    </row>
    <row r="350" spans="1:27" s="532" customFormat="1" x14ac:dyDescent="0.2">
      <c r="A350" s="472"/>
      <c r="B350" s="472"/>
      <c r="C350" s="472"/>
      <c r="D350" s="472"/>
      <c r="E350" s="557"/>
      <c r="F350" s="557"/>
      <c r="G350" s="557"/>
      <c r="H350" s="557"/>
      <c r="I350" s="557"/>
      <c r="J350" s="557"/>
      <c r="K350" s="557"/>
      <c r="M350" s="271"/>
      <c r="N350" s="271"/>
      <c r="O350" s="271"/>
      <c r="P350" s="271"/>
      <c r="Q350" s="271"/>
      <c r="R350" s="271"/>
      <c r="S350" s="271"/>
      <c r="T350" s="271"/>
      <c r="U350" s="271"/>
      <c r="V350" s="271"/>
      <c r="W350" s="271"/>
      <c r="X350" s="271"/>
      <c r="Y350" s="271"/>
      <c r="Z350" s="271"/>
      <c r="AA350" s="271"/>
    </row>
    <row r="351" spans="1:27" s="532" customFormat="1" x14ac:dyDescent="0.2">
      <c r="A351" s="472"/>
      <c r="B351" s="472"/>
      <c r="C351" s="472"/>
      <c r="D351" s="472"/>
      <c r="E351" s="557"/>
      <c r="F351" s="557"/>
      <c r="G351" s="557"/>
      <c r="H351" s="557"/>
      <c r="I351" s="557"/>
      <c r="J351" s="557"/>
      <c r="K351" s="557"/>
      <c r="M351" s="271"/>
      <c r="N351" s="271"/>
      <c r="O351" s="271"/>
      <c r="P351" s="271"/>
      <c r="Q351" s="271"/>
      <c r="R351" s="271"/>
      <c r="S351" s="271"/>
      <c r="T351" s="271"/>
      <c r="U351" s="271"/>
      <c r="V351" s="271"/>
      <c r="W351" s="271"/>
      <c r="X351" s="271"/>
      <c r="Y351" s="271"/>
      <c r="Z351" s="271"/>
      <c r="AA351" s="271"/>
    </row>
    <row r="352" spans="1:27" s="532" customFormat="1" x14ac:dyDescent="0.2">
      <c r="A352" s="472"/>
      <c r="B352" s="472"/>
      <c r="C352" s="472"/>
      <c r="D352" s="472"/>
      <c r="E352" s="557"/>
      <c r="F352" s="557"/>
      <c r="G352" s="557"/>
      <c r="H352" s="557"/>
      <c r="I352" s="557"/>
      <c r="J352" s="557"/>
      <c r="K352" s="557"/>
      <c r="M352" s="271"/>
      <c r="N352" s="271"/>
      <c r="O352" s="271"/>
      <c r="P352" s="271"/>
      <c r="Q352" s="271"/>
      <c r="R352" s="271"/>
      <c r="S352" s="271"/>
      <c r="T352" s="271"/>
      <c r="U352" s="271"/>
      <c r="V352" s="271"/>
      <c r="W352" s="271"/>
      <c r="X352" s="271"/>
      <c r="Y352" s="271"/>
      <c r="Z352" s="271"/>
      <c r="AA352" s="271"/>
    </row>
    <row r="353" spans="1:27" s="532" customFormat="1" x14ac:dyDescent="0.2">
      <c r="A353" s="472"/>
      <c r="B353" s="472"/>
      <c r="C353" s="472"/>
      <c r="D353" s="472"/>
      <c r="E353" s="557"/>
      <c r="F353" s="557"/>
      <c r="G353" s="557"/>
      <c r="H353" s="557"/>
      <c r="I353" s="557"/>
      <c r="J353" s="557"/>
      <c r="K353" s="557"/>
      <c r="M353" s="271"/>
      <c r="N353" s="271"/>
      <c r="O353" s="271"/>
      <c r="P353" s="271"/>
      <c r="Q353" s="271"/>
      <c r="R353" s="271"/>
      <c r="S353" s="271"/>
      <c r="T353" s="271"/>
      <c r="U353" s="271"/>
      <c r="V353" s="271"/>
      <c r="W353" s="271"/>
      <c r="X353" s="271"/>
      <c r="Y353" s="271"/>
      <c r="Z353" s="271"/>
      <c r="AA353" s="271"/>
    </row>
    <row r="354" spans="1:27" s="532" customFormat="1" x14ac:dyDescent="0.2">
      <c r="A354" s="472"/>
      <c r="B354" s="472"/>
      <c r="C354" s="472"/>
      <c r="D354" s="472"/>
      <c r="E354" s="557"/>
      <c r="F354" s="557"/>
      <c r="G354" s="557"/>
      <c r="H354" s="557"/>
      <c r="I354" s="557"/>
      <c r="J354" s="557"/>
      <c r="K354" s="557"/>
      <c r="M354" s="271"/>
      <c r="N354" s="271"/>
      <c r="O354" s="271"/>
      <c r="P354" s="271"/>
      <c r="Q354" s="271"/>
      <c r="R354" s="271"/>
      <c r="S354" s="271"/>
      <c r="T354" s="271"/>
      <c r="U354" s="271"/>
      <c r="V354" s="271"/>
      <c r="W354" s="271"/>
      <c r="X354" s="271"/>
      <c r="Y354" s="271"/>
      <c r="Z354" s="271"/>
      <c r="AA354" s="271"/>
    </row>
    <row r="355" spans="1:27" s="532" customFormat="1" x14ac:dyDescent="0.2">
      <c r="A355" s="472"/>
      <c r="B355" s="472"/>
      <c r="C355" s="472"/>
      <c r="D355" s="472"/>
      <c r="E355" s="557"/>
      <c r="F355" s="557"/>
      <c r="G355" s="557"/>
      <c r="H355" s="557"/>
      <c r="I355" s="557"/>
      <c r="J355" s="557"/>
      <c r="K355" s="557"/>
      <c r="M355" s="271"/>
      <c r="N355" s="271"/>
      <c r="O355" s="271"/>
      <c r="P355" s="271"/>
      <c r="Q355" s="271"/>
      <c r="R355" s="271"/>
      <c r="S355" s="271"/>
      <c r="T355" s="271"/>
      <c r="U355" s="271"/>
      <c r="V355" s="271"/>
      <c r="W355" s="271"/>
      <c r="X355" s="271"/>
      <c r="Y355" s="271"/>
      <c r="Z355" s="271"/>
      <c r="AA355" s="271"/>
    </row>
    <row r="356" spans="1:27" s="532" customFormat="1" x14ac:dyDescent="0.2">
      <c r="A356" s="472"/>
      <c r="B356" s="472"/>
      <c r="C356" s="472"/>
      <c r="D356" s="472"/>
      <c r="E356" s="557"/>
      <c r="F356" s="557"/>
      <c r="G356" s="557"/>
      <c r="H356" s="557"/>
      <c r="I356" s="557"/>
      <c r="J356" s="557"/>
      <c r="K356" s="557"/>
      <c r="M356" s="271"/>
      <c r="N356" s="271"/>
      <c r="O356" s="271"/>
      <c r="P356" s="271"/>
      <c r="Q356" s="271"/>
      <c r="R356" s="271"/>
      <c r="S356" s="271"/>
      <c r="T356" s="271"/>
      <c r="U356" s="271"/>
      <c r="V356" s="271"/>
      <c r="W356" s="271"/>
      <c r="X356" s="271"/>
      <c r="Y356" s="271"/>
      <c r="Z356" s="271"/>
      <c r="AA356" s="271"/>
    </row>
    <row r="357" spans="1:27" s="532" customFormat="1" x14ac:dyDescent="0.2">
      <c r="A357" s="472"/>
      <c r="B357" s="472"/>
      <c r="C357" s="472"/>
      <c r="D357" s="472"/>
      <c r="E357" s="557"/>
      <c r="F357" s="557"/>
      <c r="G357" s="557"/>
      <c r="H357" s="557"/>
      <c r="I357" s="557"/>
      <c r="J357" s="557"/>
      <c r="K357" s="557"/>
      <c r="M357" s="271"/>
      <c r="N357" s="271"/>
      <c r="O357" s="271"/>
      <c r="P357" s="271"/>
      <c r="Q357" s="271"/>
      <c r="R357" s="271"/>
      <c r="S357" s="271"/>
      <c r="T357" s="271"/>
      <c r="U357" s="271"/>
      <c r="V357" s="271"/>
      <c r="W357" s="271"/>
      <c r="X357" s="271"/>
      <c r="Y357" s="271"/>
      <c r="Z357" s="271"/>
      <c r="AA357" s="271"/>
    </row>
    <row r="358" spans="1:27" s="532" customFormat="1" x14ac:dyDescent="0.2">
      <c r="A358" s="472"/>
      <c r="B358" s="472"/>
      <c r="C358" s="472"/>
      <c r="D358" s="472"/>
      <c r="E358" s="557"/>
      <c r="F358" s="557"/>
      <c r="G358" s="557"/>
      <c r="H358" s="557"/>
      <c r="I358" s="557"/>
      <c r="J358" s="557"/>
      <c r="K358" s="557"/>
      <c r="M358" s="271"/>
      <c r="N358" s="271"/>
      <c r="O358" s="271"/>
      <c r="P358" s="271"/>
      <c r="Q358" s="271"/>
      <c r="R358" s="271"/>
      <c r="S358" s="271"/>
      <c r="T358" s="271"/>
      <c r="U358" s="271"/>
      <c r="V358" s="271"/>
      <c r="W358" s="271"/>
      <c r="X358" s="271"/>
      <c r="Y358" s="271"/>
      <c r="Z358" s="271"/>
      <c r="AA358" s="271"/>
    </row>
    <row r="359" spans="1:27" s="532" customFormat="1" x14ac:dyDescent="0.2">
      <c r="A359" s="472"/>
      <c r="B359" s="472"/>
      <c r="C359" s="472"/>
      <c r="D359" s="472"/>
      <c r="E359" s="557"/>
      <c r="F359" s="557"/>
      <c r="G359" s="557"/>
      <c r="H359" s="557"/>
      <c r="I359" s="557"/>
      <c r="J359" s="557"/>
      <c r="K359" s="557"/>
      <c r="M359" s="271"/>
      <c r="N359" s="271"/>
      <c r="O359" s="271"/>
      <c r="P359" s="271"/>
      <c r="Q359" s="271"/>
      <c r="R359" s="271"/>
      <c r="S359" s="271"/>
      <c r="T359" s="271"/>
      <c r="U359" s="271"/>
      <c r="V359" s="271"/>
      <c r="W359" s="271"/>
      <c r="X359" s="271"/>
      <c r="Y359" s="271"/>
      <c r="Z359" s="271"/>
      <c r="AA359" s="271"/>
    </row>
    <row r="360" spans="1:27" s="532" customFormat="1" x14ac:dyDescent="0.2">
      <c r="A360" s="472"/>
      <c r="B360" s="472"/>
      <c r="C360" s="472"/>
      <c r="D360" s="472"/>
      <c r="E360" s="557"/>
      <c r="F360" s="557"/>
      <c r="G360" s="557"/>
      <c r="H360" s="557"/>
      <c r="I360" s="557"/>
      <c r="J360" s="557"/>
      <c r="K360" s="557"/>
      <c r="M360" s="271"/>
      <c r="N360" s="271"/>
      <c r="O360" s="271"/>
      <c r="P360" s="271"/>
      <c r="Q360" s="271"/>
      <c r="R360" s="271"/>
      <c r="S360" s="271"/>
      <c r="T360" s="271"/>
      <c r="U360" s="271"/>
      <c r="V360" s="271"/>
      <c r="W360" s="271"/>
      <c r="X360" s="271"/>
      <c r="Y360" s="271"/>
      <c r="Z360" s="271"/>
      <c r="AA360" s="271"/>
    </row>
    <row r="361" spans="1:27" s="532" customFormat="1" x14ac:dyDescent="0.2">
      <c r="A361" s="472"/>
      <c r="B361" s="472"/>
      <c r="C361" s="472"/>
      <c r="D361" s="472"/>
      <c r="E361" s="557"/>
      <c r="F361" s="557"/>
      <c r="G361" s="557"/>
      <c r="H361" s="557"/>
      <c r="I361" s="557"/>
      <c r="J361" s="557"/>
      <c r="K361" s="557"/>
      <c r="M361" s="271"/>
      <c r="N361" s="271"/>
      <c r="O361" s="271"/>
      <c r="P361" s="271"/>
      <c r="Q361" s="271"/>
      <c r="R361" s="271"/>
      <c r="S361" s="271"/>
      <c r="T361" s="271"/>
      <c r="U361" s="271"/>
      <c r="V361" s="271"/>
      <c r="W361" s="271"/>
      <c r="X361" s="271"/>
      <c r="Y361" s="271"/>
      <c r="Z361" s="271"/>
      <c r="AA361" s="271"/>
    </row>
    <row r="362" spans="1:27" s="532" customFormat="1" x14ac:dyDescent="0.2">
      <c r="A362" s="472"/>
      <c r="B362" s="472"/>
      <c r="C362" s="472"/>
      <c r="D362" s="472"/>
      <c r="E362" s="557"/>
      <c r="F362" s="557"/>
      <c r="G362" s="557"/>
      <c r="H362" s="557"/>
      <c r="I362" s="557"/>
      <c r="J362" s="557"/>
      <c r="K362" s="557"/>
      <c r="M362" s="271"/>
      <c r="N362" s="271"/>
      <c r="O362" s="271"/>
      <c r="P362" s="271"/>
      <c r="Q362" s="271"/>
      <c r="R362" s="271"/>
      <c r="S362" s="271"/>
      <c r="T362" s="271"/>
      <c r="U362" s="271"/>
      <c r="V362" s="271"/>
      <c r="W362" s="271"/>
      <c r="X362" s="271"/>
      <c r="Y362" s="271"/>
      <c r="Z362" s="271"/>
      <c r="AA362" s="271"/>
    </row>
    <row r="363" spans="1:27" s="532" customFormat="1" x14ac:dyDescent="0.2">
      <c r="A363" s="472"/>
      <c r="B363" s="472"/>
      <c r="C363" s="472"/>
      <c r="D363" s="472"/>
      <c r="E363" s="557"/>
      <c r="F363" s="557"/>
      <c r="G363" s="557"/>
      <c r="H363" s="557"/>
      <c r="I363" s="557"/>
      <c r="J363" s="557"/>
      <c r="K363" s="557"/>
      <c r="M363" s="271"/>
      <c r="N363" s="271"/>
      <c r="O363" s="271"/>
      <c r="P363" s="271"/>
      <c r="Q363" s="271"/>
      <c r="R363" s="271"/>
      <c r="S363" s="271"/>
      <c r="T363" s="271"/>
      <c r="U363" s="271"/>
      <c r="V363" s="271"/>
      <c r="W363" s="271"/>
      <c r="X363" s="271"/>
      <c r="Y363" s="271"/>
      <c r="Z363" s="271"/>
      <c r="AA363" s="271"/>
    </row>
    <row r="364" spans="1:27" s="532" customFormat="1" x14ac:dyDescent="0.2">
      <c r="A364" s="472"/>
      <c r="B364" s="472"/>
      <c r="C364" s="472"/>
      <c r="D364" s="472"/>
      <c r="E364" s="557"/>
      <c r="F364" s="557"/>
      <c r="G364" s="557"/>
      <c r="H364" s="557"/>
      <c r="I364" s="557"/>
      <c r="J364" s="557"/>
      <c r="K364" s="557"/>
      <c r="M364" s="271"/>
      <c r="N364" s="271"/>
      <c r="O364" s="271"/>
      <c r="P364" s="271"/>
      <c r="Q364" s="271"/>
      <c r="R364" s="271"/>
      <c r="S364" s="271"/>
      <c r="T364" s="271"/>
      <c r="U364" s="271"/>
      <c r="V364" s="271"/>
      <c r="W364" s="271"/>
      <c r="X364" s="271"/>
      <c r="Y364" s="271"/>
      <c r="Z364" s="271"/>
      <c r="AA364" s="271"/>
    </row>
    <row r="365" spans="1:27" s="532" customFormat="1" x14ac:dyDescent="0.2">
      <c r="A365" s="472"/>
      <c r="B365" s="472"/>
      <c r="C365" s="472"/>
      <c r="D365" s="472"/>
      <c r="E365" s="557"/>
      <c r="F365" s="557"/>
      <c r="G365" s="557"/>
      <c r="H365" s="557"/>
      <c r="I365" s="557"/>
      <c r="J365" s="557"/>
      <c r="K365" s="557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  <c r="AA365" s="271"/>
    </row>
    <row r="366" spans="1:27" s="532" customFormat="1" x14ac:dyDescent="0.2">
      <c r="A366" s="472"/>
      <c r="B366" s="472"/>
      <c r="C366" s="472"/>
      <c r="D366" s="472"/>
      <c r="E366" s="557"/>
      <c r="F366" s="557"/>
      <c r="G366" s="557"/>
      <c r="H366" s="557"/>
      <c r="I366" s="557"/>
      <c r="J366" s="557"/>
      <c r="K366" s="557"/>
      <c r="M366" s="271"/>
      <c r="N366" s="271"/>
      <c r="O366" s="271"/>
      <c r="P366" s="271"/>
      <c r="Q366" s="271"/>
      <c r="R366" s="271"/>
      <c r="S366" s="271"/>
      <c r="T366" s="271"/>
      <c r="U366" s="271"/>
      <c r="V366" s="271"/>
      <c r="W366" s="271"/>
      <c r="X366" s="271"/>
      <c r="Y366" s="271"/>
      <c r="Z366" s="271"/>
      <c r="AA366" s="271"/>
    </row>
    <row r="367" spans="1:27" s="532" customFormat="1" x14ac:dyDescent="0.2">
      <c r="A367" s="472"/>
      <c r="B367" s="472"/>
      <c r="C367" s="472"/>
      <c r="D367" s="472"/>
      <c r="E367" s="557"/>
      <c r="F367" s="557"/>
      <c r="G367" s="557"/>
      <c r="H367" s="557"/>
      <c r="I367" s="557"/>
      <c r="J367" s="557"/>
      <c r="K367" s="557"/>
      <c r="M367" s="271"/>
      <c r="N367" s="271"/>
      <c r="O367" s="271"/>
      <c r="P367" s="271"/>
      <c r="Q367" s="271"/>
      <c r="R367" s="271"/>
      <c r="S367" s="271"/>
      <c r="T367" s="271"/>
      <c r="U367" s="271"/>
      <c r="V367" s="271"/>
      <c r="W367" s="271"/>
      <c r="X367" s="271"/>
      <c r="Y367" s="271"/>
      <c r="Z367" s="271"/>
      <c r="AA367" s="271"/>
    </row>
    <row r="368" spans="1:27" s="532" customFormat="1" x14ac:dyDescent="0.2">
      <c r="A368" s="472"/>
      <c r="B368" s="472"/>
      <c r="C368" s="472"/>
      <c r="D368" s="472"/>
      <c r="E368" s="557"/>
      <c r="F368" s="557"/>
      <c r="G368" s="557"/>
      <c r="H368" s="557"/>
      <c r="I368" s="557"/>
      <c r="J368" s="557"/>
      <c r="K368" s="557"/>
      <c r="M368" s="271"/>
      <c r="N368" s="271"/>
      <c r="O368" s="271"/>
      <c r="P368" s="271"/>
      <c r="Q368" s="271"/>
      <c r="R368" s="271"/>
      <c r="S368" s="271"/>
      <c r="T368" s="271"/>
      <c r="U368" s="271"/>
      <c r="V368" s="271"/>
      <c r="W368" s="271"/>
      <c r="X368" s="271"/>
      <c r="Y368" s="271"/>
      <c r="Z368" s="271"/>
      <c r="AA368" s="271"/>
    </row>
    <row r="369" spans="1:27" s="532" customFormat="1" x14ac:dyDescent="0.2">
      <c r="A369" s="472"/>
      <c r="B369" s="472"/>
      <c r="C369" s="472"/>
      <c r="D369" s="472"/>
      <c r="E369" s="557"/>
      <c r="F369" s="557"/>
      <c r="G369" s="557"/>
      <c r="H369" s="557"/>
      <c r="I369" s="557"/>
      <c r="J369" s="557"/>
      <c r="K369" s="557"/>
      <c r="M369" s="271"/>
      <c r="N369" s="271"/>
      <c r="O369" s="271"/>
      <c r="P369" s="271"/>
      <c r="Q369" s="271"/>
      <c r="R369" s="271"/>
      <c r="S369" s="271"/>
      <c r="T369" s="271"/>
      <c r="U369" s="271"/>
      <c r="V369" s="271"/>
      <c r="W369" s="271"/>
      <c r="X369" s="271"/>
      <c r="Y369" s="271"/>
      <c r="Z369" s="271"/>
      <c r="AA369" s="271"/>
    </row>
    <row r="370" spans="1:27" s="532" customFormat="1" x14ac:dyDescent="0.2">
      <c r="A370" s="472"/>
      <c r="B370" s="472"/>
      <c r="C370" s="472"/>
      <c r="D370" s="472"/>
      <c r="E370" s="557"/>
      <c r="F370" s="557"/>
      <c r="G370" s="557"/>
      <c r="H370" s="557"/>
      <c r="I370" s="557"/>
      <c r="J370" s="557"/>
      <c r="K370" s="557"/>
      <c r="M370" s="271"/>
      <c r="N370" s="271"/>
      <c r="O370" s="271"/>
      <c r="P370" s="271"/>
      <c r="Q370" s="271"/>
      <c r="R370" s="271"/>
      <c r="S370" s="271"/>
      <c r="T370" s="271"/>
      <c r="U370" s="271"/>
      <c r="V370" s="271"/>
      <c r="W370" s="271"/>
      <c r="X370" s="271"/>
      <c r="Y370" s="271"/>
      <c r="Z370" s="271"/>
      <c r="AA370" s="271"/>
    </row>
    <row r="371" spans="1:27" s="532" customFormat="1" x14ac:dyDescent="0.2">
      <c r="A371" s="472"/>
      <c r="B371" s="472"/>
      <c r="C371" s="472"/>
      <c r="D371" s="472"/>
      <c r="E371" s="557"/>
      <c r="F371" s="557"/>
      <c r="G371" s="557"/>
      <c r="H371" s="557"/>
      <c r="I371" s="557"/>
      <c r="J371" s="557"/>
      <c r="K371" s="557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  <c r="AA371" s="271"/>
    </row>
    <row r="372" spans="1:27" s="532" customFormat="1" x14ac:dyDescent="0.2">
      <c r="A372" s="472"/>
      <c r="B372" s="472"/>
      <c r="C372" s="472"/>
      <c r="D372" s="472"/>
      <c r="E372" s="557"/>
      <c r="F372" s="557"/>
      <c r="G372" s="557"/>
      <c r="H372" s="557"/>
      <c r="I372" s="557"/>
      <c r="J372" s="557"/>
      <c r="K372" s="557"/>
      <c r="M372" s="271"/>
      <c r="N372" s="271"/>
      <c r="O372" s="271"/>
      <c r="P372" s="271"/>
      <c r="Q372" s="271"/>
      <c r="R372" s="271"/>
      <c r="S372" s="271"/>
      <c r="T372" s="271"/>
      <c r="U372" s="271"/>
      <c r="V372" s="271"/>
      <c r="W372" s="271"/>
      <c r="X372" s="271"/>
      <c r="Y372" s="271"/>
      <c r="Z372" s="271"/>
      <c r="AA372" s="271"/>
    </row>
    <row r="373" spans="1:27" s="532" customFormat="1" x14ac:dyDescent="0.2">
      <c r="A373" s="472"/>
      <c r="B373" s="472"/>
      <c r="C373" s="472"/>
      <c r="D373" s="472"/>
      <c r="E373" s="557"/>
      <c r="F373" s="557"/>
      <c r="G373" s="557"/>
      <c r="H373" s="557"/>
      <c r="I373" s="557"/>
      <c r="J373" s="557"/>
      <c r="K373" s="557"/>
      <c r="M373" s="271"/>
      <c r="N373" s="271"/>
      <c r="O373" s="271"/>
      <c r="P373" s="271"/>
      <c r="Q373" s="271"/>
      <c r="R373" s="271"/>
      <c r="S373" s="271"/>
      <c r="T373" s="271"/>
      <c r="U373" s="271"/>
      <c r="V373" s="271"/>
      <c r="W373" s="271"/>
      <c r="X373" s="271"/>
      <c r="Y373" s="271"/>
      <c r="Z373" s="271"/>
      <c r="AA373" s="271"/>
    </row>
    <row r="374" spans="1:27" s="532" customFormat="1" x14ac:dyDescent="0.2">
      <c r="A374" s="472"/>
      <c r="B374" s="472"/>
      <c r="C374" s="472"/>
      <c r="D374" s="472"/>
      <c r="E374" s="557"/>
      <c r="F374" s="557"/>
      <c r="G374" s="557"/>
      <c r="H374" s="557"/>
      <c r="I374" s="557"/>
      <c r="J374" s="557"/>
      <c r="K374" s="557"/>
      <c r="M374" s="271"/>
      <c r="N374" s="271"/>
      <c r="O374" s="271"/>
      <c r="P374" s="271"/>
      <c r="Q374" s="271"/>
      <c r="R374" s="271"/>
      <c r="S374" s="271"/>
      <c r="T374" s="271"/>
      <c r="U374" s="271"/>
      <c r="V374" s="271"/>
      <c r="W374" s="271"/>
      <c r="X374" s="271"/>
      <c r="Y374" s="271"/>
      <c r="Z374" s="271"/>
      <c r="AA374" s="271"/>
    </row>
    <row r="375" spans="1:27" s="532" customFormat="1" x14ac:dyDescent="0.2">
      <c r="A375" s="472"/>
      <c r="B375" s="472"/>
      <c r="C375" s="472"/>
      <c r="D375" s="472"/>
      <c r="E375" s="557"/>
      <c r="F375" s="557"/>
      <c r="G375" s="557"/>
      <c r="H375" s="557"/>
      <c r="I375" s="557"/>
      <c r="J375" s="557"/>
      <c r="K375" s="557"/>
      <c r="M375" s="271"/>
      <c r="N375" s="271"/>
      <c r="O375" s="271"/>
      <c r="P375" s="271"/>
      <c r="Q375" s="271"/>
      <c r="R375" s="271"/>
      <c r="S375" s="271"/>
      <c r="T375" s="271"/>
      <c r="U375" s="271"/>
      <c r="V375" s="271"/>
      <c r="W375" s="271"/>
      <c r="X375" s="271"/>
      <c r="Y375" s="271"/>
      <c r="Z375" s="271"/>
      <c r="AA375" s="271"/>
    </row>
    <row r="376" spans="1:27" s="532" customFormat="1" x14ac:dyDescent="0.2">
      <c r="A376" s="472"/>
      <c r="B376" s="472"/>
      <c r="C376" s="472"/>
      <c r="D376" s="472"/>
      <c r="E376" s="557"/>
      <c r="F376" s="557"/>
      <c r="G376" s="557"/>
      <c r="H376" s="557"/>
      <c r="I376" s="557"/>
      <c r="J376" s="557"/>
      <c r="K376" s="557"/>
      <c r="M376" s="271"/>
      <c r="N376" s="271"/>
      <c r="O376" s="271"/>
      <c r="P376" s="271"/>
      <c r="Q376" s="271"/>
      <c r="R376" s="271"/>
      <c r="S376" s="271"/>
      <c r="T376" s="271"/>
      <c r="U376" s="271"/>
      <c r="V376" s="271"/>
      <c r="W376" s="271"/>
      <c r="X376" s="271"/>
      <c r="Y376" s="271"/>
      <c r="Z376" s="271"/>
      <c r="AA376" s="271"/>
    </row>
    <row r="377" spans="1:27" s="532" customFormat="1" x14ac:dyDescent="0.2">
      <c r="A377" s="472"/>
      <c r="B377" s="472"/>
      <c r="C377" s="472"/>
      <c r="D377" s="472"/>
      <c r="E377" s="557"/>
      <c r="F377" s="557"/>
      <c r="G377" s="557"/>
      <c r="H377" s="557"/>
      <c r="I377" s="557"/>
      <c r="J377" s="557"/>
      <c r="K377" s="557"/>
      <c r="M377" s="271"/>
      <c r="N377" s="271"/>
      <c r="O377" s="271"/>
      <c r="P377" s="271"/>
      <c r="Q377" s="271"/>
      <c r="R377" s="271"/>
      <c r="S377" s="271"/>
      <c r="T377" s="271"/>
      <c r="U377" s="271"/>
      <c r="V377" s="271"/>
      <c r="W377" s="271"/>
      <c r="X377" s="271"/>
      <c r="Y377" s="271"/>
      <c r="Z377" s="271"/>
      <c r="AA377" s="271"/>
    </row>
    <row r="378" spans="1:27" s="532" customFormat="1" x14ac:dyDescent="0.2">
      <c r="A378" s="472"/>
      <c r="B378" s="472"/>
      <c r="C378" s="472"/>
      <c r="D378" s="472"/>
      <c r="E378" s="557"/>
      <c r="F378" s="557"/>
      <c r="G378" s="557"/>
      <c r="H378" s="557"/>
      <c r="I378" s="557"/>
      <c r="J378" s="557"/>
      <c r="K378" s="557"/>
      <c r="M378" s="271"/>
      <c r="N378" s="271"/>
      <c r="O378" s="271"/>
      <c r="P378" s="271"/>
      <c r="Q378" s="271"/>
      <c r="R378" s="271"/>
      <c r="S378" s="271"/>
      <c r="T378" s="271"/>
      <c r="U378" s="271"/>
      <c r="V378" s="271"/>
      <c r="W378" s="271"/>
      <c r="X378" s="271"/>
      <c r="Y378" s="271"/>
      <c r="Z378" s="271"/>
      <c r="AA378" s="271"/>
    </row>
    <row r="379" spans="1:27" s="532" customFormat="1" x14ac:dyDescent="0.2">
      <c r="A379" s="472"/>
      <c r="B379" s="472"/>
      <c r="C379" s="472"/>
      <c r="D379" s="472"/>
      <c r="E379" s="557"/>
      <c r="F379" s="557"/>
      <c r="G379" s="557"/>
      <c r="H379" s="557"/>
      <c r="I379" s="557"/>
      <c r="J379" s="557"/>
      <c r="K379" s="557"/>
      <c r="M379" s="271"/>
      <c r="N379" s="271"/>
      <c r="O379" s="271"/>
      <c r="P379" s="271"/>
      <c r="Q379" s="271"/>
      <c r="R379" s="271"/>
      <c r="S379" s="271"/>
      <c r="T379" s="271"/>
      <c r="U379" s="271"/>
      <c r="V379" s="271"/>
      <c r="W379" s="271"/>
      <c r="X379" s="271"/>
      <c r="Y379" s="271"/>
      <c r="Z379" s="271"/>
      <c r="AA379" s="271"/>
    </row>
    <row r="380" spans="1:27" s="532" customFormat="1" x14ac:dyDescent="0.2">
      <c r="A380" s="472"/>
      <c r="B380" s="472"/>
      <c r="C380" s="472"/>
      <c r="D380" s="472"/>
      <c r="E380" s="557"/>
      <c r="F380" s="557"/>
      <c r="G380" s="557"/>
      <c r="H380" s="557"/>
      <c r="I380" s="557"/>
      <c r="J380" s="557"/>
      <c r="K380" s="557"/>
      <c r="M380" s="271"/>
      <c r="N380" s="271"/>
      <c r="O380" s="271"/>
      <c r="P380" s="271"/>
      <c r="Q380" s="271"/>
      <c r="R380" s="271"/>
      <c r="S380" s="271"/>
      <c r="T380" s="271"/>
      <c r="U380" s="271"/>
      <c r="V380" s="271"/>
      <c r="W380" s="271"/>
      <c r="X380" s="271"/>
      <c r="Y380" s="271"/>
      <c r="Z380" s="271"/>
      <c r="AA380" s="271"/>
    </row>
    <row r="381" spans="1:27" s="532" customFormat="1" x14ac:dyDescent="0.2">
      <c r="A381" s="472"/>
      <c r="B381" s="472"/>
      <c r="C381" s="472"/>
      <c r="D381" s="472"/>
      <c r="E381" s="557"/>
      <c r="F381" s="557"/>
      <c r="G381" s="557"/>
      <c r="H381" s="557"/>
      <c r="I381" s="557"/>
      <c r="J381" s="557"/>
      <c r="K381" s="557"/>
      <c r="M381" s="271"/>
      <c r="N381" s="271"/>
      <c r="O381" s="271"/>
      <c r="P381" s="271"/>
      <c r="Q381" s="271"/>
      <c r="R381" s="271"/>
      <c r="S381" s="271"/>
      <c r="T381" s="271"/>
      <c r="U381" s="271"/>
      <c r="V381" s="271"/>
      <c r="W381" s="271"/>
      <c r="X381" s="271"/>
      <c r="Y381" s="271"/>
      <c r="Z381" s="271"/>
      <c r="AA381" s="271"/>
    </row>
    <row r="382" spans="1:27" s="532" customFormat="1" x14ac:dyDescent="0.2">
      <c r="A382" s="472"/>
      <c r="B382" s="472"/>
      <c r="C382" s="472"/>
      <c r="D382" s="472"/>
      <c r="E382" s="557"/>
      <c r="F382" s="557"/>
      <c r="G382" s="557"/>
      <c r="H382" s="557"/>
      <c r="I382" s="557"/>
      <c r="J382" s="557"/>
      <c r="K382" s="557"/>
      <c r="M382" s="271"/>
      <c r="N382" s="271"/>
      <c r="O382" s="271"/>
      <c r="P382" s="271"/>
      <c r="Q382" s="271"/>
      <c r="R382" s="271"/>
      <c r="S382" s="271"/>
      <c r="T382" s="271"/>
      <c r="U382" s="271"/>
      <c r="V382" s="271"/>
      <c r="W382" s="271"/>
      <c r="X382" s="271"/>
      <c r="Y382" s="271"/>
      <c r="Z382" s="271"/>
      <c r="AA382" s="271"/>
    </row>
    <row r="383" spans="1:27" s="532" customFormat="1" x14ac:dyDescent="0.2">
      <c r="A383" s="472"/>
      <c r="B383" s="472"/>
      <c r="C383" s="472"/>
      <c r="D383" s="472"/>
      <c r="E383" s="557"/>
      <c r="F383" s="557"/>
      <c r="G383" s="557"/>
      <c r="H383" s="557"/>
      <c r="I383" s="557"/>
      <c r="J383" s="557"/>
      <c r="K383" s="557"/>
      <c r="M383" s="271"/>
      <c r="N383" s="271"/>
      <c r="O383" s="271"/>
      <c r="P383" s="271"/>
      <c r="Q383" s="271"/>
      <c r="R383" s="271"/>
      <c r="S383" s="271"/>
      <c r="T383" s="271"/>
      <c r="U383" s="271"/>
      <c r="V383" s="271"/>
      <c r="W383" s="271"/>
      <c r="X383" s="271"/>
      <c r="Y383" s="271"/>
      <c r="Z383" s="271"/>
      <c r="AA383" s="271"/>
    </row>
    <row r="384" spans="1:27" s="532" customFormat="1" x14ac:dyDescent="0.2">
      <c r="A384" s="472"/>
      <c r="B384" s="472"/>
      <c r="C384" s="472"/>
      <c r="D384" s="472"/>
      <c r="E384" s="557"/>
      <c r="F384" s="557"/>
      <c r="G384" s="557"/>
      <c r="H384" s="557"/>
      <c r="I384" s="557"/>
      <c r="J384" s="557"/>
      <c r="K384" s="557"/>
      <c r="M384" s="271"/>
      <c r="N384" s="271"/>
      <c r="O384" s="271"/>
      <c r="P384" s="271"/>
      <c r="Q384" s="271"/>
      <c r="R384" s="271"/>
      <c r="S384" s="271"/>
      <c r="T384" s="271"/>
      <c r="U384" s="271"/>
      <c r="V384" s="271"/>
      <c r="W384" s="271"/>
      <c r="X384" s="271"/>
      <c r="Y384" s="271"/>
      <c r="Z384" s="271"/>
      <c r="AA384" s="271"/>
    </row>
    <row r="385" spans="1:27" s="532" customFormat="1" x14ac:dyDescent="0.2">
      <c r="A385" s="472"/>
      <c r="B385" s="472"/>
      <c r="C385" s="472"/>
      <c r="D385" s="472"/>
      <c r="E385" s="557"/>
      <c r="F385" s="557"/>
      <c r="G385" s="557"/>
      <c r="H385" s="557"/>
      <c r="I385" s="557"/>
      <c r="J385" s="557"/>
      <c r="K385" s="557"/>
      <c r="M385" s="271"/>
      <c r="N385" s="271"/>
      <c r="O385" s="271"/>
      <c r="P385" s="271"/>
      <c r="Q385" s="271"/>
      <c r="R385" s="271"/>
      <c r="S385" s="271"/>
      <c r="T385" s="271"/>
      <c r="U385" s="271"/>
      <c r="V385" s="271"/>
      <c r="W385" s="271"/>
      <c r="X385" s="271"/>
      <c r="Y385" s="271"/>
      <c r="Z385" s="271"/>
      <c r="AA385" s="271"/>
    </row>
    <row r="386" spans="1:27" s="532" customFormat="1" x14ac:dyDescent="0.2">
      <c r="A386" s="472"/>
      <c r="B386" s="472"/>
      <c r="C386" s="472"/>
      <c r="D386" s="472"/>
      <c r="E386" s="557"/>
      <c r="F386" s="557"/>
      <c r="G386" s="557"/>
      <c r="H386" s="557"/>
      <c r="I386" s="557"/>
      <c r="J386" s="557"/>
      <c r="K386" s="557"/>
      <c r="M386" s="271"/>
      <c r="N386" s="271"/>
      <c r="O386" s="271"/>
      <c r="P386" s="271"/>
      <c r="Q386" s="271"/>
      <c r="R386" s="271"/>
      <c r="S386" s="271"/>
      <c r="T386" s="271"/>
      <c r="U386" s="271"/>
      <c r="V386" s="271"/>
      <c r="W386" s="271"/>
      <c r="X386" s="271"/>
      <c r="Y386" s="271"/>
      <c r="Z386" s="271"/>
      <c r="AA386" s="271"/>
    </row>
    <row r="387" spans="1:27" s="532" customFormat="1" x14ac:dyDescent="0.2">
      <c r="A387" s="472"/>
      <c r="B387" s="472"/>
      <c r="C387" s="472"/>
      <c r="D387" s="472"/>
      <c r="E387" s="557"/>
      <c r="F387" s="557"/>
      <c r="G387" s="557"/>
      <c r="H387" s="557"/>
      <c r="I387" s="557"/>
      <c r="J387" s="557"/>
      <c r="K387" s="557"/>
      <c r="M387" s="271"/>
      <c r="N387" s="271"/>
      <c r="O387" s="271"/>
      <c r="P387" s="271"/>
      <c r="Q387" s="271"/>
      <c r="R387" s="271"/>
      <c r="S387" s="271"/>
      <c r="T387" s="271"/>
      <c r="U387" s="271"/>
      <c r="V387" s="271"/>
      <c r="W387" s="271"/>
      <c r="X387" s="271"/>
      <c r="Y387" s="271"/>
      <c r="Z387" s="271"/>
      <c r="AA387" s="271"/>
    </row>
    <row r="388" spans="1:27" s="532" customFormat="1" x14ac:dyDescent="0.2">
      <c r="A388" s="472"/>
      <c r="B388" s="472"/>
      <c r="C388" s="472"/>
      <c r="D388" s="472"/>
      <c r="E388" s="557"/>
      <c r="F388" s="557"/>
      <c r="G388" s="557"/>
      <c r="H388" s="557"/>
      <c r="I388" s="557"/>
      <c r="J388" s="557"/>
      <c r="K388" s="557"/>
      <c r="M388" s="271"/>
      <c r="N388" s="271"/>
      <c r="O388" s="271"/>
      <c r="P388" s="271"/>
      <c r="Q388" s="271"/>
      <c r="R388" s="271"/>
      <c r="S388" s="271"/>
      <c r="T388" s="271"/>
      <c r="U388" s="271"/>
      <c r="V388" s="271"/>
      <c r="W388" s="271"/>
      <c r="X388" s="271"/>
      <c r="Y388" s="271"/>
      <c r="Z388" s="271"/>
      <c r="AA388" s="271"/>
    </row>
    <row r="389" spans="1:27" s="532" customFormat="1" x14ac:dyDescent="0.2">
      <c r="A389" s="472"/>
      <c r="B389" s="472"/>
      <c r="C389" s="472"/>
      <c r="D389" s="472"/>
      <c r="E389" s="557"/>
      <c r="F389" s="557"/>
      <c r="G389" s="557"/>
      <c r="H389" s="557"/>
      <c r="I389" s="557"/>
      <c r="J389" s="557"/>
      <c r="K389" s="557"/>
      <c r="M389" s="271"/>
      <c r="N389" s="271"/>
      <c r="O389" s="271"/>
      <c r="P389" s="271"/>
      <c r="Q389" s="271"/>
      <c r="R389" s="271"/>
      <c r="S389" s="271"/>
      <c r="T389" s="271"/>
      <c r="U389" s="271"/>
      <c r="V389" s="271"/>
      <c r="W389" s="271"/>
      <c r="X389" s="271"/>
      <c r="Y389" s="271"/>
      <c r="Z389" s="271"/>
      <c r="AA389" s="271"/>
    </row>
    <row r="390" spans="1:27" s="532" customFormat="1" x14ac:dyDescent="0.2">
      <c r="A390" s="472"/>
      <c r="B390" s="472"/>
      <c r="C390" s="472"/>
      <c r="D390" s="472"/>
      <c r="E390" s="557"/>
      <c r="F390" s="557"/>
      <c r="G390" s="557"/>
      <c r="H390" s="557"/>
      <c r="I390" s="557"/>
      <c r="J390" s="557"/>
      <c r="K390" s="557"/>
      <c r="M390" s="271"/>
      <c r="N390" s="271"/>
      <c r="O390" s="271"/>
      <c r="P390" s="271"/>
      <c r="Q390" s="271"/>
      <c r="R390" s="271"/>
      <c r="S390" s="271"/>
      <c r="T390" s="271"/>
      <c r="U390" s="271"/>
      <c r="V390" s="271"/>
      <c r="W390" s="271"/>
      <c r="X390" s="271"/>
      <c r="Y390" s="271"/>
      <c r="Z390" s="271"/>
      <c r="AA390" s="271"/>
    </row>
    <row r="391" spans="1:27" s="532" customFormat="1" x14ac:dyDescent="0.2">
      <c r="A391" s="472"/>
      <c r="B391" s="472"/>
      <c r="C391" s="472"/>
      <c r="D391" s="472"/>
      <c r="E391" s="557"/>
      <c r="F391" s="557"/>
      <c r="G391" s="557"/>
      <c r="H391" s="557"/>
      <c r="I391" s="557"/>
      <c r="J391" s="557"/>
      <c r="K391" s="557"/>
      <c r="M391" s="271"/>
      <c r="N391" s="271"/>
      <c r="O391" s="271"/>
      <c r="P391" s="271"/>
      <c r="Q391" s="271"/>
      <c r="R391" s="271"/>
      <c r="S391" s="271"/>
      <c r="T391" s="271"/>
      <c r="U391" s="271"/>
      <c r="V391" s="271"/>
      <c r="W391" s="271"/>
      <c r="X391" s="271"/>
      <c r="Y391" s="271"/>
      <c r="Z391" s="271"/>
      <c r="AA391" s="271"/>
    </row>
    <row r="392" spans="1:27" s="532" customFormat="1" x14ac:dyDescent="0.2">
      <c r="A392" s="472"/>
      <c r="B392" s="472"/>
      <c r="C392" s="472"/>
      <c r="D392" s="472"/>
      <c r="E392" s="557"/>
      <c r="F392" s="557"/>
      <c r="G392" s="557"/>
      <c r="H392" s="557"/>
      <c r="I392" s="557"/>
      <c r="J392" s="557"/>
      <c r="K392" s="557"/>
      <c r="M392" s="271"/>
      <c r="N392" s="271"/>
      <c r="O392" s="271"/>
      <c r="P392" s="271"/>
      <c r="Q392" s="271"/>
      <c r="R392" s="271"/>
      <c r="S392" s="271"/>
      <c r="T392" s="271"/>
      <c r="U392" s="271"/>
      <c r="V392" s="271"/>
      <c r="W392" s="271"/>
      <c r="X392" s="271"/>
      <c r="Y392" s="271"/>
      <c r="Z392" s="271"/>
      <c r="AA392" s="271"/>
    </row>
    <row r="393" spans="1:27" s="532" customFormat="1" x14ac:dyDescent="0.2">
      <c r="A393" s="472"/>
      <c r="B393" s="472"/>
      <c r="C393" s="472"/>
      <c r="D393" s="472"/>
      <c r="E393" s="557"/>
      <c r="F393" s="557"/>
      <c r="G393" s="557"/>
      <c r="H393" s="557"/>
      <c r="I393" s="557"/>
      <c r="J393" s="557"/>
      <c r="K393" s="557"/>
      <c r="M393" s="271"/>
      <c r="N393" s="271"/>
      <c r="O393" s="271"/>
      <c r="P393" s="271"/>
      <c r="Q393" s="271"/>
      <c r="R393" s="271"/>
      <c r="S393" s="271"/>
      <c r="T393" s="271"/>
      <c r="U393" s="271"/>
      <c r="V393" s="271"/>
      <c r="W393" s="271"/>
      <c r="X393" s="271"/>
      <c r="Y393" s="271"/>
      <c r="Z393" s="271"/>
      <c r="AA393" s="271"/>
    </row>
    <row r="394" spans="1:27" s="532" customFormat="1" x14ac:dyDescent="0.2">
      <c r="A394" s="472"/>
      <c r="B394" s="472"/>
      <c r="C394" s="472"/>
      <c r="D394" s="472"/>
      <c r="E394" s="557"/>
      <c r="F394" s="557"/>
      <c r="G394" s="557"/>
      <c r="H394" s="557"/>
      <c r="I394" s="557"/>
      <c r="J394" s="557"/>
      <c r="K394" s="557"/>
      <c r="M394" s="271"/>
      <c r="N394" s="271"/>
      <c r="O394" s="271"/>
      <c r="P394" s="271"/>
      <c r="Q394" s="271"/>
      <c r="R394" s="271"/>
      <c r="S394" s="271"/>
      <c r="T394" s="271"/>
      <c r="U394" s="271"/>
      <c r="V394" s="271"/>
      <c r="W394" s="271"/>
      <c r="X394" s="271"/>
      <c r="Y394" s="271"/>
      <c r="Z394" s="271"/>
      <c r="AA394" s="271"/>
    </row>
    <row r="395" spans="1:27" s="532" customFormat="1" x14ac:dyDescent="0.2">
      <c r="A395" s="472"/>
      <c r="B395" s="472"/>
      <c r="C395" s="472"/>
      <c r="D395" s="472"/>
      <c r="E395" s="557"/>
      <c r="F395" s="557"/>
      <c r="G395" s="557"/>
      <c r="H395" s="557"/>
      <c r="I395" s="557"/>
      <c r="J395" s="557"/>
      <c r="K395" s="557"/>
      <c r="M395" s="271"/>
      <c r="N395" s="271"/>
      <c r="O395" s="271"/>
      <c r="P395" s="271"/>
      <c r="Q395" s="271"/>
      <c r="R395" s="271"/>
      <c r="S395" s="271"/>
      <c r="T395" s="271"/>
      <c r="U395" s="271"/>
      <c r="V395" s="271"/>
      <c r="W395" s="271"/>
      <c r="X395" s="271"/>
      <c r="Y395" s="271"/>
      <c r="Z395" s="271"/>
      <c r="AA395" s="271"/>
    </row>
    <row r="396" spans="1:27" s="532" customFormat="1" x14ac:dyDescent="0.2">
      <c r="A396" s="472"/>
      <c r="B396" s="472"/>
      <c r="C396" s="472"/>
      <c r="D396" s="472"/>
      <c r="E396" s="557"/>
      <c r="F396" s="557"/>
      <c r="G396" s="557"/>
      <c r="H396" s="557"/>
      <c r="I396" s="557"/>
      <c r="J396" s="557"/>
      <c r="K396" s="557"/>
      <c r="M396" s="271"/>
      <c r="N396" s="271"/>
      <c r="O396" s="271"/>
      <c r="P396" s="271"/>
      <c r="Q396" s="271"/>
      <c r="R396" s="271"/>
      <c r="S396" s="271"/>
      <c r="T396" s="271"/>
      <c r="U396" s="271"/>
      <c r="V396" s="271"/>
      <c r="W396" s="271"/>
      <c r="X396" s="271"/>
      <c r="Y396" s="271"/>
      <c r="Z396" s="271"/>
      <c r="AA396" s="271"/>
    </row>
    <row r="397" spans="1:27" s="532" customFormat="1" x14ac:dyDescent="0.2">
      <c r="A397" s="472"/>
      <c r="B397" s="472"/>
      <c r="C397" s="472"/>
      <c r="D397" s="472"/>
      <c r="E397" s="557"/>
      <c r="F397" s="557"/>
      <c r="G397" s="557"/>
      <c r="H397" s="557"/>
      <c r="I397" s="557"/>
      <c r="J397" s="557"/>
      <c r="K397" s="557"/>
      <c r="M397" s="271"/>
      <c r="N397" s="271"/>
      <c r="O397" s="271"/>
      <c r="P397" s="271"/>
      <c r="Q397" s="271"/>
      <c r="R397" s="271"/>
      <c r="S397" s="271"/>
      <c r="T397" s="271"/>
      <c r="U397" s="271"/>
      <c r="V397" s="271"/>
      <c r="W397" s="271"/>
      <c r="X397" s="271"/>
      <c r="Y397" s="271"/>
      <c r="Z397" s="271"/>
      <c r="AA397" s="271"/>
    </row>
    <row r="398" spans="1:27" s="532" customFormat="1" x14ac:dyDescent="0.2">
      <c r="A398" s="472"/>
      <c r="B398" s="472"/>
      <c r="C398" s="472"/>
      <c r="D398" s="472"/>
      <c r="E398" s="557"/>
      <c r="F398" s="557"/>
      <c r="G398" s="557"/>
      <c r="H398" s="557"/>
      <c r="I398" s="557"/>
      <c r="J398" s="557"/>
      <c r="K398" s="557"/>
      <c r="M398" s="271"/>
      <c r="N398" s="271"/>
      <c r="O398" s="271"/>
      <c r="P398" s="271"/>
      <c r="Q398" s="271"/>
      <c r="R398" s="271"/>
      <c r="S398" s="271"/>
      <c r="T398" s="271"/>
      <c r="U398" s="271"/>
      <c r="V398" s="271"/>
      <c r="W398" s="271"/>
      <c r="X398" s="271"/>
      <c r="Y398" s="271"/>
      <c r="Z398" s="271"/>
      <c r="AA398" s="271"/>
    </row>
    <row r="399" spans="1:27" s="532" customFormat="1" x14ac:dyDescent="0.2">
      <c r="A399" s="472"/>
      <c r="B399" s="472"/>
      <c r="C399" s="472"/>
      <c r="D399" s="472"/>
      <c r="E399" s="557"/>
      <c r="F399" s="557"/>
      <c r="G399" s="557"/>
      <c r="H399" s="557"/>
      <c r="I399" s="557"/>
      <c r="J399" s="557"/>
      <c r="K399" s="557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  <c r="AA399" s="271"/>
    </row>
    <row r="400" spans="1:27" s="532" customFormat="1" x14ac:dyDescent="0.2">
      <c r="A400" s="472"/>
      <c r="B400" s="472"/>
      <c r="C400" s="472"/>
      <c r="D400" s="472"/>
      <c r="E400" s="557"/>
      <c r="F400" s="557"/>
      <c r="G400" s="557"/>
      <c r="H400" s="557"/>
      <c r="I400" s="557"/>
      <c r="J400" s="557"/>
      <c r="K400" s="557"/>
      <c r="M400" s="271"/>
      <c r="N400" s="271"/>
      <c r="O400" s="271"/>
      <c r="P400" s="271"/>
      <c r="Q400" s="271"/>
      <c r="R400" s="271"/>
      <c r="S400" s="271"/>
      <c r="T400" s="271"/>
      <c r="U400" s="271"/>
      <c r="V400" s="271"/>
      <c r="W400" s="271"/>
      <c r="X400" s="271"/>
      <c r="Y400" s="271"/>
      <c r="Z400" s="271"/>
      <c r="AA400" s="271"/>
    </row>
    <row r="401" spans="1:27" s="532" customFormat="1" x14ac:dyDescent="0.2">
      <c r="A401" s="472"/>
      <c r="B401" s="472"/>
      <c r="C401" s="472"/>
      <c r="D401" s="472"/>
      <c r="E401" s="557"/>
      <c r="F401" s="557"/>
      <c r="G401" s="557"/>
      <c r="H401" s="557"/>
      <c r="I401" s="557"/>
      <c r="J401" s="557"/>
      <c r="K401" s="557"/>
      <c r="M401" s="271"/>
      <c r="N401" s="271"/>
      <c r="O401" s="271"/>
      <c r="P401" s="271"/>
      <c r="Q401" s="271"/>
      <c r="R401" s="271"/>
      <c r="S401" s="271"/>
      <c r="T401" s="271"/>
      <c r="U401" s="271"/>
      <c r="V401" s="271"/>
      <c r="W401" s="271"/>
      <c r="X401" s="271"/>
      <c r="Y401" s="271"/>
      <c r="Z401" s="271"/>
      <c r="AA401" s="271"/>
    </row>
    <row r="402" spans="1:27" s="532" customFormat="1" x14ac:dyDescent="0.2">
      <c r="A402" s="472"/>
      <c r="B402" s="472"/>
      <c r="C402" s="472"/>
      <c r="D402" s="472"/>
      <c r="E402" s="557"/>
      <c r="F402" s="557"/>
      <c r="G402" s="557"/>
      <c r="H402" s="557"/>
      <c r="I402" s="557"/>
      <c r="J402" s="557"/>
      <c r="K402" s="557"/>
      <c r="M402" s="271"/>
      <c r="N402" s="271"/>
      <c r="O402" s="271"/>
      <c r="P402" s="271"/>
      <c r="Q402" s="271"/>
      <c r="R402" s="271"/>
      <c r="S402" s="271"/>
      <c r="T402" s="271"/>
      <c r="U402" s="271"/>
      <c r="V402" s="271"/>
      <c r="W402" s="271"/>
      <c r="X402" s="271"/>
      <c r="Y402" s="271"/>
      <c r="Z402" s="271"/>
      <c r="AA402" s="271"/>
    </row>
    <row r="403" spans="1:27" s="532" customFormat="1" x14ac:dyDescent="0.2">
      <c r="A403" s="472"/>
      <c r="B403" s="472"/>
      <c r="C403" s="472"/>
      <c r="D403" s="472"/>
      <c r="E403" s="557"/>
      <c r="F403" s="557"/>
      <c r="G403" s="557"/>
      <c r="H403" s="557"/>
      <c r="I403" s="557"/>
      <c r="J403" s="557"/>
      <c r="K403" s="557"/>
      <c r="M403" s="271"/>
      <c r="N403" s="271"/>
      <c r="O403" s="271"/>
      <c r="P403" s="271"/>
      <c r="Q403" s="271"/>
      <c r="R403" s="271"/>
      <c r="S403" s="271"/>
      <c r="T403" s="271"/>
      <c r="U403" s="271"/>
      <c r="V403" s="271"/>
      <c r="W403" s="271"/>
      <c r="X403" s="271"/>
      <c r="Y403" s="271"/>
      <c r="Z403" s="271"/>
      <c r="AA403" s="271"/>
    </row>
    <row r="404" spans="1:27" s="532" customFormat="1" x14ac:dyDescent="0.2">
      <c r="A404" s="472"/>
      <c r="B404" s="472"/>
      <c r="C404" s="472"/>
      <c r="D404" s="472"/>
      <c r="E404" s="557"/>
      <c r="F404" s="557"/>
      <c r="G404" s="557"/>
      <c r="H404" s="557"/>
      <c r="I404" s="557"/>
      <c r="J404" s="557"/>
      <c r="K404" s="557"/>
      <c r="M404" s="271"/>
      <c r="N404" s="271"/>
      <c r="O404" s="271"/>
      <c r="P404" s="271"/>
      <c r="Q404" s="271"/>
      <c r="R404" s="271"/>
      <c r="S404" s="271"/>
      <c r="T404" s="271"/>
      <c r="U404" s="271"/>
      <c r="V404" s="271"/>
      <c r="W404" s="271"/>
      <c r="X404" s="271"/>
      <c r="Y404" s="271"/>
      <c r="Z404" s="271"/>
      <c r="AA404" s="271"/>
    </row>
    <row r="405" spans="1:27" s="532" customFormat="1" x14ac:dyDescent="0.2">
      <c r="A405" s="472"/>
      <c r="B405" s="472"/>
      <c r="C405" s="472"/>
      <c r="D405" s="472"/>
      <c r="E405" s="557"/>
      <c r="F405" s="557"/>
      <c r="G405" s="557"/>
      <c r="H405" s="557"/>
      <c r="I405" s="557"/>
      <c r="J405" s="557"/>
      <c r="K405" s="557"/>
      <c r="M405" s="271"/>
      <c r="N405" s="271"/>
      <c r="O405" s="271"/>
      <c r="P405" s="271"/>
      <c r="Q405" s="271"/>
      <c r="R405" s="271"/>
      <c r="S405" s="271"/>
      <c r="T405" s="271"/>
      <c r="U405" s="271"/>
      <c r="V405" s="271"/>
      <c r="W405" s="271"/>
      <c r="X405" s="271"/>
      <c r="Y405" s="271"/>
      <c r="Z405" s="271"/>
      <c r="AA405" s="271"/>
    </row>
    <row r="406" spans="1:27" s="532" customFormat="1" x14ac:dyDescent="0.2">
      <c r="A406" s="472"/>
      <c r="B406" s="472"/>
      <c r="C406" s="472"/>
      <c r="D406" s="472"/>
      <c r="E406" s="557"/>
      <c r="F406" s="557"/>
      <c r="G406" s="557"/>
      <c r="H406" s="557"/>
      <c r="I406" s="557"/>
      <c r="J406" s="557"/>
      <c r="K406" s="557"/>
      <c r="M406" s="271"/>
      <c r="N406" s="271"/>
      <c r="O406" s="271"/>
      <c r="P406" s="271"/>
      <c r="Q406" s="271"/>
      <c r="R406" s="271"/>
      <c r="S406" s="271"/>
      <c r="T406" s="271"/>
      <c r="U406" s="271"/>
      <c r="V406" s="271"/>
      <c r="W406" s="271"/>
      <c r="X406" s="271"/>
      <c r="Y406" s="271"/>
      <c r="Z406" s="271"/>
      <c r="AA406" s="271"/>
    </row>
    <row r="407" spans="1:27" s="532" customFormat="1" x14ac:dyDescent="0.2">
      <c r="A407" s="472"/>
      <c r="B407" s="472"/>
      <c r="C407" s="472"/>
      <c r="D407" s="472"/>
      <c r="E407" s="557"/>
      <c r="F407" s="557"/>
      <c r="G407" s="557"/>
      <c r="H407" s="557"/>
      <c r="I407" s="557"/>
      <c r="J407" s="557"/>
      <c r="K407" s="557"/>
      <c r="M407" s="271"/>
      <c r="N407" s="271"/>
      <c r="O407" s="271"/>
      <c r="P407" s="271"/>
      <c r="Q407" s="271"/>
      <c r="R407" s="271"/>
      <c r="S407" s="271"/>
      <c r="T407" s="271"/>
      <c r="U407" s="271"/>
      <c r="V407" s="271"/>
      <c r="W407" s="271"/>
      <c r="X407" s="271"/>
      <c r="Y407" s="271"/>
      <c r="Z407" s="271"/>
      <c r="AA407" s="271"/>
    </row>
    <row r="408" spans="1:27" s="532" customFormat="1" x14ac:dyDescent="0.2">
      <c r="A408" s="472"/>
      <c r="B408" s="472"/>
      <c r="C408" s="472"/>
      <c r="D408" s="472"/>
      <c r="E408" s="557"/>
      <c r="F408" s="557"/>
      <c r="G408" s="557"/>
      <c r="H408" s="557"/>
      <c r="I408" s="557"/>
      <c r="J408" s="557"/>
      <c r="K408" s="557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  <c r="AA408" s="271"/>
    </row>
    <row r="409" spans="1:27" s="532" customFormat="1" x14ac:dyDescent="0.2">
      <c r="A409" s="472"/>
      <c r="B409" s="472"/>
      <c r="C409" s="472"/>
      <c r="D409" s="472"/>
      <c r="E409" s="557"/>
      <c r="F409" s="557"/>
      <c r="G409" s="557"/>
      <c r="H409" s="557"/>
      <c r="I409" s="557"/>
      <c r="J409" s="557"/>
      <c r="K409" s="557"/>
      <c r="M409" s="271"/>
      <c r="N409" s="271"/>
      <c r="O409" s="271"/>
      <c r="P409" s="271"/>
      <c r="Q409" s="271"/>
      <c r="R409" s="271"/>
      <c r="S409" s="271"/>
      <c r="T409" s="271"/>
      <c r="U409" s="271"/>
      <c r="V409" s="271"/>
      <c r="W409" s="271"/>
      <c r="X409" s="271"/>
      <c r="Y409" s="271"/>
      <c r="Z409" s="271"/>
      <c r="AA409" s="271"/>
    </row>
    <row r="410" spans="1:27" s="532" customFormat="1" x14ac:dyDescent="0.2">
      <c r="A410" s="472"/>
      <c r="B410" s="472"/>
      <c r="C410" s="472"/>
      <c r="D410" s="472"/>
      <c r="E410" s="557"/>
      <c r="F410" s="557"/>
      <c r="G410" s="557"/>
      <c r="H410" s="557"/>
      <c r="I410" s="557"/>
      <c r="J410" s="557"/>
      <c r="K410" s="557"/>
      <c r="M410" s="271"/>
      <c r="N410" s="271"/>
      <c r="O410" s="271"/>
      <c r="P410" s="271"/>
      <c r="Q410" s="271"/>
      <c r="R410" s="271"/>
      <c r="S410" s="271"/>
      <c r="T410" s="271"/>
      <c r="U410" s="271"/>
      <c r="V410" s="271"/>
      <c r="W410" s="271"/>
      <c r="X410" s="271"/>
      <c r="Y410" s="271"/>
      <c r="Z410" s="271"/>
      <c r="AA410" s="271"/>
    </row>
    <row r="411" spans="1:27" s="532" customFormat="1" x14ac:dyDescent="0.2">
      <c r="A411" s="472"/>
      <c r="B411" s="472"/>
      <c r="C411" s="472"/>
      <c r="D411" s="472"/>
      <c r="E411" s="557"/>
      <c r="F411" s="557"/>
      <c r="G411" s="557"/>
      <c r="H411" s="557"/>
      <c r="I411" s="557"/>
      <c r="J411" s="557"/>
      <c r="K411" s="557"/>
      <c r="M411" s="271"/>
      <c r="N411" s="271"/>
      <c r="O411" s="271"/>
      <c r="P411" s="271"/>
      <c r="Q411" s="271"/>
      <c r="R411" s="271"/>
      <c r="S411" s="271"/>
      <c r="T411" s="271"/>
      <c r="U411" s="271"/>
      <c r="V411" s="271"/>
      <c r="W411" s="271"/>
      <c r="X411" s="271"/>
      <c r="Y411" s="271"/>
      <c r="Z411" s="271"/>
      <c r="AA411" s="271"/>
    </row>
    <row r="412" spans="1:27" s="532" customFormat="1" x14ac:dyDescent="0.2">
      <c r="A412" s="472"/>
      <c r="B412" s="472"/>
      <c r="C412" s="472"/>
      <c r="D412" s="472"/>
      <c r="E412" s="557"/>
      <c r="F412" s="557"/>
      <c r="G412" s="557"/>
      <c r="H412" s="557"/>
      <c r="I412" s="557"/>
      <c r="J412" s="557"/>
      <c r="K412" s="557"/>
      <c r="M412" s="271"/>
      <c r="N412" s="271"/>
      <c r="O412" s="271"/>
      <c r="P412" s="271"/>
      <c r="Q412" s="271"/>
      <c r="R412" s="271"/>
      <c r="S412" s="271"/>
      <c r="T412" s="271"/>
      <c r="U412" s="271"/>
      <c r="V412" s="271"/>
      <c r="W412" s="271"/>
      <c r="X412" s="271"/>
      <c r="Y412" s="271"/>
      <c r="Z412" s="271"/>
      <c r="AA412" s="271"/>
    </row>
    <row r="413" spans="1:27" s="532" customFormat="1" x14ac:dyDescent="0.2">
      <c r="A413" s="472"/>
      <c r="B413" s="472"/>
      <c r="C413" s="472"/>
      <c r="D413" s="472"/>
      <c r="E413" s="557"/>
      <c r="F413" s="557"/>
      <c r="G413" s="557"/>
      <c r="H413" s="557"/>
      <c r="I413" s="557"/>
      <c r="J413" s="557"/>
      <c r="K413" s="557"/>
      <c r="M413" s="271"/>
      <c r="N413" s="271"/>
      <c r="O413" s="271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  <c r="AA413" s="271"/>
    </row>
    <row r="414" spans="1:27" s="532" customFormat="1" x14ac:dyDescent="0.2">
      <c r="A414" s="472"/>
      <c r="B414" s="472"/>
      <c r="C414" s="472"/>
      <c r="D414" s="472"/>
      <c r="E414" s="557"/>
      <c r="F414" s="557"/>
      <c r="G414" s="557"/>
      <c r="H414" s="557"/>
      <c r="I414" s="557"/>
      <c r="J414" s="557"/>
      <c r="K414" s="557"/>
      <c r="M414" s="271"/>
      <c r="N414" s="271"/>
      <c r="O414" s="271"/>
      <c r="P414" s="271"/>
      <c r="Q414" s="271"/>
      <c r="R414" s="271"/>
      <c r="S414" s="271"/>
      <c r="T414" s="271"/>
      <c r="U414" s="271"/>
      <c r="V414" s="271"/>
      <c r="W414" s="271"/>
      <c r="X414" s="271"/>
      <c r="Y414" s="271"/>
      <c r="Z414" s="271"/>
      <c r="AA414" s="271"/>
    </row>
    <row r="415" spans="1:27" s="532" customFormat="1" x14ac:dyDescent="0.2">
      <c r="A415" s="472"/>
      <c r="B415" s="472"/>
      <c r="C415" s="472"/>
      <c r="D415" s="472"/>
      <c r="E415" s="557"/>
      <c r="F415" s="557"/>
      <c r="G415" s="557"/>
      <c r="H415" s="557"/>
      <c r="I415" s="557"/>
      <c r="J415" s="557"/>
      <c r="K415" s="557"/>
      <c r="M415" s="271"/>
      <c r="N415" s="271"/>
      <c r="O415" s="271"/>
      <c r="P415" s="271"/>
      <c r="Q415" s="271"/>
      <c r="R415" s="271"/>
      <c r="S415" s="271"/>
      <c r="T415" s="271"/>
      <c r="U415" s="271"/>
      <c r="V415" s="271"/>
      <c r="W415" s="271"/>
      <c r="X415" s="271"/>
      <c r="Y415" s="271"/>
      <c r="Z415" s="271"/>
      <c r="AA415" s="271"/>
    </row>
    <row r="416" spans="1:27" s="532" customFormat="1" x14ac:dyDescent="0.2">
      <c r="A416" s="472"/>
      <c r="B416" s="472"/>
      <c r="C416" s="472"/>
      <c r="D416" s="472"/>
      <c r="E416" s="557"/>
      <c r="F416" s="557"/>
      <c r="G416" s="557"/>
      <c r="H416" s="557"/>
      <c r="I416" s="557"/>
      <c r="J416" s="557"/>
      <c r="K416" s="557"/>
      <c r="M416" s="271"/>
      <c r="N416" s="271"/>
      <c r="O416" s="271"/>
      <c r="P416" s="271"/>
      <c r="Q416" s="271"/>
      <c r="R416" s="271"/>
      <c r="S416" s="271"/>
      <c r="T416" s="271"/>
      <c r="U416" s="271"/>
      <c r="V416" s="271"/>
      <c r="W416" s="271"/>
      <c r="X416" s="271"/>
      <c r="Y416" s="271"/>
      <c r="Z416" s="271"/>
      <c r="AA416" s="271"/>
    </row>
    <row r="417" spans="1:27" s="532" customFormat="1" x14ac:dyDescent="0.2">
      <c r="A417" s="472"/>
      <c r="B417" s="472"/>
      <c r="C417" s="472"/>
      <c r="D417" s="472"/>
      <c r="E417" s="557"/>
      <c r="F417" s="557"/>
      <c r="G417" s="557"/>
      <c r="H417" s="557"/>
      <c r="I417" s="557"/>
      <c r="J417" s="557"/>
      <c r="K417" s="557"/>
      <c r="M417" s="271"/>
      <c r="N417" s="271"/>
      <c r="O417" s="271"/>
      <c r="P417" s="271"/>
      <c r="Q417" s="271"/>
      <c r="R417" s="271"/>
      <c r="S417" s="271"/>
      <c r="T417" s="271"/>
      <c r="U417" s="271"/>
      <c r="V417" s="271"/>
      <c r="W417" s="271"/>
      <c r="X417" s="271"/>
      <c r="Y417" s="271"/>
      <c r="Z417" s="271"/>
      <c r="AA417" s="271"/>
    </row>
    <row r="418" spans="1:27" s="532" customFormat="1" x14ac:dyDescent="0.2">
      <c r="A418" s="472"/>
      <c r="B418" s="472"/>
      <c r="C418" s="472"/>
      <c r="D418" s="472"/>
      <c r="E418" s="557"/>
      <c r="F418" s="557"/>
      <c r="G418" s="557"/>
      <c r="H418" s="557"/>
      <c r="I418" s="557"/>
      <c r="J418" s="557"/>
      <c r="K418" s="557"/>
      <c r="M418" s="271"/>
      <c r="N418" s="271"/>
      <c r="O418" s="271"/>
      <c r="P418" s="271"/>
      <c r="Q418" s="271"/>
      <c r="R418" s="271"/>
      <c r="S418" s="271"/>
      <c r="T418" s="271"/>
      <c r="U418" s="271"/>
      <c r="V418" s="271"/>
      <c r="W418" s="271"/>
      <c r="X418" s="271"/>
      <c r="Y418" s="271"/>
      <c r="Z418" s="271"/>
      <c r="AA418" s="271"/>
    </row>
    <row r="419" spans="1:27" s="532" customFormat="1" x14ac:dyDescent="0.2">
      <c r="A419" s="472"/>
      <c r="B419" s="472"/>
      <c r="C419" s="472"/>
      <c r="D419" s="472"/>
      <c r="E419" s="557"/>
      <c r="F419" s="557"/>
      <c r="G419" s="557"/>
      <c r="H419" s="557"/>
      <c r="I419" s="557"/>
      <c r="J419" s="557"/>
      <c r="K419" s="557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  <c r="AA419" s="271"/>
    </row>
    <row r="420" spans="1:27" s="532" customFormat="1" x14ac:dyDescent="0.2">
      <c r="A420" s="472"/>
      <c r="B420" s="472"/>
      <c r="C420" s="472"/>
      <c r="D420" s="472"/>
      <c r="E420" s="557"/>
      <c r="F420" s="557"/>
      <c r="G420" s="557"/>
      <c r="H420" s="557"/>
      <c r="I420" s="557"/>
      <c r="J420" s="557"/>
      <c r="K420" s="557"/>
      <c r="M420" s="271"/>
      <c r="N420" s="271"/>
      <c r="O420" s="271"/>
      <c r="P420" s="271"/>
      <c r="Q420" s="271"/>
      <c r="R420" s="271"/>
      <c r="S420" s="271"/>
      <c r="T420" s="271"/>
      <c r="U420" s="271"/>
      <c r="V420" s="271"/>
      <c r="W420" s="271"/>
      <c r="X420" s="271"/>
      <c r="Y420" s="271"/>
      <c r="Z420" s="271"/>
      <c r="AA420" s="271"/>
    </row>
    <row r="421" spans="1:27" s="532" customFormat="1" x14ac:dyDescent="0.2">
      <c r="A421" s="472"/>
      <c r="B421" s="472"/>
      <c r="C421" s="472"/>
      <c r="D421" s="472"/>
      <c r="E421" s="557"/>
      <c r="F421" s="557"/>
      <c r="G421" s="557"/>
      <c r="H421" s="557"/>
      <c r="I421" s="557"/>
      <c r="J421" s="557"/>
      <c r="K421" s="557"/>
      <c r="M421" s="271"/>
      <c r="N421" s="271"/>
      <c r="O421" s="271"/>
      <c r="P421" s="271"/>
      <c r="Q421" s="271"/>
      <c r="R421" s="271"/>
      <c r="S421" s="271"/>
      <c r="T421" s="271"/>
      <c r="U421" s="271"/>
      <c r="V421" s="271"/>
      <c r="W421" s="271"/>
      <c r="X421" s="271"/>
      <c r="Y421" s="271"/>
      <c r="Z421" s="271"/>
      <c r="AA421" s="271"/>
    </row>
    <row r="422" spans="1:27" s="532" customFormat="1" x14ac:dyDescent="0.2">
      <c r="A422" s="472"/>
      <c r="B422" s="472"/>
      <c r="C422" s="472"/>
      <c r="D422" s="472"/>
      <c r="E422" s="557"/>
      <c r="F422" s="557"/>
      <c r="G422" s="557"/>
      <c r="H422" s="557"/>
      <c r="I422" s="557"/>
      <c r="J422" s="557"/>
      <c r="K422" s="557"/>
      <c r="M422" s="271"/>
      <c r="N422" s="271"/>
      <c r="O422" s="271"/>
      <c r="P422" s="271"/>
      <c r="Q422" s="271"/>
      <c r="R422" s="271"/>
      <c r="S422" s="271"/>
      <c r="T422" s="271"/>
      <c r="U422" s="271"/>
      <c r="V422" s="271"/>
      <c r="W422" s="271"/>
      <c r="X422" s="271"/>
      <c r="Y422" s="271"/>
      <c r="Z422" s="271"/>
      <c r="AA422" s="271"/>
    </row>
    <row r="423" spans="1:27" s="532" customFormat="1" x14ac:dyDescent="0.2">
      <c r="A423" s="472"/>
      <c r="B423" s="472"/>
      <c r="C423" s="472"/>
      <c r="D423" s="472"/>
      <c r="E423" s="557"/>
      <c r="F423" s="557"/>
      <c r="G423" s="557"/>
      <c r="H423" s="557"/>
      <c r="I423" s="557"/>
      <c r="J423" s="557"/>
      <c r="K423" s="557"/>
      <c r="M423" s="271"/>
      <c r="N423" s="271"/>
      <c r="O423" s="271"/>
      <c r="P423" s="271"/>
      <c r="Q423" s="271"/>
      <c r="R423" s="271"/>
      <c r="S423" s="271"/>
      <c r="T423" s="271"/>
      <c r="U423" s="271"/>
      <c r="V423" s="271"/>
      <c r="W423" s="271"/>
      <c r="X423" s="271"/>
      <c r="Y423" s="271"/>
      <c r="Z423" s="271"/>
      <c r="AA423" s="271"/>
    </row>
    <row r="424" spans="1:27" s="532" customFormat="1" x14ac:dyDescent="0.2">
      <c r="A424" s="472"/>
      <c r="B424" s="472"/>
      <c r="C424" s="472"/>
      <c r="D424" s="472"/>
      <c r="E424" s="557"/>
      <c r="F424" s="557"/>
      <c r="G424" s="557"/>
      <c r="H424" s="557"/>
      <c r="I424" s="557"/>
      <c r="J424" s="557"/>
      <c r="K424" s="557"/>
      <c r="M424" s="271"/>
      <c r="N424" s="271"/>
      <c r="O424" s="271"/>
      <c r="P424" s="271"/>
      <c r="Q424" s="271"/>
      <c r="R424" s="271"/>
      <c r="S424" s="271"/>
      <c r="T424" s="271"/>
      <c r="U424" s="271"/>
      <c r="V424" s="271"/>
      <c r="W424" s="271"/>
      <c r="X424" s="271"/>
      <c r="Y424" s="271"/>
      <c r="Z424" s="271"/>
      <c r="AA424" s="271"/>
    </row>
    <row r="425" spans="1:27" s="532" customFormat="1" x14ac:dyDescent="0.2">
      <c r="A425" s="472"/>
      <c r="B425" s="472"/>
      <c r="C425" s="472"/>
      <c r="D425" s="472"/>
      <c r="E425" s="557"/>
      <c r="F425" s="557"/>
      <c r="G425" s="557"/>
      <c r="H425" s="557"/>
      <c r="I425" s="557"/>
      <c r="J425" s="557"/>
      <c r="K425" s="557"/>
      <c r="M425" s="271"/>
      <c r="N425" s="271"/>
      <c r="O425" s="271"/>
      <c r="P425" s="271"/>
      <c r="Q425" s="271"/>
      <c r="R425" s="271"/>
      <c r="S425" s="271"/>
      <c r="T425" s="271"/>
      <c r="U425" s="271"/>
      <c r="V425" s="271"/>
      <c r="W425" s="271"/>
      <c r="X425" s="271"/>
      <c r="Y425" s="271"/>
      <c r="Z425" s="271"/>
      <c r="AA425" s="271"/>
    </row>
    <row r="426" spans="1:27" s="532" customFormat="1" x14ac:dyDescent="0.2">
      <c r="A426" s="472"/>
      <c r="B426" s="472"/>
      <c r="C426" s="472"/>
      <c r="D426" s="472"/>
      <c r="E426" s="557"/>
      <c r="F426" s="557"/>
      <c r="G426" s="557"/>
      <c r="H426" s="557"/>
      <c r="I426" s="557"/>
      <c r="J426" s="557"/>
      <c r="K426" s="557"/>
      <c r="M426" s="271"/>
      <c r="N426" s="271"/>
      <c r="O426" s="271"/>
      <c r="P426" s="271"/>
      <c r="Q426" s="271"/>
      <c r="R426" s="271"/>
      <c r="S426" s="271"/>
      <c r="T426" s="271"/>
      <c r="U426" s="271"/>
      <c r="V426" s="271"/>
      <c r="W426" s="271"/>
      <c r="X426" s="271"/>
      <c r="Y426" s="271"/>
      <c r="Z426" s="271"/>
      <c r="AA426" s="271"/>
    </row>
    <row r="427" spans="1:27" s="532" customFormat="1" x14ac:dyDescent="0.2">
      <c r="A427" s="472"/>
      <c r="B427" s="472"/>
      <c r="C427" s="472"/>
      <c r="D427" s="472"/>
      <c r="E427" s="557"/>
      <c r="F427" s="557"/>
      <c r="G427" s="557"/>
      <c r="H427" s="557"/>
      <c r="I427" s="557"/>
      <c r="J427" s="557"/>
      <c r="K427" s="557"/>
      <c r="M427" s="271"/>
      <c r="N427" s="271"/>
      <c r="O427" s="271"/>
      <c r="P427" s="271"/>
      <c r="Q427" s="271"/>
      <c r="R427" s="271"/>
      <c r="S427" s="271"/>
      <c r="T427" s="271"/>
      <c r="U427" s="271"/>
      <c r="V427" s="271"/>
      <c r="W427" s="271"/>
      <c r="X427" s="271"/>
      <c r="Y427" s="271"/>
      <c r="Z427" s="271"/>
      <c r="AA427" s="271"/>
    </row>
    <row r="428" spans="1:27" s="532" customFormat="1" x14ac:dyDescent="0.2">
      <c r="A428" s="472"/>
      <c r="B428" s="472"/>
      <c r="C428" s="472"/>
      <c r="D428" s="472"/>
      <c r="E428" s="557"/>
      <c r="F428" s="557"/>
      <c r="G428" s="557"/>
      <c r="H428" s="557"/>
      <c r="I428" s="557"/>
      <c r="J428" s="557"/>
      <c r="K428" s="557"/>
      <c r="M428" s="271"/>
      <c r="N428" s="271"/>
      <c r="O428" s="271"/>
      <c r="P428" s="271"/>
      <c r="Q428" s="271"/>
      <c r="R428" s="271"/>
      <c r="S428" s="271"/>
      <c r="T428" s="271"/>
      <c r="U428" s="271"/>
      <c r="V428" s="271"/>
      <c r="W428" s="271"/>
      <c r="X428" s="271"/>
      <c r="Y428" s="271"/>
      <c r="Z428" s="271"/>
      <c r="AA428" s="271"/>
    </row>
    <row r="429" spans="1:27" s="532" customFormat="1" x14ac:dyDescent="0.2">
      <c r="A429" s="472"/>
      <c r="B429" s="472"/>
      <c r="C429" s="472"/>
      <c r="D429" s="472"/>
      <c r="E429" s="557"/>
      <c r="F429" s="557"/>
      <c r="G429" s="557"/>
      <c r="H429" s="557"/>
      <c r="I429" s="557"/>
      <c r="J429" s="557"/>
      <c r="K429" s="557"/>
      <c r="M429" s="271"/>
      <c r="N429" s="271"/>
      <c r="O429" s="271"/>
      <c r="P429" s="271"/>
      <c r="Q429" s="271"/>
      <c r="R429" s="271"/>
      <c r="S429" s="271"/>
      <c r="T429" s="271"/>
      <c r="U429" s="271"/>
      <c r="V429" s="271"/>
      <c r="W429" s="271"/>
      <c r="X429" s="271"/>
      <c r="Y429" s="271"/>
      <c r="Z429" s="271"/>
      <c r="AA429" s="271"/>
    </row>
    <row r="430" spans="1:27" s="532" customFormat="1" x14ac:dyDescent="0.2">
      <c r="A430" s="472"/>
      <c r="B430" s="472"/>
      <c r="C430" s="472"/>
      <c r="D430" s="472"/>
      <c r="E430" s="557"/>
      <c r="F430" s="557"/>
      <c r="G430" s="557"/>
      <c r="H430" s="557"/>
      <c r="I430" s="557"/>
      <c r="J430" s="557"/>
      <c r="K430" s="557"/>
      <c r="M430" s="271"/>
      <c r="N430" s="271"/>
      <c r="O430" s="271"/>
      <c r="P430" s="271"/>
      <c r="Q430" s="271"/>
      <c r="R430" s="271"/>
      <c r="S430" s="271"/>
      <c r="T430" s="271"/>
      <c r="U430" s="271"/>
      <c r="V430" s="271"/>
      <c r="W430" s="271"/>
      <c r="X430" s="271"/>
      <c r="Y430" s="271"/>
      <c r="Z430" s="271"/>
      <c r="AA430" s="271"/>
    </row>
    <row r="431" spans="1:27" s="532" customFormat="1" x14ac:dyDescent="0.2">
      <c r="A431" s="472"/>
      <c r="B431" s="472"/>
      <c r="C431" s="472"/>
      <c r="D431" s="472"/>
      <c r="E431" s="557"/>
      <c r="F431" s="557"/>
      <c r="G431" s="557"/>
      <c r="H431" s="557"/>
      <c r="I431" s="557"/>
      <c r="J431" s="557"/>
      <c r="K431" s="557"/>
      <c r="M431" s="271"/>
      <c r="N431" s="271"/>
      <c r="O431" s="271"/>
      <c r="P431" s="271"/>
      <c r="Q431" s="271"/>
      <c r="R431" s="271"/>
      <c r="S431" s="271"/>
      <c r="T431" s="271"/>
      <c r="U431" s="271"/>
      <c r="V431" s="271"/>
      <c r="W431" s="271"/>
      <c r="X431" s="271"/>
      <c r="Y431" s="271"/>
      <c r="Z431" s="271"/>
      <c r="AA431" s="271"/>
    </row>
    <row r="432" spans="1:27" s="532" customFormat="1" x14ac:dyDescent="0.2">
      <c r="A432" s="472"/>
      <c r="B432" s="472"/>
      <c r="C432" s="472"/>
      <c r="D432" s="472"/>
      <c r="E432" s="557"/>
      <c r="F432" s="557"/>
      <c r="G432" s="557"/>
      <c r="H432" s="557"/>
      <c r="I432" s="557"/>
      <c r="J432" s="557"/>
      <c r="K432" s="557"/>
      <c r="M432" s="271"/>
      <c r="N432" s="271"/>
      <c r="O432" s="271"/>
      <c r="P432" s="271"/>
      <c r="Q432" s="271"/>
      <c r="R432" s="271"/>
      <c r="S432" s="271"/>
      <c r="T432" s="271"/>
      <c r="U432" s="271"/>
      <c r="V432" s="271"/>
      <c r="W432" s="271"/>
      <c r="X432" s="271"/>
      <c r="Y432" s="271"/>
      <c r="Z432" s="271"/>
      <c r="AA432" s="271"/>
    </row>
    <row r="433" spans="1:27" s="532" customFormat="1" x14ac:dyDescent="0.2">
      <c r="A433" s="472"/>
      <c r="B433" s="472"/>
      <c r="C433" s="472"/>
      <c r="D433" s="472"/>
      <c r="E433" s="557"/>
      <c r="F433" s="557"/>
      <c r="G433" s="557"/>
      <c r="H433" s="557"/>
      <c r="I433" s="557"/>
      <c r="J433" s="557"/>
      <c r="K433" s="557"/>
      <c r="M433" s="271"/>
      <c r="N433" s="271"/>
      <c r="O433" s="271"/>
      <c r="P433" s="271"/>
      <c r="Q433" s="271"/>
      <c r="R433" s="271"/>
      <c r="S433" s="271"/>
      <c r="T433" s="271"/>
      <c r="U433" s="271"/>
      <c r="V433" s="271"/>
      <c r="W433" s="271"/>
      <c r="X433" s="271"/>
      <c r="Y433" s="271"/>
      <c r="Z433" s="271"/>
      <c r="AA433" s="271"/>
    </row>
    <row r="434" spans="1:27" s="532" customFormat="1" x14ac:dyDescent="0.2">
      <c r="A434" s="472"/>
      <c r="B434" s="472"/>
      <c r="C434" s="472"/>
      <c r="D434" s="472"/>
      <c r="E434" s="557"/>
      <c r="F434" s="557"/>
      <c r="G434" s="557"/>
      <c r="H434" s="557"/>
      <c r="I434" s="557"/>
      <c r="J434" s="557"/>
      <c r="K434" s="557"/>
      <c r="M434" s="271"/>
      <c r="N434" s="271"/>
      <c r="O434" s="271"/>
      <c r="P434" s="271"/>
      <c r="Q434" s="271"/>
      <c r="R434" s="271"/>
      <c r="S434" s="271"/>
      <c r="T434" s="271"/>
      <c r="U434" s="271"/>
      <c r="V434" s="271"/>
      <c r="W434" s="271"/>
      <c r="X434" s="271"/>
      <c r="Y434" s="271"/>
      <c r="Z434" s="271"/>
      <c r="AA434" s="271"/>
    </row>
    <row r="435" spans="1:27" s="532" customFormat="1" x14ac:dyDescent="0.2">
      <c r="A435" s="472"/>
      <c r="B435" s="472"/>
      <c r="C435" s="472"/>
      <c r="D435" s="472"/>
      <c r="E435" s="557"/>
      <c r="F435" s="557"/>
      <c r="G435" s="557"/>
      <c r="H435" s="557"/>
      <c r="I435" s="557"/>
      <c r="J435" s="557"/>
      <c r="K435" s="557"/>
      <c r="M435" s="271"/>
      <c r="N435" s="271"/>
      <c r="O435" s="271"/>
      <c r="P435" s="271"/>
      <c r="Q435" s="271"/>
      <c r="R435" s="271"/>
      <c r="S435" s="271"/>
      <c r="T435" s="271"/>
      <c r="U435" s="271"/>
      <c r="V435" s="271"/>
      <c r="W435" s="271"/>
      <c r="X435" s="271"/>
      <c r="Y435" s="271"/>
      <c r="Z435" s="271"/>
      <c r="AA435" s="271"/>
    </row>
    <row r="436" spans="1:27" s="532" customFormat="1" x14ac:dyDescent="0.2">
      <c r="A436" s="472"/>
      <c r="B436" s="472"/>
      <c r="C436" s="472"/>
      <c r="D436" s="472"/>
      <c r="E436" s="557"/>
      <c r="F436" s="557"/>
      <c r="G436" s="557"/>
      <c r="H436" s="557"/>
      <c r="I436" s="557"/>
      <c r="J436" s="557"/>
      <c r="K436" s="557"/>
      <c r="M436" s="271"/>
      <c r="N436" s="271"/>
      <c r="O436" s="271"/>
      <c r="P436" s="271"/>
      <c r="Q436" s="271"/>
      <c r="R436" s="271"/>
      <c r="S436" s="271"/>
      <c r="T436" s="271"/>
      <c r="U436" s="271"/>
      <c r="V436" s="271"/>
      <c r="W436" s="271"/>
      <c r="X436" s="271"/>
      <c r="Y436" s="271"/>
      <c r="Z436" s="271"/>
      <c r="AA436" s="271"/>
    </row>
    <row r="437" spans="1:27" s="532" customFormat="1" x14ac:dyDescent="0.2">
      <c r="A437" s="472"/>
      <c r="B437" s="472"/>
      <c r="C437" s="472"/>
      <c r="D437" s="472"/>
      <c r="E437" s="557"/>
      <c r="F437" s="557"/>
      <c r="G437" s="557"/>
      <c r="H437" s="557"/>
      <c r="I437" s="557"/>
      <c r="J437" s="557"/>
      <c r="K437" s="557"/>
      <c r="M437" s="271"/>
      <c r="N437" s="271"/>
      <c r="O437" s="271"/>
      <c r="P437" s="271"/>
      <c r="Q437" s="271"/>
      <c r="R437" s="271"/>
      <c r="S437" s="271"/>
      <c r="T437" s="271"/>
      <c r="U437" s="271"/>
      <c r="V437" s="271"/>
      <c r="W437" s="271"/>
      <c r="X437" s="271"/>
      <c r="Y437" s="271"/>
      <c r="Z437" s="271"/>
      <c r="AA437" s="271"/>
    </row>
    <row r="438" spans="1:27" s="532" customFormat="1" x14ac:dyDescent="0.2">
      <c r="A438" s="472"/>
      <c r="B438" s="472"/>
      <c r="C438" s="472"/>
      <c r="D438" s="472"/>
      <c r="E438" s="557"/>
      <c r="F438" s="557"/>
      <c r="G438" s="557"/>
      <c r="H438" s="557"/>
      <c r="I438" s="557"/>
      <c r="J438" s="557"/>
      <c r="K438" s="557"/>
      <c r="M438" s="271"/>
      <c r="N438" s="271"/>
      <c r="O438" s="271"/>
      <c r="P438" s="271"/>
      <c r="Q438" s="271"/>
      <c r="R438" s="271"/>
      <c r="S438" s="271"/>
      <c r="T438" s="271"/>
      <c r="U438" s="271"/>
      <c r="V438" s="271"/>
      <c r="W438" s="271"/>
      <c r="X438" s="271"/>
      <c r="Y438" s="271"/>
      <c r="Z438" s="271"/>
      <c r="AA438" s="271"/>
    </row>
    <row r="439" spans="1:27" s="532" customFormat="1" x14ac:dyDescent="0.2">
      <c r="A439" s="472"/>
      <c r="B439" s="472"/>
      <c r="C439" s="472"/>
      <c r="D439" s="472"/>
      <c r="E439" s="557"/>
      <c r="F439" s="557"/>
      <c r="G439" s="557"/>
      <c r="H439" s="557"/>
      <c r="I439" s="557"/>
      <c r="J439" s="557"/>
      <c r="K439" s="557"/>
      <c r="M439" s="271"/>
      <c r="N439" s="271"/>
      <c r="O439" s="271"/>
      <c r="P439" s="271"/>
      <c r="Q439" s="271"/>
      <c r="R439" s="271"/>
      <c r="S439" s="271"/>
      <c r="T439" s="271"/>
      <c r="U439" s="271"/>
      <c r="V439" s="271"/>
      <c r="W439" s="271"/>
      <c r="X439" s="271"/>
      <c r="Y439" s="271"/>
      <c r="Z439" s="271"/>
      <c r="AA439" s="271"/>
    </row>
    <row r="440" spans="1:27" s="532" customFormat="1" x14ac:dyDescent="0.2">
      <c r="A440" s="472"/>
      <c r="B440" s="472"/>
      <c r="C440" s="472"/>
      <c r="D440" s="472"/>
      <c r="E440" s="557"/>
      <c r="F440" s="557"/>
      <c r="G440" s="557"/>
      <c r="H440" s="557"/>
      <c r="I440" s="557"/>
      <c r="J440" s="557"/>
      <c r="K440" s="557"/>
      <c r="M440" s="271"/>
      <c r="N440" s="271"/>
      <c r="O440" s="271"/>
      <c r="P440" s="271"/>
      <c r="Q440" s="271"/>
      <c r="R440" s="271"/>
      <c r="S440" s="271"/>
      <c r="T440" s="271"/>
      <c r="U440" s="271"/>
      <c r="V440" s="271"/>
      <c r="W440" s="271"/>
      <c r="X440" s="271"/>
      <c r="Y440" s="271"/>
      <c r="Z440" s="271"/>
      <c r="AA440" s="271"/>
    </row>
    <row r="441" spans="1:27" s="532" customFormat="1" x14ac:dyDescent="0.2">
      <c r="A441" s="472"/>
      <c r="B441" s="472"/>
      <c r="C441" s="472"/>
      <c r="D441" s="472"/>
      <c r="E441" s="557"/>
      <c r="F441" s="557"/>
      <c r="G441" s="557"/>
      <c r="H441" s="557"/>
      <c r="I441" s="557"/>
      <c r="J441" s="557"/>
      <c r="K441" s="557"/>
      <c r="M441" s="271"/>
      <c r="N441" s="271"/>
      <c r="O441" s="271"/>
      <c r="P441" s="271"/>
      <c r="Q441" s="271"/>
      <c r="R441" s="271"/>
      <c r="S441" s="271"/>
      <c r="T441" s="271"/>
      <c r="U441" s="271"/>
      <c r="V441" s="271"/>
      <c r="W441" s="271"/>
      <c r="X441" s="271"/>
      <c r="Y441" s="271"/>
      <c r="Z441" s="271"/>
      <c r="AA441" s="271"/>
    </row>
    <row r="442" spans="1:27" s="532" customFormat="1" x14ac:dyDescent="0.2">
      <c r="A442" s="472"/>
      <c r="B442" s="472"/>
      <c r="C442" s="472"/>
      <c r="D442" s="472"/>
      <c r="E442" s="557"/>
      <c r="F442" s="557"/>
      <c r="G442" s="557"/>
      <c r="H442" s="557"/>
      <c r="I442" s="557"/>
      <c r="J442" s="557"/>
      <c r="K442" s="557"/>
      <c r="M442" s="271"/>
      <c r="N442" s="271"/>
      <c r="O442" s="271"/>
      <c r="P442" s="271"/>
      <c r="Q442" s="271"/>
      <c r="R442" s="271"/>
      <c r="S442" s="271"/>
      <c r="T442" s="271"/>
      <c r="U442" s="271"/>
      <c r="V442" s="271"/>
      <c r="W442" s="271"/>
      <c r="X442" s="271"/>
      <c r="Y442" s="271"/>
      <c r="Z442" s="271"/>
      <c r="AA442" s="271"/>
    </row>
    <row r="443" spans="1:27" s="532" customFormat="1" x14ac:dyDescent="0.2">
      <c r="A443" s="472"/>
      <c r="B443" s="472"/>
      <c r="C443" s="472"/>
      <c r="D443" s="472"/>
      <c r="E443" s="557"/>
      <c r="F443" s="557"/>
      <c r="G443" s="557"/>
      <c r="H443" s="557"/>
      <c r="I443" s="557"/>
      <c r="J443" s="557"/>
      <c r="K443" s="557"/>
      <c r="M443" s="271"/>
      <c r="N443" s="271"/>
      <c r="O443" s="271"/>
      <c r="P443" s="271"/>
      <c r="Q443" s="271"/>
      <c r="R443" s="271"/>
      <c r="S443" s="271"/>
      <c r="T443" s="271"/>
      <c r="U443" s="271"/>
      <c r="V443" s="271"/>
      <c r="W443" s="271"/>
      <c r="X443" s="271"/>
      <c r="Y443" s="271"/>
      <c r="Z443" s="271"/>
      <c r="AA443" s="271"/>
    </row>
    <row r="444" spans="1:27" s="532" customFormat="1" x14ac:dyDescent="0.2">
      <c r="A444" s="472"/>
      <c r="B444" s="472"/>
      <c r="C444" s="472"/>
      <c r="D444" s="472"/>
      <c r="E444" s="557"/>
      <c r="F444" s="557"/>
      <c r="G444" s="557"/>
      <c r="H444" s="557"/>
      <c r="I444" s="557"/>
      <c r="J444" s="557"/>
      <c r="K444" s="557"/>
      <c r="M444" s="271"/>
      <c r="N444" s="271"/>
      <c r="O444" s="271"/>
      <c r="P444" s="271"/>
      <c r="Q444" s="271"/>
      <c r="R444" s="271"/>
      <c r="S444" s="271"/>
      <c r="T444" s="271"/>
      <c r="U444" s="271"/>
      <c r="V444" s="271"/>
      <c r="W444" s="271"/>
      <c r="X444" s="271"/>
      <c r="Y444" s="271"/>
      <c r="Z444" s="271"/>
      <c r="AA444" s="271"/>
    </row>
    <row r="445" spans="1:27" s="532" customFormat="1" x14ac:dyDescent="0.2">
      <c r="A445" s="472"/>
      <c r="B445" s="472"/>
      <c r="C445" s="472"/>
      <c r="D445" s="472"/>
      <c r="E445" s="557"/>
      <c r="F445" s="557"/>
      <c r="G445" s="557"/>
      <c r="H445" s="557"/>
      <c r="I445" s="557"/>
      <c r="J445" s="557"/>
      <c r="K445" s="557"/>
      <c r="M445" s="271"/>
      <c r="N445" s="271"/>
      <c r="O445" s="271"/>
      <c r="P445" s="271"/>
      <c r="Q445" s="271"/>
      <c r="R445" s="271"/>
      <c r="S445" s="271"/>
      <c r="T445" s="271"/>
      <c r="U445" s="271"/>
      <c r="V445" s="271"/>
      <c r="W445" s="271"/>
      <c r="X445" s="271"/>
      <c r="Y445" s="271"/>
      <c r="Z445" s="271"/>
      <c r="AA445" s="271"/>
    </row>
    <row r="446" spans="1:27" s="532" customFormat="1" x14ac:dyDescent="0.2">
      <c r="A446" s="472"/>
      <c r="B446" s="472"/>
      <c r="C446" s="472"/>
      <c r="D446" s="472"/>
      <c r="E446" s="557"/>
      <c r="F446" s="557"/>
      <c r="G446" s="557"/>
      <c r="H446" s="557"/>
      <c r="I446" s="557"/>
      <c r="J446" s="557"/>
      <c r="K446" s="557"/>
      <c r="M446" s="271"/>
      <c r="N446" s="271"/>
      <c r="O446" s="271"/>
      <c r="P446" s="271"/>
      <c r="Q446" s="271"/>
      <c r="R446" s="271"/>
      <c r="S446" s="271"/>
      <c r="T446" s="271"/>
      <c r="U446" s="271"/>
      <c r="V446" s="271"/>
      <c r="W446" s="271"/>
      <c r="X446" s="271"/>
      <c r="Y446" s="271"/>
      <c r="Z446" s="271"/>
      <c r="AA446" s="271"/>
    </row>
    <row r="447" spans="1:27" s="532" customFormat="1" x14ac:dyDescent="0.2">
      <c r="A447" s="472"/>
      <c r="B447" s="472"/>
      <c r="C447" s="472"/>
      <c r="D447" s="472"/>
      <c r="E447" s="557"/>
      <c r="F447" s="557"/>
      <c r="G447" s="557"/>
      <c r="H447" s="557"/>
      <c r="I447" s="557"/>
      <c r="J447" s="557"/>
      <c r="K447" s="557"/>
      <c r="M447" s="271"/>
      <c r="N447" s="271"/>
      <c r="O447" s="271"/>
      <c r="P447" s="271"/>
      <c r="Q447" s="271"/>
      <c r="R447" s="271"/>
      <c r="S447" s="271"/>
      <c r="T447" s="271"/>
      <c r="U447" s="271"/>
      <c r="V447" s="271"/>
      <c r="W447" s="271"/>
      <c r="X447" s="271"/>
      <c r="Y447" s="271"/>
      <c r="Z447" s="271"/>
      <c r="AA447" s="271"/>
    </row>
    <row r="448" spans="1:27" s="532" customFormat="1" x14ac:dyDescent="0.2">
      <c r="A448" s="472"/>
      <c r="B448" s="472"/>
      <c r="C448" s="472"/>
      <c r="D448" s="472"/>
      <c r="E448" s="557"/>
      <c r="F448" s="557"/>
      <c r="G448" s="557"/>
      <c r="H448" s="557"/>
      <c r="I448" s="557"/>
      <c r="J448" s="557"/>
      <c r="K448" s="557"/>
      <c r="M448" s="271"/>
      <c r="N448" s="271"/>
      <c r="O448" s="271"/>
      <c r="P448" s="271"/>
      <c r="Q448" s="271"/>
      <c r="R448" s="271"/>
      <c r="S448" s="271"/>
      <c r="T448" s="271"/>
      <c r="U448" s="271"/>
      <c r="V448" s="271"/>
      <c r="W448" s="271"/>
      <c r="X448" s="271"/>
      <c r="Y448" s="271"/>
      <c r="Z448" s="271"/>
      <c r="AA448" s="271"/>
    </row>
    <row r="449" spans="1:27" s="532" customFormat="1" x14ac:dyDescent="0.2">
      <c r="A449" s="472"/>
      <c r="B449" s="472"/>
      <c r="C449" s="472"/>
      <c r="D449" s="472"/>
      <c r="E449" s="557"/>
      <c r="F449" s="557"/>
      <c r="G449" s="557"/>
      <c r="H449" s="557"/>
      <c r="I449" s="557"/>
      <c r="J449" s="557"/>
      <c r="K449" s="557"/>
      <c r="M449" s="271"/>
      <c r="N449" s="271"/>
      <c r="O449" s="271"/>
      <c r="P449" s="271"/>
      <c r="Q449" s="271"/>
      <c r="R449" s="271"/>
      <c r="S449" s="271"/>
      <c r="T449" s="271"/>
      <c r="U449" s="271"/>
      <c r="V449" s="271"/>
      <c r="W449" s="271"/>
      <c r="X449" s="271"/>
      <c r="Y449" s="271"/>
      <c r="Z449" s="271"/>
      <c r="AA449" s="271"/>
    </row>
    <row r="450" spans="1:27" s="532" customFormat="1" x14ac:dyDescent="0.2">
      <c r="A450" s="472"/>
      <c r="B450" s="472"/>
      <c r="C450" s="472"/>
      <c r="D450" s="472"/>
      <c r="E450" s="557"/>
      <c r="F450" s="557"/>
      <c r="G450" s="557"/>
      <c r="H450" s="557"/>
      <c r="I450" s="557"/>
      <c r="J450" s="557"/>
      <c r="K450" s="557"/>
      <c r="M450" s="271"/>
      <c r="N450" s="271"/>
      <c r="O450" s="271"/>
      <c r="P450" s="271"/>
      <c r="Q450" s="271"/>
      <c r="R450" s="271"/>
      <c r="S450" s="271"/>
      <c r="T450" s="271"/>
      <c r="U450" s="271"/>
      <c r="V450" s="271"/>
      <c r="W450" s="271"/>
      <c r="X450" s="271"/>
      <c r="Y450" s="271"/>
      <c r="Z450" s="271"/>
      <c r="AA450" s="271"/>
    </row>
    <row r="451" spans="1:27" s="532" customFormat="1" x14ac:dyDescent="0.2">
      <c r="A451" s="472"/>
      <c r="B451" s="472"/>
      <c r="C451" s="472"/>
      <c r="D451" s="472"/>
      <c r="E451" s="557"/>
      <c r="F451" s="557"/>
      <c r="G451" s="557"/>
      <c r="H451" s="557"/>
      <c r="I451" s="557"/>
      <c r="J451" s="557"/>
      <c r="K451" s="557"/>
      <c r="M451" s="271"/>
      <c r="N451" s="271"/>
      <c r="O451" s="271"/>
      <c r="P451" s="271"/>
      <c r="Q451" s="271"/>
      <c r="R451" s="271"/>
      <c r="S451" s="271"/>
      <c r="T451" s="271"/>
      <c r="U451" s="271"/>
      <c r="V451" s="271"/>
      <c r="W451" s="271"/>
      <c r="X451" s="271"/>
      <c r="Y451" s="271"/>
      <c r="Z451" s="271"/>
      <c r="AA451" s="271"/>
    </row>
    <row r="452" spans="1:27" s="532" customFormat="1" x14ac:dyDescent="0.2">
      <c r="A452" s="472"/>
      <c r="B452" s="472"/>
      <c r="C452" s="472"/>
      <c r="D452" s="472"/>
      <c r="E452" s="557"/>
      <c r="F452" s="557"/>
      <c r="G452" s="557"/>
      <c r="H452" s="557"/>
      <c r="I452" s="557"/>
      <c r="J452" s="557"/>
      <c r="K452" s="557"/>
      <c r="M452" s="271"/>
      <c r="N452" s="271"/>
      <c r="O452" s="271"/>
      <c r="P452" s="271"/>
      <c r="Q452" s="271"/>
      <c r="R452" s="271"/>
      <c r="S452" s="271"/>
      <c r="T452" s="271"/>
      <c r="U452" s="271"/>
      <c r="V452" s="271"/>
      <c r="W452" s="271"/>
      <c r="X452" s="271"/>
      <c r="Y452" s="271"/>
      <c r="Z452" s="271"/>
      <c r="AA452" s="271"/>
    </row>
    <row r="453" spans="1:27" s="532" customFormat="1" x14ac:dyDescent="0.2">
      <c r="A453" s="472"/>
      <c r="B453" s="472"/>
      <c r="C453" s="472"/>
      <c r="D453" s="472"/>
      <c r="E453" s="557"/>
      <c r="F453" s="557"/>
      <c r="G453" s="557"/>
      <c r="H453" s="557"/>
      <c r="I453" s="557"/>
      <c r="J453" s="557"/>
      <c r="K453" s="557"/>
      <c r="M453" s="271"/>
      <c r="N453" s="271"/>
      <c r="O453" s="271"/>
      <c r="P453" s="271"/>
      <c r="Q453" s="271"/>
      <c r="R453" s="271"/>
      <c r="S453" s="271"/>
      <c r="T453" s="271"/>
      <c r="U453" s="271"/>
      <c r="V453" s="271"/>
      <c r="W453" s="271"/>
      <c r="X453" s="271"/>
      <c r="Y453" s="271"/>
      <c r="Z453" s="271"/>
      <c r="AA453" s="271"/>
    </row>
    <row r="454" spans="1:27" s="532" customFormat="1" x14ac:dyDescent="0.2">
      <c r="A454" s="472"/>
      <c r="B454" s="472"/>
      <c r="C454" s="472"/>
      <c r="D454" s="472"/>
      <c r="E454" s="557"/>
      <c r="F454" s="557"/>
      <c r="G454" s="557"/>
      <c r="H454" s="557"/>
      <c r="I454" s="557"/>
      <c r="J454" s="557"/>
      <c r="K454" s="557"/>
      <c r="M454" s="271"/>
      <c r="N454" s="271"/>
      <c r="O454" s="271"/>
      <c r="P454" s="271"/>
      <c r="Q454" s="271"/>
      <c r="R454" s="271"/>
      <c r="S454" s="271"/>
      <c r="T454" s="271"/>
      <c r="U454" s="271"/>
      <c r="V454" s="271"/>
      <c r="W454" s="271"/>
      <c r="X454" s="271"/>
      <c r="Y454" s="271"/>
      <c r="Z454" s="271"/>
      <c r="AA454" s="271"/>
    </row>
    <row r="455" spans="1:27" s="532" customFormat="1" x14ac:dyDescent="0.2">
      <c r="A455" s="472"/>
      <c r="B455" s="472"/>
      <c r="C455" s="472"/>
      <c r="D455" s="472"/>
      <c r="E455" s="557"/>
      <c r="F455" s="557"/>
      <c r="G455" s="557"/>
      <c r="H455" s="557"/>
      <c r="I455" s="557"/>
      <c r="J455" s="557"/>
      <c r="K455" s="557"/>
      <c r="M455" s="271"/>
      <c r="N455" s="271"/>
      <c r="O455" s="271"/>
      <c r="P455" s="271"/>
      <c r="Q455" s="271"/>
      <c r="R455" s="271"/>
      <c r="S455" s="271"/>
      <c r="T455" s="271"/>
      <c r="U455" s="271"/>
      <c r="V455" s="271"/>
      <c r="W455" s="271"/>
      <c r="X455" s="271"/>
      <c r="Y455" s="271"/>
      <c r="Z455" s="271"/>
      <c r="AA455" s="271"/>
    </row>
    <row r="456" spans="1:27" s="532" customFormat="1" x14ac:dyDescent="0.2">
      <c r="A456" s="472"/>
      <c r="B456" s="472"/>
      <c r="C456" s="472"/>
      <c r="D456" s="472"/>
      <c r="E456" s="557"/>
      <c r="F456" s="557"/>
      <c r="G456" s="557"/>
      <c r="H456" s="557"/>
      <c r="I456" s="557"/>
      <c r="J456" s="557"/>
      <c r="K456" s="557"/>
      <c r="M456" s="271"/>
      <c r="N456" s="271"/>
      <c r="O456" s="271"/>
      <c r="P456" s="271"/>
      <c r="Q456" s="271"/>
      <c r="R456" s="271"/>
      <c r="S456" s="271"/>
      <c r="T456" s="271"/>
      <c r="U456" s="271"/>
      <c r="V456" s="271"/>
      <c r="W456" s="271"/>
      <c r="X456" s="271"/>
      <c r="Y456" s="271"/>
      <c r="Z456" s="271"/>
      <c r="AA456" s="271"/>
    </row>
    <row r="457" spans="1:27" s="532" customFormat="1" x14ac:dyDescent="0.2">
      <c r="A457" s="472"/>
      <c r="B457" s="472"/>
      <c r="C457" s="472"/>
      <c r="D457" s="472"/>
      <c r="E457" s="557"/>
      <c r="F457" s="557"/>
      <c r="G457" s="557"/>
      <c r="H457" s="557"/>
      <c r="I457" s="557"/>
      <c r="J457" s="557"/>
      <c r="K457" s="557"/>
      <c r="M457" s="271"/>
      <c r="N457" s="271"/>
      <c r="O457" s="271"/>
      <c r="P457" s="271"/>
      <c r="Q457" s="271"/>
      <c r="R457" s="271"/>
      <c r="S457" s="271"/>
      <c r="T457" s="271"/>
      <c r="U457" s="271"/>
      <c r="V457" s="271"/>
      <c r="W457" s="271"/>
      <c r="X457" s="271"/>
      <c r="Y457" s="271"/>
      <c r="Z457" s="271"/>
      <c r="AA457" s="271"/>
    </row>
    <row r="458" spans="1:27" s="532" customFormat="1" x14ac:dyDescent="0.2">
      <c r="A458" s="472"/>
      <c r="B458" s="472"/>
      <c r="C458" s="472"/>
      <c r="D458" s="472"/>
      <c r="E458" s="557"/>
      <c r="F458" s="557"/>
      <c r="G458" s="557"/>
      <c r="H458" s="557"/>
      <c r="I458" s="557"/>
      <c r="J458" s="557"/>
      <c r="K458" s="557"/>
      <c r="M458" s="271"/>
      <c r="N458" s="271"/>
      <c r="O458" s="271"/>
      <c r="P458" s="271"/>
      <c r="Q458" s="271"/>
      <c r="R458" s="271"/>
      <c r="S458" s="271"/>
      <c r="T458" s="271"/>
      <c r="U458" s="271"/>
      <c r="V458" s="271"/>
      <c r="W458" s="271"/>
      <c r="X458" s="271"/>
      <c r="Y458" s="271"/>
      <c r="Z458" s="271"/>
      <c r="AA458" s="271"/>
    </row>
    <row r="459" spans="1:27" s="532" customFormat="1" x14ac:dyDescent="0.2">
      <c r="A459" s="472"/>
      <c r="B459" s="472"/>
      <c r="C459" s="472"/>
      <c r="D459" s="472"/>
      <c r="E459" s="557"/>
      <c r="F459" s="557"/>
      <c r="G459" s="557"/>
      <c r="H459" s="557"/>
      <c r="I459" s="557"/>
      <c r="J459" s="557"/>
      <c r="K459" s="557"/>
      <c r="M459" s="271"/>
      <c r="N459" s="271"/>
      <c r="O459" s="271"/>
      <c r="P459" s="271"/>
      <c r="Q459" s="271"/>
      <c r="R459" s="271"/>
      <c r="S459" s="271"/>
      <c r="T459" s="271"/>
      <c r="U459" s="271"/>
      <c r="V459" s="271"/>
      <c r="W459" s="271"/>
      <c r="X459" s="271"/>
      <c r="Y459" s="271"/>
      <c r="Z459" s="271"/>
      <c r="AA459" s="271"/>
    </row>
    <row r="460" spans="1:27" s="532" customFormat="1" x14ac:dyDescent="0.2">
      <c r="A460" s="472"/>
      <c r="B460" s="472"/>
      <c r="C460" s="472"/>
      <c r="D460" s="472"/>
      <c r="E460" s="557"/>
      <c r="F460" s="557"/>
      <c r="G460" s="557"/>
      <c r="H460" s="557"/>
      <c r="I460" s="557"/>
      <c r="J460" s="557"/>
      <c r="K460" s="557"/>
      <c r="M460" s="271"/>
      <c r="N460" s="271"/>
      <c r="O460" s="271"/>
      <c r="P460" s="271"/>
      <c r="Q460" s="271"/>
      <c r="R460" s="271"/>
      <c r="S460" s="271"/>
      <c r="T460" s="271"/>
      <c r="U460" s="271"/>
      <c r="V460" s="271"/>
      <c r="W460" s="271"/>
      <c r="X460" s="271"/>
      <c r="Y460" s="271"/>
      <c r="Z460" s="271"/>
      <c r="AA460" s="271"/>
    </row>
    <row r="461" spans="1:27" s="532" customFormat="1" x14ac:dyDescent="0.2">
      <c r="A461" s="472"/>
      <c r="B461" s="472"/>
      <c r="C461" s="472"/>
      <c r="D461" s="472"/>
      <c r="E461" s="557"/>
      <c r="F461" s="557"/>
      <c r="G461" s="557"/>
      <c r="H461" s="557"/>
      <c r="I461" s="557"/>
      <c r="J461" s="557"/>
      <c r="K461" s="557"/>
      <c r="M461" s="271"/>
      <c r="N461" s="271"/>
      <c r="O461" s="271"/>
      <c r="P461" s="271"/>
      <c r="Q461" s="271"/>
      <c r="R461" s="271"/>
      <c r="S461" s="271"/>
      <c r="T461" s="271"/>
      <c r="U461" s="271"/>
      <c r="V461" s="271"/>
      <c r="W461" s="271"/>
      <c r="X461" s="271"/>
      <c r="Y461" s="271"/>
      <c r="Z461" s="271"/>
      <c r="AA461" s="271"/>
    </row>
    <row r="462" spans="1:27" s="532" customFormat="1" x14ac:dyDescent="0.2">
      <c r="A462" s="472"/>
      <c r="B462" s="472"/>
      <c r="C462" s="472"/>
      <c r="D462" s="472"/>
      <c r="E462" s="557"/>
      <c r="F462" s="557"/>
      <c r="G462" s="557"/>
      <c r="H462" s="557"/>
      <c r="I462" s="557"/>
      <c r="J462" s="557"/>
      <c r="K462" s="557"/>
      <c r="M462" s="271"/>
      <c r="N462" s="271"/>
      <c r="O462" s="271"/>
      <c r="P462" s="271"/>
      <c r="Q462" s="271"/>
      <c r="R462" s="271"/>
      <c r="S462" s="271"/>
      <c r="T462" s="271"/>
      <c r="U462" s="271"/>
      <c r="V462" s="271"/>
      <c r="W462" s="271"/>
      <c r="X462" s="271"/>
      <c r="Y462" s="271"/>
      <c r="Z462" s="271"/>
      <c r="AA462" s="271"/>
    </row>
    <row r="463" spans="1:27" s="532" customFormat="1" x14ac:dyDescent="0.2">
      <c r="A463" s="472"/>
      <c r="B463" s="472"/>
      <c r="C463" s="472"/>
      <c r="D463" s="472"/>
      <c r="E463" s="557"/>
      <c r="F463" s="557"/>
      <c r="G463" s="557"/>
      <c r="H463" s="557"/>
      <c r="I463" s="557"/>
      <c r="J463" s="557"/>
      <c r="K463" s="557"/>
      <c r="M463" s="271"/>
      <c r="N463" s="271"/>
      <c r="O463" s="271"/>
      <c r="P463" s="271"/>
      <c r="Q463" s="271"/>
      <c r="R463" s="271"/>
      <c r="S463" s="271"/>
      <c r="T463" s="271"/>
      <c r="U463" s="271"/>
      <c r="V463" s="271"/>
      <c r="W463" s="271"/>
      <c r="X463" s="271"/>
      <c r="Y463" s="271"/>
      <c r="Z463" s="271"/>
      <c r="AA463" s="271"/>
    </row>
    <row r="464" spans="1:27" s="532" customFormat="1" x14ac:dyDescent="0.2">
      <c r="A464" s="472"/>
      <c r="B464" s="472"/>
      <c r="C464" s="472"/>
      <c r="D464" s="472"/>
      <c r="E464" s="557"/>
      <c r="F464" s="557"/>
      <c r="G464" s="557"/>
      <c r="H464" s="557"/>
      <c r="I464" s="557"/>
      <c r="J464" s="557"/>
      <c r="K464" s="557"/>
      <c r="M464" s="271"/>
      <c r="N464" s="271"/>
      <c r="O464" s="271"/>
      <c r="P464" s="271"/>
      <c r="Q464" s="271"/>
      <c r="R464" s="271"/>
      <c r="S464" s="271"/>
      <c r="T464" s="271"/>
      <c r="U464" s="271"/>
      <c r="V464" s="271"/>
      <c r="W464" s="271"/>
      <c r="X464" s="271"/>
      <c r="Y464" s="271"/>
      <c r="Z464" s="271"/>
      <c r="AA464" s="271"/>
    </row>
    <row r="465" spans="1:27" s="532" customFormat="1" x14ac:dyDescent="0.2">
      <c r="A465" s="472"/>
      <c r="B465" s="472"/>
      <c r="C465" s="472"/>
      <c r="D465" s="472"/>
      <c r="E465" s="557"/>
      <c r="F465" s="557"/>
      <c r="G465" s="557"/>
      <c r="H465" s="557"/>
      <c r="I465" s="557"/>
      <c r="J465" s="557"/>
      <c r="K465" s="557"/>
      <c r="M465" s="271"/>
      <c r="N465" s="271"/>
      <c r="O465" s="271"/>
      <c r="P465" s="271"/>
      <c r="Q465" s="271"/>
      <c r="R465" s="271"/>
      <c r="S465" s="271"/>
      <c r="T465" s="271"/>
      <c r="U465" s="271"/>
      <c r="V465" s="271"/>
      <c r="W465" s="271"/>
      <c r="X465" s="271"/>
      <c r="Y465" s="271"/>
      <c r="Z465" s="271"/>
      <c r="AA465" s="271"/>
    </row>
    <row r="466" spans="1:27" s="532" customFormat="1" x14ac:dyDescent="0.2">
      <c r="A466" s="472"/>
      <c r="B466" s="472"/>
      <c r="C466" s="472"/>
      <c r="D466" s="472"/>
      <c r="E466" s="557"/>
      <c r="F466" s="557"/>
      <c r="G466" s="557"/>
      <c r="H466" s="557"/>
      <c r="I466" s="557"/>
      <c r="J466" s="557"/>
      <c r="K466" s="557"/>
      <c r="M466" s="271"/>
      <c r="N466" s="271"/>
      <c r="O466" s="271"/>
      <c r="P466" s="271"/>
      <c r="Q466" s="271"/>
      <c r="R466" s="271"/>
      <c r="S466" s="271"/>
      <c r="T466" s="271"/>
      <c r="U466" s="271"/>
      <c r="V466" s="271"/>
      <c r="W466" s="271"/>
      <c r="X466" s="271"/>
      <c r="Y466" s="271"/>
      <c r="Z466" s="271"/>
      <c r="AA466" s="271"/>
    </row>
    <row r="467" spans="1:27" s="532" customFormat="1" x14ac:dyDescent="0.2">
      <c r="A467" s="472"/>
      <c r="B467" s="472"/>
      <c r="C467" s="472"/>
      <c r="D467" s="472"/>
      <c r="E467" s="557"/>
      <c r="F467" s="557"/>
      <c r="G467" s="557"/>
      <c r="H467" s="557"/>
      <c r="I467" s="557"/>
      <c r="J467" s="557"/>
      <c r="K467" s="557"/>
      <c r="M467" s="271"/>
      <c r="N467" s="271"/>
      <c r="O467" s="271"/>
      <c r="P467" s="271"/>
      <c r="Q467" s="271"/>
      <c r="R467" s="271"/>
      <c r="S467" s="271"/>
      <c r="T467" s="271"/>
      <c r="U467" s="271"/>
      <c r="V467" s="271"/>
      <c r="W467" s="271"/>
      <c r="X467" s="271"/>
      <c r="Y467" s="271"/>
      <c r="Z467" s="271"/>
      <c r="AA467" s="271"/>
    </row>
    <row r="468" spans="1:27" s="532" customFormat="1" x14ac:dyDescent="0.2">
      <c r="A468" s="472"/>
      <c r="B468" s="472"/>
      <c r="C468" s="472"/>
      <c r="D468" s="472"/>
      <c r="E468" s="557"/>
      <c r="F468" s="557"/>
      <c r="G468" s="557"/>
      <c r="H468" s="557"/>
      <c r="I468" s="557"/>
      <c r="J468" s="557"/>
      <c r="K468" s="557"/>
      <c r="M468" s="271"/>
      <c r="N468" s="271"/>
      <c r="O468" s="271"/>
      <c r="P468" s="271"/>
      <c r="Q468" s="271"/>
      <c r="R468" s="271"/>
      <c r="S468" s="271"/>
      <c r="T468" s="271"/>
      <c r="U468" s="271"/>
      <c r="V468" s="271"/>
      <c r="W468" s="271"/>
      <c r="X468" s="271"/>
      <c r="Y468" s="271"/>
      <c r="Z468" s="271"/>
      <c r="AA468" s="271"/>
    </row>
    <row r="469" spans="1:27" s="532" customFormat="1" x14ac:dyDescent="0.2">
      <c r="A469" s="472"/>
      <c r="B469" s="472"/>
      <c r="C469" s="472"/>
      <c r="D469" s="472"/>
      <c r="E469" s="557"/>
      <c r="F469" s="557"/>
      <c r="G469" s="557"/>
      <c r="H469" s="557"/>
      <c r="I469" s="557"/>
      <c r="J469" s="557"/>
      <c r="K469" s="557"/>
      <c r="M469" s="271"/>
      <c r="N469" s="271"/>
      <c r="O469" s="271"/>
      <c r="P469" s="271"/>
      <c r="Q469" s="271"/>
      <c r="R469" s="271"/>
      <c r="S469" s="271"/>
      <c r="T469" s="271"/>
      <c r="U469" s="271"/>
      <c r="V469" s="271"/>
      <c r="W469" s="271"/>
      <c r="X469" s="271"/>
      <c r="Y469" s="271"/>
      <c r="Z469" s="271"/>
      <c r="AA469" s="271"/>
    </row>
    <row r="470" spans="1:27" s="532" customFormat="1" x14ac:dyDescent="0.2">
      <c r="A470" s="472"/>
      <c r="B470" s="472"/>
      <c r="C470" s="472"/>
      <c r="D470" s="472"/>
      <c r="E470" s="557"/>
      <c r="F470" s="557"/>
      <c r="G470" s="557"/>
      <c r="H470" s="557"/>
      <c r="I470" s="557"/>
      <c r="J470" s="557"/>
      <c r="K470" s="557"/>
      <c r="M470" s="271"/>
      <c r="N470" s="271"/>
      <c r="O470" s="271"/>
      <c r="P470" s="271"/>
      <c r="Q470" s="271"/>
      <c r="R470" s="271"/>
      <c r="S470" s="271"/>
      <c r="T470" s="271"/>
      <c r="U470" s="271"/>
      <c r="V470" s="271"/>
      <c r="W470" s="271"/>
      <c r="X470" s="271"/>
      <c r="Y470" s="271"/>
      <c r="Z470" s="271"/>
      <c r="AA470" s="271"/>
    </row>
    <row r="471" spans="1:27" s="532" customFormat="1" x14ac:dyDescent="0.2">
      <c r="A471" s="472"/>
      <c r="B471" s="472"/>
      <c r="C471" s="472"/>
      <c r="D471" s="472"/>
      <c r="E471" s="557"/>
      <c r="F471" s="557"/>
      <c r="G471" s="557"/>
      <c r="H471" s="557"/>
      <c r="I471" s="557"/>
      <c r="J471" s="557"/>
      <c r="K471" s="557"/>
      <c r="M471" s="271"/>
      <c r="N471" s="271"/>
      <c r="O471" s="271"/>
      <c r="P471" s="271"/>
      <c r="Q471" s="271"/>
      <c r="R471" s="271"/>
      <c r="S471" s="271"/>
      <c r="T471" s="271"/>
      <c r="U471" s="271"/>
      <c r="V471" s="271"/>
      <c r="W471" s="271"/>
      <c r="X471" s="271"/>
      <c r="Y471" s="271"/>
      <c r="Z471" s="271"/>
      <c r="AA471" s="271"/>
    </row>
    <row r="472" spans="1:27" s="532" customFormat="1" x14ac:dyDescent="0.2">
      <c r="A472" s="472"/>
      <c r="B472" s="472"/>
      <c r="C472" s="472"/>
      <c r="D472" s="472"/>
      <c r="E472" s="557"/>
      <c r="F472" s="557"/>
      <c r="G472" s="557"/>
      <c r="H472" s="557"/>
      <c r="I472" s="557"/>
      <c r="J472" s="557"/>
      <c r="K472" s="557"/>
      <c r="M472" s="271"/>
      <c r="N472" s="271"/>
      <c r="O472" s="271"/>
      <c r="P472" s="271"/>
      <c r="Q472" s="271"/>
      <c r="R472" s="271"/>
      <c r="S472" s="271"/>
      <c r="T472" s="271"/>
      <c r="U472" s="271"/>
      <c r="V472" s="271"/>
      <c r="W472" s="271"/>
      <c r="X472" s="271"/>
      <c r="Y472" s="271"/>
      <c r="Z472" s="271"/>
      <c r="AA472" s="271"/>
    </row>
    <row r="473" spans="1:27" s="532" customFormat="1" x14ac:dyDescent="0.2">
      <c r="A473" s="472"/>
      <c r="B473" s="472"/>
      <c r="C473" s="472"/>
      <c r="D473" s="472"/>
      <c r="E473" s="557"/>
      <c r="F473" s="557"/>
      <c r="G473" s="557"/>
      <c r="H473" s="557"/>
      <c r="I473" s="557"/>
      <c r="J473" s="557"/>
      <c r="K473" s="557"/>
      <c r="M473" s="271"/>
      <c r="N473" s="271"/>
      <c r="O473" s="271"/>
      <c r="P473" s="271"/>
      <c r="Q473" s="271"/>
      <c r="R473" s="271"/>
      <c r="S473" s="271"/>
      <c r="T473" s="271"/>
      <c r="U473" s="271"/>
      <c r="V473" s="271"/>
      <c r="W473" s="271"/>
      <c r="X473" s="271"/>
      <c r="Y473" s="271"/>
      <c r="Z473" s="271"/>
      <c r="AA473" s="271"/>
    </row>
    <row r="474" spans="1:27" s="532" customFormat="1" x14ac:dyDescent="0.2">
      <c r="A474" s="472"/>
      <c r="B474" s="472"/>
      <c r="C474" s="472"/>
      <c r="D474" s="472"/>
      <c r="E474" s="557"/>
      <c r="F474" s="557"/>
      <c r="G474" s="557"/>
      <c r="H474" s="557"/>
      <c r="I474" s="557"/>
      <c r="J474" s="557"/>
      <c r="K474" s="557"/>
      <c r="M474" s="271"/>
      <c r="N474" s="271"/>
      <c r="O474" s="271"/>
      <c r="P474" s="271"/>
      <c r="Q474" s="271"/>
      <c r="R474" s="271"/>
      <c r="S474" s="271"/>
      <c r="T474" s="271"/>
      <c r="U474" s="271"/>
      <c r="V474" s="271"/>
      <c r="W474" s="271"/>
      <c r="X474" s="271"/>
      <c r="Y474" s="271"/>
      <c r="Z474" s="271"/>
      <c r="AA474" s="271"/>
    </row>
    <row r="475" spans="1:27" s="532" customFormat="1" x14ac:dyDescent="0.2">
      <c r="A475" s="472"/>
      <c r="B475" s="472"/>
      <c r="C475" s="472"/>
      <c r="D475" s="472"/>
      <c r="E475" s="557"/>
      <c r="F475" s="557"/>
      <c r="G475" s="557"/>
      <c r="H475" s="557"/>
      <c r="I475" s="557"/>
      <c r="J475" s="557"/>
      <c r="K475" s="557"/>
      <c r="M475" s="271"/>
      <c r="N475" s="271"/>
      <c r="O475" s="271"/>
      <c r="P475" s="271"/>
      <c r="Q475" s="271"/>
      <c r="R475" s="271"/>
      <c r="S475" s="271"/>
      <c r="T475" s="271"/>
      <c r="U475" s="271"/>
      <c r="V475" s="271"/>
      <c r="W475" s="271"/>
      <c r="X475" s="271"/>
      <c r="Y475" s="271"/>
      <c r="Z475" s="271"/>
      <c r="AA475" s="271"/>
    </row>
    <row r="476" spans="1:27" s="532" customFormat="1" x14ac:dyDescent="0.2">
      <c r="A476" s="472"/>
      <c r="B476" s="472"/>
      <c r="C476" s="472"/>
      <c r="D476" s="472"/>
      <c r="E476" s="557"/>
      <c r="F476" s="557"/>
      <c r="G476" s="557"/>
      <c r="H476" s="557"/>
      <c r="I476" s="557"/>
      <c r="J476" s="557"/>
      <c r="K476" s="557"/>
      <c r="M476" s="271"/>
      <c r="N476" s="271"/>
      <c r="O476" s="271"/>
      <c r="P476" s="271"/>
      <c r="Q476" s="271"/>
      <c r="R476" s="271"/>
      <c r="S476" s="271"/>
      <c r="T476" s="271"/>
      <c r="U476" s="271"/>
      <c r="V476" s="271"/>
      <c r="W476" s="271"/>
      <c r="X476" s="271"/>
      <c r="Y476" s="271"/>
      <c r="Z476" s="271"/>
      <c r="AA476" s="271"/>
    </row>
    <row r="477" spans="1:27" s="532" customFormat="1" x14ac:dyDescent="0.2">
      <c r="A477" s="472"/>
      <c r="B477" s="472"/>
      <c r="C477" s="472"/>
      <c r="D477" s="472"/>
      <c r="E477" s="557"/>
      <c r="F477" s="557"/>
      <c r="G477" s="557"/>
      <c r="H477" s="557"/>
      <c r="I477" s="557"/>
      <c r="J477" s="557"/>
      <c r="K477" s="557"/>
      <c r="M477" s="271"/>
      <c r="N477" s="271"/>
      <c r="O477" s="271"/>
      <c r="P477" s="271"/>
      <c r="Q477" s="271"/>
      <c r="R477" s="271"/>
      <c r="S477" s="271"/>
      <c r="T477" s="271"/>
      <c r="U477" s="271"/>
      <c r="V477" s="271"/>
      <c r="W477" s="271"/>
      <c r="X477" s="271"/>
      <c r="Y477" s="271"/>
      <c r="Z477" s="271"/>
      <c r="AA477" s="271"/>
    </row>
    <row r="478" spans="1:27" s="532" customFormat="1" x14ac:dyDescent="0.2">
      <c r="A478" s="472"/>
      <c r="B478" s="472"/>
      <c r="C478" s="472"/>
      <c r="D478" s="472"/>
      <c r="E478" s="557"/>
      <c r="F478" s="557"/>
      <c r="G478" s="557"/>
      <c r="H478" s="557"/>
      <c r="I478" s="557"/>
      <c r="J478" s="557"/>
      <c r="K478" s="557"/>
      <c r="M478" s="271"/>
      <c r="N478" s="271"/>
      <c r="O478" s="271"/>
      <c r="P478" s="271"/>
      <c r="Q478" s="271"/>
      <c r="R478" s="271"/>
      <c r="S478" s="271"/>
      <c r="T478" s="271"/>
      <c r="U478" s="271"/>
      <c r="V478" s="271"/>
      <c r="W478" s="271"/>
      <c r="X478" s="271"/>
      <c r="Y478" s="271"/>
      <c r="Z478" s="271"/>
      <c r="AA478" s="271"/>
    </row>
    <row r="479" spans="1:27" s="532" customFormat="1" x14ac:dyDescent="0.2">
      <c r="A479" s="472"/>
      <c r="B479" s="472"/>
      <c r="C479" s="472"/>
      <c r="D479" s="472"/>
      <c r="E479" s="557"/>
      <c r="F479" s="557"/>
      <c r="G479" s="557"/>
      <c r="H479" s="557"/>
      <c r="I479" s="557"/>
      <c r="J479" s="557"/>
      <c r="K479" s="557"/>
      <c r="M479" s="271"/>
      <c r="N479" s="271"/>
      <c r="O479" s="271"/>
      <c r="P479" s="271"/>
      <c r="Q479" s="271"/>
      <c r="R479" s="271"/>
      <c r="S479" s="271"/>
      <c r="T479" s="271"/>
      <c r="U479" s="271"/>
      <c r="V479" s="271"/>
      <c r="W479" s="271"/>
      <c r="X479" s="271"/>
      <c r="Y479" s="271"/>
      <c r="Z479" s="271"/>
      <c r="AA479" s="271"/>
    </row>
    <row r="480" spans="1:27" s="532" customFormat="1" x14ac:dyDescent="0.2">
      <c r="A480" s="472"/>
      <c r="B480" s="472"/>
      <c r="C480" s="472"/>
      <c r="D480" s="472"/>
      <c r="E480" s="557"/>
      <c r="F480" s="557"/>
      <c r="G480" s="557"/>
      <c r="H480" s="557"/>
      <c r="I480" s="557"/>
      <c r="J480" s="557"/>
      <c r="K480" s="557"/>
      <c r="M480" s="271"/>
      <c r="N480" s="271"/>
      <c r="O480" s="271"/>
      <c r="P480" s="271"/>
      <c r="Q480" s="271"/>
      <c r="R480" s="271"/>
      <c r="S480" s="271"/>
      <c r="T480" s="271"/>
      <c r="U480" s="271"/>
      <c r="V480" s="271"/>
      <c r="W480" s="271"/>
      <c r="X480" s="271"/>
      <c r="Y480" s="271"/>
      <c r="Z480" s="271"/>
      <c r="AA480" s="271"/>
    </row>
    <row r="481" spans="1:27" s="532" customFormat="1" x14ac:dyDescent="0.2">
      <c r="A481" s="472"/>
      <c r="B481" s="472"/>
      <c r="C481" s="472"/>
      <c r="D481" s="472"/>
      <c r="E481" s="557"/>
      <c r="F481" s="557"/>
      <c r="G481" s="557"/>
      <c r="H481" s="557"/>
      <c r="I481" s="557"/>
      <c r="J481" s="557"/>
      <c r="K481" s="557"/>
      <c r="M481" s="271"/>
      <c r="N481" s="271"/>
      <c r="O481" s="271"/>
      <c r="P481" s="271"/>
      <c r="Q481" s="271"/>
      <c r="R481" s="271"/>
      <c r="S481" s="271"/>
      <c r="T481" s="271"/>
      <c r="U481" s="271"/>
      <c r="V481" s="271"/>
      <c r="W481" s="271"/>
      <c r="X481" s="271"/>
      <c r="Y481" s="271"/>
      <c r="Z481" s="271"/>
      <c r="AA481" s="271"/>
    </row>
    <row r="482" spans="1:27" s="532" customFormat="1" x14ac:dyDescent="0.2">
      <c r="A482" s="472"/>
      <c r="B482" s="472"/>
      <c r="C482" s="472"/>
      <c r="D482" s="472"/>
      <c r="E482" s="557"/>
      <c r="F482" s="557"/>
      <c r="G482" s="557"/>
      <c r="H482" s="557"/>
      <c r="I482" s="557"/>
      <c r="J482" s="557"/>
      <c r="K482" s="557"/>
      <c r="M482" s="271"/>
      <c r="N482" s="271"/>
      <c r="O482" s="271"/>
      <c r="P482" s="271"/>
      <c r="Q482" s="271"/>
      <c r="R482" s="271"/>
      <c r="S482" s="271"/>
      <c r="T482" s="271"/>
      <c r="U482" s="271"/>
      <c r="V482" s="271"/>
      <c r="W482" s="271"/>
      <c r="X482" s="271"/>
      <c r="Y482" s="271"/>
      <c r="Z482" s="271"/>
      <c r="AA482" s="271"/>
    </row>
    <row r="483" spans="1:27" s="532" customFormat="1" x14ac:dyDescent="0.2">
      <c r="A483" s="472"/>
      <c r="B483" s="472"/>
      <c r="C483" s="472"/>
      <c r="D483" s="472"/>
      <c r="E483" s="557"/>
      <c r="F483" s="557"/>
      <c r="G483" s="557"/>
      <c r="H483" s="557"/>
      <c r="I483" s="557"/>
      <c r="J483" s="557"/>
      <c r="K483" s="557"/>
      <c r="M483" s="271"/>
      <c r="N483" s="271"/>
      <c r="O483" s="271"/>
      <c r="P483" s="271"/>
      <c r="Q483" s="271"/>
      <c r="R483" s="271"/>
      <c r="S483" s="271"/>
      <c r="T483" s="271"/>
      <c r="U483" s="271"/>
      <c r="V483" s="271"/>
      <c r="W483" s="271"/>
      <c r="X483" s="271"/>
      <c r="Y483" s="271"/>
      <c r="Z483" s="271"/>
      <c r="AA483" s="271"/>
    </row>
    <row r="484" spans="1:27" s="532" customFormat="1" x14ac:dyDescent="0.2">
      <c r="A484" s="472"/>
      <c r="B484" s="472"/>
      <c r="C484" s="472"/>
      <c r="D484" s="472"/>
      <c r="E484" s="557"/>
      <c r="F484" s="557"/>
      <c r="G484" s="557"/>
      <c r="H484" s="557"/>
      <c r="I484" s="557"/>
      <c r="J484" s="557"/>
      <c r="K484" s="557"/>
      <c r="M484" s="271"/>
      <c r="N484" s="271"/>
      <c r="O484" s="271"/>
      <c r="P484" s="271"/>
      <c r="Q484" s="271"/>
      <c r="R484" s="271"/>
      <c r="S484" s="271"/>
      <c r="T484" s="271"/>
      <c r="U484" s="271"/>
      <c r="V484" s="271"/>
      <c r="W484" s="271"/>
      <c r="X484" s="271"/>
      <c r="Y484" s="271"/>
      <c r="Z484" s="271"/>
      <c r="AA484" s="271"/>
    </row>
    <row r="485" spans="1:27" s="532" customFormat="1" x14ac:dyDescent="0.2">
      <c r="A485" s="472"/>
      <c r="B485" s="472"/>
      <c r="C485" s="472"/>
      <c r="D485" s="472"/>
      <c r="E485" s="557"/>
      <c r="F485" s="557"/>
      <c r="G485" s="557"/>
      <c r="H485" s="557"/>
      <c r="I485" s="557"/>
      <c r="J485" s="557"/>
      <c r="K485" s="557"/>
      <c r="M485" s="271"/>
      <c r="N485" s="271"/>
      <c r="O485" s="271"/>
      <c r="P485" s="271"/>
      <c r="Q485" s="271"/>
      <c r="R485" s="271"/>
      <c r="S485" s="271"/>
      <c r="T485" s="271"/>
      <c r="U485" s="271"/>
      <c r="V485" s="271"/>
      <c r="W485" s="271"/>
      <c r="X485" s="271"/>
      <c r="Y485" s="271"/>
      <c r="Z485" s="271"/>
      <c r="AA485" s="271"/>
    </row>
    <row r="486" spans="1:27" s="532" customFormat="1" x14ac:dyDescent="0.2">
      <c r="A486" s="472"/>
      <c r="B486" s="472"/>
      <c r="C486" s="472"/>
      <c r="D486" s="472"/>
      <c r="E486" s="557"/>
      <c r="F486" s="557"/>
      <c r="G486" s="557"/>
      <c r="H486" s="557"/>
      <c r="I486" s="557"/>
      <c r="J486" s="557"/>
      <c r="K486" s="557"/>
      <c r="M486" s="271"/>
      <c r="N486" s="271"/>
      <c r="O486" s="271"/>
      <c r="P486" s="271"/>
      <c r="Q486" s="271"/>
      <c r="R486" s="271"/>
      <c r="S486" s="271"/>
      <c r="T486" s="271"/>
      <c r="U486" s="271"/>
      <c r="V486" s="271"/>
      <c r="W486" s="271"/>
      <c r="X486" s="271"/>
      <c r="Y486" s="271"/>
      <c r="Z486" s="271"/>
      <c r="AA486" s="271"/>
    </row>
    <row r="487" spans="1:27" s="532" customFormat="1" x14ac:dyDescent="0.2">
      <c r="A487" s="472"/>
      <c r="B487" s="472"/>
      <c r="C487" s="472"/>
      <c r="D487" s="472"/>
      <c r="E487" s="557"/>
      <c r="F487" s="557"/>
      <c r="G487" s="557"/>
      <c r="H487" s="557"/>
      <c r="I487" s="557"/>
      <c r="J487" s="557"/>
      <c r="K487" s="557"/>
      <c r="M487" s="271"/>
      <c r="N487" s="271"/>
      <c r="O487" s="271"/>
      <c r="P487" s="271"/>
      <c r="Q487" s="271"/>
      <c r="R487" s="271"/>
      <c r="S487" s="271"/>
      <c r="T487" s="271"/>
      <c r="U487" s="271"/>
      <c r="V487" s="271"/>
      <c r="W487" s="271"/>
      <c r="X487" s="271"/>
      <c r="Y487" s="271"/>
      <c r="Z487" s="271"/>
      <c r="AA487" s="271"/>
    </row>
    <row r="488" spans="1:27" s="532" customFormat="1" x14ac:dyDescent="0.2">
      <c r="A488" s="472"/>
      <c r="B488" s="472"/>
      <c r="C488" s="472"/>
      <c r="D488" s="472"/>
      <c r="E488" s="557"/>
      <c r="F488" s="557"/>
      <c r="G488" s="557"/>
      <c r="H488" s="557"/>
      <c r="I488" s="557"/>
      <c r="J488" s="557"/>
      <c r="K488" s="557"/>
      <c r="M488" s="271"/>
      <c r="N488" s="271"/>
      <c r="O488" s="271"/>
      <c r="P488" s="271"/>
      <c r="Q488" s="271"/>
      <c r="R488" s="271"/>
      <c r="S488" s="271"/>
      <c r="T488" s="271"/>
      <c r="U488" s="271"/>
      <c r="V488" s="271"/>
      <c r="W488" s="271"/>
      <c r="X488" s="271"/>
      <c r="Y488" s="271"/>
      <c r="Z488" s="271"/>
      <c r="AA488" s="271"/>
    </row>
    <row r="489" spans="1:27" s="532" customFormat="1" x14ac:dyDescent="0.2">
      <c r="A489" s="472"/>
      <c r="B489" s="472"/>
      <c r="C489" s="472"/>
      <c r="D489" s="472"/>
      <c r="E489" s="557"/>
      <c r="F489" s="557"/>
      <c r="G489" s="557"/>
      <c r="H489" s="557"/>
      <c r="I489" s="557"/>
      <c r="J489" s="557"/>
      <c r="K489" s="557"/>
      <c r="M489" s="271"/>
      <c r="N489" s="271"/>
      <c r="O489" s="271"/>
      <c r="P489" s="271"/>
      <c r="Q489" s="271"/>
      <c r="R489" s="271"/>
      <c r="S489" s="271"/>
      <c r="T489" s="271"/>
      <c r="U489" s="271"/>
      <c r="V489" s="271"/>
      <c r="W489" s="271"/>
      <c r="X489" s="271"/>
      <c r="Y489" s="271"/>
      <c r="Z489" s="271"/>
      <c r="AA489" s="271"/>
    </row>
    <row r="490" spans="1:27" s="532" customFormat="1" x14ac:dyDescent="0.2">
      <c r="A490" s="472"/>
      <c r="B490" s="472"/>
      <c r="C490" s="472"/>
      <c r="D490" s="472"/>
      <c r="E490" s="557"/>
      <c r="F490" s="557"/>
      <c r="G490" s="557"/>
      <c r="H490" s="557"/>
      <c r="I490" s="557"/>
      <c r="J490" s="557"/>
      <c r="K490" s="557"/>
      <c r="M490" s="271"/>
      <c r="N490" s="271"/>
      <c r="O490" s="271"/>
      <c r="P490" s="271"/>
      <c r="Q490" s="271"/>
      <c r="R490" s="271"/>
      <c r="S490" s="271"/>
      <c r="T490" s="271"/>
      <c r="U490" s="271"/>
      <c r="V490" s="271"/>
      <c r="W490" s="271"/>
      <c r="X490" s="271"/>
      <c r="Y490" s="271"/>
      <c r="Z490" s="271"/>
      <c r="AA490" s="271"/>
    </row>
    <row r="491" spans="1:27" s="532" customFormat="1" x14ac:dyDescent="0.2">
      <c r="A491" s="472"/>
      <c r="B491" s="472"/>
      <c r="C491" s="472"/>
      <c r="D491" s="472"/>
      <c r="E491" s="557"/>
      <c r="F491" s="557"/>
      <c r="G491" s="557"/>
      <c r="H491" s="557"/>
      <c r="I491" s="557"/>
      <c r="J491" s="557"/>
      <c r="K491" s="557"/>
      <c r="M491" s="271"/>
      <c r="N491" s="271"/>
      <c r="O491" s="271"/>
      <c r="P491" s="271"/>
      <c r="Q491" s="271"/>
      <c r="R491" s="271"/>
      <c r="S491" s="271"/>
      <c r="T491" s="271"/>
      <c r="U491" s="271"/>
      <c r="V491" s="271"/>
      <c r="W491" s="271"/>
      <c r="X491" s="271"/>
      <c r="Y491" s="271"/>
      <c r="Z491" s="271"/>
      <c r="AA491" s="271"/>
    </row>
    <row r="492" spans="1:27" s="532" customFormat="1" x14ac:dyDescent="0.2">
      <c r="A492" s="472"/>
      <c r="B492" s="472"/>
      <c r="C492" s="472"/>
      <c r="D492" s="472"/>
      <c r="E492" s="557"/>
      <c r="F492" s="557"/>
      <c r="G492" s="557"/>
      <c r="H492" s="557"/>
      <c r="I492" s="557"/>
      <c r="J492" s="557"/>
      <c r="K492" s="557"/>
      <c r="M492" s="271"/>
      <c r="N492" s="271"/>
      <c r="O492" s="271"/>
      <c r="P492" s="271"/>
      <c r="Q492" s="271"/>
      <c r="R492" s="271"/>
      <c r="S492" s="271"/>
      <c r="T492" s="271"/>
      <c r="U492" s="271"/>
      <c r="V492" s="271"/>
      <c r="W492" s="271"/>
      <c r="X492" s="271"/>
      <c r="Y492" s="271"/>
      <c r="Z492" s="271"/>
      <c r="AA492" s="271"/>
    </row>
    <row r="493" spans="1:27" s="532" customFormat="1" x14ac:dyDescent="0.2">
      <c r="A493" s="472"/>
      <c r="B493" s="472"/>
      <c r="C493" s="472"/>
      <c r="D493" s="472"/>
      <c r="E493" s="557"/>
      <c r="F493" s="557"/>
      <c r="G493" s="557"/>
      <c r="H493" s="557"/>
      <c r="I493" s="557"/>
      <c r="J493" s="557"/>
      <c r="K493" s="557"/>
      <c r="M493" s="271"/>
      <c r="N493" s="271"/>
      <c r="O493" s="271"/>
      <c r="P493" s="271"/>
      <c r="Q493" s="271"/>
      <c r="R493" s="271"/>
      <c r="S493" s="271"/>
      <c r="T493" s="271"/>
      <c r="U493" s="271"/>
      <c r="V493" s="271"/>
      <c r="W493" s="271"/>
      <c r="X493" s="271"/>
      <c r="Y493" s="271"/>
      <c r="Z493" s="271"/>
      <c r="AA493" s="271"/>
    </row>
    <row r="494" spans="1:27" s="532" customFormat="1" x14ac:dyDescent="0.2">
      <c r="A494" s="472"/>
      <c r="B494" s="472"/>
      <c r="C494" s="472"/>
      <c r="D494" s="472"/>
      <c r="E494" s="557"/>
      <c r="F494" s="557"/>
      <c r="G494" s="557"/>
      <c r="H494" s="557"/>
      <c r="I494" s="557"/>
      <c r="J494" s="557"/>
      <c r="K494" s="557"/>
      <c r="M494" s="271"/>
      <c r="N494" s="271"/>
      <c r="O494" s="271"/>
      <c r="P494" s="271"/>
      <c r="Q494" s="271"/>
      <c r="R494" s="271"/>
      <c r="S494" s="271"/>
      <c r="T494" s="271"/>
      <c r="U494" s="271"/>
      <c r="V494" s="271"/>
      <c r="W494" s="271"/>
      <c r="X494" s="271"/>
      <c r="Y494" s="271"/>
      <c r="Z494" s="271"/>
      <c r="AA494" s="271"/>
    </row>
    <row r="495" spans="1:27" s="532" customFormat="1" x14ac:dyDescent="0.2">
      <c r="A495" s="472"/>
      <c r="B495" s="472"/>
      <c r="C495" s="472"/>
      <c r="D495" s="472"/>
      <c r="E495" s="557"/>
      <c r="F495" s="557"/>
      <c r="G495" s="557"/>
      <c r="H495" s="557"/>
      <c r="I495" s="557"/>
      <c r="J495" s="557"/>
      <c r="K495" s="557"/>
      <c r="M495" s="271"/>
      <c r="N495" s="271"/>
      <c r="O495" s="271"/>
      <c r="P495" s="271"/>
      <c r="Q495" s="271"/>
      <c r="R495" s="271"/>
      <c r="S495" s="271"/>
      <c r="T495" s="271"/>
      <c r="U495" s="271"/>
      <c r="V495" s="271"/>
      <c r="W495" s="271"/>
      <c r="X495" s="271"/>
      <c r="Y495" s="271"/>
      <c r="Z495" s="271"/>
      <c r="AA495" s="271"/>
    </row>
    <row r="496" spans="1:27" s="532" customFormat="1" x14ac:dyDescent="0.2">
      <c r="A496" s="472"/>
      <c r="B496" s="472"/>
      <c r="C496" s="472"/>
      <c r="D496" s="472"/>
      <c r="E496" s="557"/>
      <c r="F496" s="557"/>
      <c r="G496" s="557"/>
      <c r="H496" s="557"/>
      <c r="I496" s="557"/>
      <c r="J496" s="557"/>
      <c r="K496" s="557"/>
      <c r="M496" s="271"/>
      <c r="N496" s="271"/>
      <c r="O496" s="271"/>
      <c r="P496" s="271"/>
      <c r="Q496" s="271"/>
      <c r="R496" s="271"/>
      <c r="S496" s="271"/>
      <c r="T496" s="271"/>
      <c r="U496" s="271"/>
      <c r="V496" s="271"/>
      <c r="W496" s="271"/>
      <c r="X496" s="271"/>
      <c r="Y496" s="271"/>
      <c r="Z496" s="271"/>
      <c r="AA496" s="271"/>
    </row>
    <row r="497" spans="1:27" s="532" customFormat="1" x14ac:dyDescent="0.2">
      <c r="A497" s="472"/>
      <c r="B497" s="472"/>
      <c r="C497" s="472"/>
      <c r="D497" s="472"/>
      <c r="E497" s="557"/>
      <c r="F497" s="557"/>
      <c r="G497" s="557"/>
      <c r="H497" s="557"/>
      <c r="I497" s="557"/>
      <c r="J497" s="557"/>
      <c r="K497" s="557"/>
      <c r="M497" s="271"/>
      <c r="N497" s="271"/>
      <c r="O497" s="271"/>
      <c r="P497" s="271"/>
      <c r="Q497" s="271"/>
      <c r="R497" s="271"/>
      <c r="S497" s="271"/>
      <c r="T497" s="271"/>
      <c r="U497" s="271"/>
      <c r="V497" s="271"/>
      <c r="W497" s="271"/>
      <c r="X497" s="271"/>
      <c r="Y497" s="271"/>
      <c r="Z497" s="271"/>
      <c r="AA497" s="271"/>
    </row>
    <row r="498" spans="1:27" s="532" customFormat="1" x14ac:dyDescent="0.2">
      <c r="A498" s="472"/>
      <c r="B498" s="472"/>
      <c r="C498" s="472"/>
      <c r="D498" s="472"/>
      <c r="E498" s="557"/>
      <c r="F498" s="557"/>
      <c r="G498" s="557"/>
      <c r="H498" s="557"/>
      <c r="I498" s="557"/>
      <c r="J498" s="557"/>
      <c r="K498" s="557"/>
      <c r="M498" s="271"/>
      <c r="N498" s="271"/>
      <c r="O498" s="271"/>
      <c r="P498" s="271"/>
      <c r="Q498" s="271"/>
      <c r="R498" s="271"/>
      <c r="S498" s="271"/>
      <c r="T498" s="271"/>
      <c r="U498" s="271"/>
      <c r="V498" s="271"/>
      <c r="W498" s="271"/>
      <c r="X498" s="271"/>
      <c r="Y498" s="271"/>
      <c r="Z498" s="271"/>
      <c r="AA498" s="271"/>
    </row>
    <row r="499" spans="1:27" s="532" customFormat="1" x14ac:dyDescent="0.2">
      <c r="A499" s="472"/>
      <c r="B499" s="472"/>
      <c r="C499" s="472"/>
      <c r="D499" s="472"/>
      <c r="E499" s="557"/>
      <c r="F499" s="557"/>
      <c r="G499" s="557"/>
      <c r="H499" s="557"/>
      <c r="I499" s="557"/>
      <c r="J499" s="557"/>
      <c r="K499" s="557"/>
      <c r="M499" s="271"/>
      <c r="N499" s="271"/>
      <c r="O499" s="271"/>
      <c r="P499" s="271"/>
      <c r="Q499" s="271"/>
      <c r="R499" s="271"/>
      <c r="S499" s="271"/>
      <c r="T499" s="271"/>
      <c r="U499" s="271"/>
      <c r="V499" s="271"/>
      <c r="W499" s="271"/>
      <c r="X499" s="271"/>
      <c r="Y499" s="271"/>
      <c r="Z499" s="271"/>
      <c r="AA499" s="271"/>
    </row>
  </sheetData>
  <mergeCells count="43">
    <mergeCell ref="A7:AA7"/>
    <mergeCell ref="Q1:AA1"/>
    <mergeCell ref="Q2:AA2"/>
    <mergeCell ref="Q3:AA3"/>
    <mergeCell ref="Q4:AA4"/>
    <mergeCell ref="A6:AA6"/>
    <mergeCell ref="A8:AA8"/>
    <mergeCell ref="A9:B9"/>
    <mergeCell ref="A10:A12"/>
    <mergeCell ref="B10:B12"/>
    <mergeCell ref="C10:C12"/>
    <mergeCell ref="D10:D12"/>
    <mergeCell ref="E10:F10"/>
    <mergeCell ref="G10:G12"/>
    <mergeCell ref="H10:I10"/>
    <mergeCell ref="J10:K10"/>
    <mergeCell ref="V10:W10"/>
    <mergeCell ref="X10:Y10"/>
    <mergeCell ref="O11:O12"/>
    <mergeCell ref="P11:P12"/>
    <mergeCell ref="R11:R12"/>
    <mergeCell ref="S11:S12"/>
    <mergeCell ref="X11:X12"/>
    <mergeCell ref="Y11:Y12"/>
    <mergeCell ref="Z10:Z12"/>
    <mergeCell ref="AA10:AA12"/>
    <mergeCell ref="E11:E12"/>
    <mergeCell ref="F11:F12"/>
    <mergeCell ref="H11:H12"/>
    <mergeCell ref="I11:I12"/>
    <mergeCell ref="J11:J12"/>
    <mergeCell ref="K11:K12"/>
    <mergeCell ref="M11:M12"/>
    <mergeCell ref="N11:N12"/>
    <mergeCell ref="L10:L12"/>
    <mergeCell ref="M10:P10"/>
    <mergeCell ref="Q10:Q12"/>
    <mergeCell ref="R10:U10"/>
    <mergeCell ref="A17:B17"/>
    <mergeCell ref="T11:T12"/>
    <mergeCell ref="U11:U12"/>
    <mergeCell ref="V11:V12"/>
    <mergeCell ref="W11:W12"/>
  </mergeCells>
  <pageMargins left="0.17" right="0.17" top="0.75" bottom="0.75" header="0.3" footer="0.3"/>
  <pageSetup paperSize="9" scale="43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6"/>
  <sheetViews>
    <sheetView view="pageBreakPreview" zoomScale="110" zoomScaleSheetLayoutView="110" workbookViewId="0">
      <selection activeCell="B13" sqref="B13"/>
    </sheetView>
  </sheetViews>
  <sheetFormatPr defaultColWidth="9.140625" defaultRowHeight="12.75" x14ac:dyDescent="0.2"/>
  <cols>
    <col min="1" max="1" width="5.5703125" style="449" customWidth="1"/>
    <col min="2" max="2" width="59.5703125" style="449" customWidth="1"/>
    <col min="3" max="3" width="13.85546875" style="449" customWidth="1"/>
    <col min="4" max="4" width="13.28515625" style="449" customWidth="1"/>
    <col min="5" max="5" width="12.28515625" style="449" customWidth="1"/>
    <col min="6" max="16384" width="9.140625" style="449"/>
  </cols>
  <sheetData>
    <row r="1" spans="1:5" x14ac:dyDescent="0.2">
      <c r="A1" s="517"/>
      <c r="B1" s="517"/>
      <c r="C1" s="517"/>
      <c r="D1" s="517"/>
      <c r="E1" s="471" t="s">
        <v>1218</v>
      </c>
    </row>
    <row r="2" spans="1:5" x14ac:dyDescent="0.2">
      <c r="A2" s="742" t="s">
        <v>835</v>
      </c>
      <c r="B2" s="742"/>
      <c r="C2" s="742"/>
      <c r="D2" s="742"/>
      <c r="E2" s="742"/>
    </row>
    <row r="3" spans="1:5" x14ac:dyDescent="0.2">
      <c r="A3" s="742" t="s">
        <v>836</v>
      </c>
      <c r="B3" s="742"/>
      <c r="C3" s="742"/>
      <c r="D3" s="742"/>
      <c r="E3" s="742"/>
    </row>
    <row r="4" spans="1:5" ht="15.75" x14ac:dyDescent="0.25">
      <c r="A4" s="451"/>
      <c r="B4" s="569"/>
      <c r="D4" s="723" t="s">
        <v>1394</v>
      </c>
      <c r="E4" s="723"/>
    </row>
    <row r="5" spans="1:5" ht="15.75" x14ac:dyDescent="0.25">
      <c r="A5" s="451"/>
      <c r="B5" s="569"/>
      <c r="D5" s="518"/>
      <c r="E5" s="518"/>
    </row>
    <row r="6" spans="1:5" ht="32.25" customHeight="1" x14ac:dyDescent="0.2">
      <c r="A6" s="807" t="s">
        <v>1393</v>
      </c>
      <c r="B6" s="807"/>
      <c r="C6" s="807"/>
      <c r="D6" s="807"/>
      <c r="E6" s="807"/>
    </row>
    <row r="7" spans="1:5" ht="15.75" x14ac:dyDescent="0.25">
      <c r="A7" s="568" t="s">
        <v>887</v>
      </c>
      <c r="E7" s="471" t="s">
        <v>891</v>
      </c>
    </row>
    <row r="8" spans="1:5" ht="23.25" customHeight="1" x14ac:dyDescent="0.2">
      <c r="A8" s="808" t="s">
        <v>681</v>
      </c>
      <c r="B8" s="808" t="s">
        <v>1382</v>
      </c>
      <c r="C8" s="809" t="s">
        <v>1220</v>
      </c>
      <c r="D8" s="810"/>
      <c r="E8" s="811"/>
    </row>
    <row r="9" spans="1:5" ht="25.5" x14ac:dyDescent="0.2">
      <c r="A9" s="808"/>
      <c r="B9" s="808"/>
      <c r="C9" s="567" t="s">
        <v>1381</v>
      </c>
      <c r="D9" s="567" t="s">
        <v>830</v>
      </c>
      <c r="E9" s="567" t="s">
        <v>831</v>
      </c>
    </row>
    <row r="10" spans="1:5" x14ac:dyDescent="0.2">
      <c r="A10" s="567">
        <v>1</v>
      </c>
      <c r="B10" s="567">
        <v>2</v>
      </c>
      <c r="C10" s="567">
        <v>3</v>
      </c>
      <c r="D10" s="567">
        <v>4</v>
      </c>
      <c r="E10" s="567">
        <v>5</v>
      </c>
    </row>
    <row r="11" spans="1:5" ht="25.5" x14ac:dyDescent="0.2">
      <c r="A11" s="565">
        <v>1</v>
      </c>
      <c r="B11" s="566" t="s">
        <v>100</v>
      </c>
      <c r="C11" s="563">
        <v>55796.723769999997</v>
      </c>
      <c r="D11" s="563">
        <v>53866.361190000003</v>
      </c>
      <c r="E11" s="562">
        <f t="shared" ref="E11:E16" si="0">D11*100/C11</f>
        <v>96.540365724774176</v>
      </c>
    </row>
    <row r="12" spans="1:5" ht="25.5" x14ac:dyDescent="0.2">
      <c r="A12" s="565">
        <v>2</v>
      </c>
      <c r="B12" s="566" t="s">
        <v>1391</v>
      </c>
      <c r="C12" s="563">
        <v>23569.073789999999</v>
      </c>
      <c r="D12" s="563">
        <v>2356.9073800000001</v>
      </c>
      <c r="E12" s="562">
        <f t="shared" si="0"/>
        <v>10.00000000424285</v>
      </c>
    </row>
    <row r="13" spans="1:5" ht="76.5" x14ac:dyDescent="0.2">
      <c r="A13" s="565">
        <v>3</v>
      </c>
      <c r="B13" s="564" t="s">
        <v>190</v>
      </c>
      <c r="C13" s="563">
        <v>2849.1666100000002</v>
      </c>
      <c r="D13" s="563">
        <v>2849.1666100000002</v>
      </c>
      <c r="E13" s="562">
        <f t="shared" si="0"/>
        <v>100</v>
      </c>
    </row>
    <row r="14" spans="1:5" ht="25.5" x14ac:dyDescent="0.2">
      <c r="A14" s="565">
        <v>4</v>
      </c>
      <c r="B14" s="564" t="s">
        <v>314</v>
      </c>
      <c r="C14" s="563">
        <v>5092.5</v>
      </c>
      <c r="D14" s="563">
        <v>5092.5</v>
      </c>
      <c r="E14" s="562">
        <f t="shared" si="0"/>
        <v>100</v>
      </c>
    </row>
    <row r="15" spans="1:5" ht="38.25" x14ac:dyDescent="0.2">
      <c r="A15" s="565">
        <v>5</v>
      </c>
      <c r="B15" s="564" t="s">
        <v>792</v>
      </c>
      <c r="C15" s="563">
        <v>2631.2</v>
      </c>
      <c r="D15" s="563">
        <v>2631.1080700000002</v>
      </c>
      <c r="E15" s="562">
        <f t="shared" si="0"/>
        <v>99.99650615688661</v>
      </c>
    </row>
    <row r="16" spans="1:5" x14ac:dyDescent="0.2">
      <c r="A16" s="806" t="s">
        <v>678</v>
      </c>
      <c r="B16" s="806"/>
      <c r="C16" s="561">
        <f>SUM(C11:C15)</f>
        <v>89938.664169999989</v>
      </c>
      <c r="D16" s="561">
        <f>SUM(D11:D15)</f>
        <v>66796.043250000002</v>
      </c>
      <c r="E16" s="560">
        <f t="shared" si="0"/>
        <v>74.268440460427186</v>
      </c>
    </row>
  </sheetData>
  <mergeCells count="8">
    <mergeCell ref="A16:B16"/>
    <mergeCell ref="A2:E2"/>
    <mergeCell ref="A3:E3"/>
    <mergeCell ref="D4:E4"/>
    <mergeCell ref="A6:E6"/>
    <mergeCell ref="A8:A9"/>
    <mergeCell ref="B8:B9"/>
    <mergeCell ref="C8:E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view="pageBreakPreview" zoomScale="60" workbookViewId="0">
      <selection activeCell="H43" sqref="H43"/>
    </sheetView>
  </sheetViews>
  <sheetFormatPr defaultRowHeight="12.75" x14ac:dyDescent="0.2"/>
  <cols>
    <col min="1" max="1" width="7.140625" style="572" customWidth="1"/>
    <col min="2" max="2" width="73.5703125" style="572" customWidth="1"/>
    <col min="3" max="3" width="15.42578125" style="572" customWidth="1"/>
    <col min="4" max="4" width="15.28515625" style="572" customWidth="1"/>
    <col min="5" max="5" width="12.85546875" style="572" customWidth="1"/>
    <col min="6" max="6" width="16" style="572" customWidth="1"/>
    <col min="7" max="7" width="31" style="572" customWidth="1"/>
    <col min="8" max="8" width="12.140625" style="572" customWidth="1"/>
    <col min="9" max="16384" width="9.140625" style="572"/>
  </cols>
  <sheetData>
    <row r="1" spans="1:6" x14ac:dyDescent="0.2">
      <c r="A1" s="485"/>
      <c r="B1" s="485"/>
      <c r="C1" s="485"/>
      <c r="D1" s="485"/>
      <c r="E1" s="815" t="s">
        <v>1354</v>
      </c>
      <c r="F1" s="815"/>
    </row>
    <row r="2" spans="1:6" x14ac:dyDescent="0.2">
      <c r="A2" s="815" t="s">
        <v>1355</v>
      </c>
      <c r="B2" s="815"/>
      <c r="C2" s="815"/>
      <c r="D2" s="815"/>
      <c r="E2" s="815"/>
      <c r="F2" s="815"/>
    </row>
    <row r="3" spans="1:6" x14ac:dyDescent="0.2">
      <c r="A3" s="723" t="s">
        <v>836</v>
      </c>
      <c r="B3" s="723"/>
      <c r="C3" s="723"/>
      <c r="D3" s="723"/>
      <c r="E3" s="723"/>
      <c r="F3" s="723"/>
    </row>
    <row r="4" spans="1:6" ht="15.75" x14ac:dyDescent="0.25">
      <c r="A4" s="573"/>
      <c r="E4" s="723" t="s">
        <v>1406</v>
      </c>
      <c r="F4" s="723"/>
    </row>
    <row r="5" spans="1:6" ht="15.75" x14ac:dyDescent="0.25">
      <c r="A5" s="573"/>
      <c r="E5" s="571"/>
      <c r="F5" s="571"/>
    </row>
    <row r="6" spans="1:6" ht="18.75" x14ac:dyDescent="0.3">
      <c r="A6" s="814" t="s">
        <v>1235</v>
      </c>
      <c r="B6" s="814"/>
      <c r="C6" s="814"/>
      <c r="D6" s="814"/>
      <c r="E6" s="814"/>
      <c r="F6" s="814"/>
    </row>
    <row r="7" spans="1:6" ht="18.75" x14ac:dyDescent="0.3">
      <c r="A7" s="814" t="s">
        <v>1412</v>
      </c>
      <c r="B7" s="814"/>
      <c r="C7" s="814"/>
      <c r="D7" s="814"/>
      <c r="E7" s="814"/>
      <c r="F7" s="814"/>
    </row>
    <row r="8" spans="1:6" ht="15.75" x14ac:dyDescent="0.25">
      <c r="A8" s="812" t="s">
        <v>891</v>
      </c>
      <c r="B8" s="812"/>
      <c r="C8" s="812"/>
      <c r="D8" s="812"/>
      <c r="E8" s="812"/>
      <c r="F8" s="812"/>
    </row>
    <row r="9" spans="1:6" x14ac:dyDescent="0.2">
      <c r="A9" s="813" t="s">
        <v>681</v>
      </c>
      <c r="B9" s="813" t="s">
        <v>1395</v>
      </c>
      <c r="C9" s="813" t="s">
        <v>829</v>
      </c>
      <c r="D9" s="813" t="s">
        <v>830</v>
      </c>
      <c r="E9" s="813" t="s">
        <v>1396</v>
      </c>
      <c r="F9" s="813" t="s">
        <v>1397</v>
      </c>
    </row>
    <row r="10" spans="1:6" ht="43.5" customHeight="1" x14ac:dyDescent="0.2">
      <c r="A10" s="813"/>
      <c r="B10" s="813"/>
      <c r="C10" s="813"/>
      <c r="D10" s="813"/>
      <c r="E10" s="813"/>
      <c r="F10" s="813"/>
    </row>
    <row r="11" spans="1:6" x14ac:dyDescent="0.2">
      <c r="A11" s="574">
        <v>1</v>
      </c>
      <c r="B11" s="574">
        <v>2</v>
      </c>
      <c r="C11" s="574">
        <v>3</v>
      </c>
      <c r="D11" s="574">
        <v>4</v>
      </c>
      <c r="E11" s="574">
        <v>5</v>
      </c>
      <c r="F11" s="574">
        <v>6</v>
      </c>
    </row>
    <row r="12" spans="1:6" s="579" customFormat="1" x14ac:dyDescent="0.2">
      <c r="A12" s="575" t="s">
        <v>894</v>
      </c>
      <c r="B12" s="576" t="s">
        <v>1410</v>
      </c>
      <c r="C12" s="577">
        <f>C13</f>
        <v>428.48339999999996</v>
      </c>
      <c r="D12" s="577">
        <f>D13</f>
        <v>428.48339999999996</v>
      </c>
      <c r="E12" s="578">
        <f t="shared" ref="E12:E15" si="0">D12/C12*100</f>
        <v>100</v>
      </c>
      <c r="F12" s="578">
        <f t="shared" ref="F12:F15" si="1">C12-D12</f>
        <v>0</v>
      </c>
    </row>
    <row r="13" spans="1:6" ht="25.5" x14ac:dyDescent="0.2">
      <c r="A13" s="580"/>
      <c r="B13" s="581" t="s">
        <v>503</v>
      </c>
      <c r="C13" s="582">
        <f>C14</f>
        <v>428.48339999999996</v>
      </c>
      <c r="D13" s="582">
        <f>D14</f>
        <v>428.48339999999996</v>
      </c>
      <c r="E13" s="583">
        <f t="shared" si="0"/>
        <v>100</v>
      </c>
      <c r="F13" s="584">
        <f t="shared" si="1"/>
        <v>0</v>
      </c>
    </row>
    <row r="14" spans="1:6" ht="38.25" x14ac:dyDescent="0.2">
      <c r="A14" s="609"/>
      <c r="B14" s="100" t="s">
        <v>493</v>
      </c>
      <c r="C14" s="586">
        <f>C15+C16</f>
        <v>428.48339999999996</v>
      </c>
      <c r="D14" s="586">
        <f>D15+D16</f>
        <v>428.48339999999996</v>
      </c>
      <c r="E14" s="587">
        <f t="shared" si="0"/>
        <v>100</v>
      </c>
      <c r="F14" s="589">
        <f t="shared" si="1"/>
        <v>0</v>
      </c>
    </row>
    <row r="15" spans="1:6" x14ac:dyDescent="0.2">
      <c r="A15" s="609"/>
      <c r="B15" s="611" t="s">
        <v>1400</v>
      </c>
      <c r="C15" s="67">
        <v>407.05919999999998</v>
      </c>
      <c r="D15" s="67">
        <v>407.05919999999998</v>
      </c>
      <c r="E15" s="595">
        <f t="shared" si="0"/>
        <v>100</v>
      </c>
      <c r="F15" s="275">
        <f t="shared" si="1"/>
        <v>0</v>
      </c>
    </row>
    <row r="16" spans="1:6" x14ac:dyDescent="0.2">
      <c r="A16" s="609"/>
      <c r="B16" s="611" t="s">
        <v>1399</v>
      </c>
      <c r="C16" s="67">
        <v>21.424199999999999</v>
      </c>
      <c r="D16" s="67">
        <v>21.424199999999999</v>
      </c>
      <c r="E16" s="595"/>
      <c r="F16" s="275"/>
    </row>
    <row r="17" spans="1:6" s="579" customFormat="1" x14ac:dyDescent="0.2">
      <c r="A17" s="575" t="s">
        <v>895</v>
      </c>
      <c r="B17" s="576" t="s">
        <v>1407</v>
      </c>
      <c r="C17" s="577">
        <f>C18</f>
        <v>52.68421</v>
      </c>
      <c r="D17" s="577">
        <f>D18</f>
        <v>52.68421</v>
      </c>
      <c r="E17" s="578">
        <f t="shared" ref="E17:E34" si="2">D17/C17*100</f>
        <v>100</v>
      </c>
      <c r="F17" s="576">
        <f t="shared" ref="F17:F34" si="3">C17-D17</f>
        <v>0</v>
      </c>
    </row>
    <row r="18" spans="1:6" ht="25.5" x14ac:dyDescent="0.2">
      <c r="A18" s="580"/>
      <c r="B18" s="581" t="s">
        <v>204</v>
      </c>
      <c r="C18" s="582">
        <f>C19</f>
        <v>52.68421</v>
      </c>
      <c r="D18" s="582">
        <f>D19</f>
        <v>52.68421</v>
      </c>
      <c r="E18" s="583">
        <f t="shared" si="2"/>
        <v>100</v>
      </c>
      <c r="F18" s="584">
        <f t="shared" si="3"/>
        <v>0</v>
      </c>
    </row>
    <row r="19" spans="1:6" ht="25.5" x14ac:dyDescent="0.2">
      <c r="A19" s="609"/>
      <c r="B19" s="100" t="s">
        <v>510</v>
      </c>
      <c r="C19" s="586">
        <f>C20+C21+C22</f>
        <v>52.68421</v>
      </c>
      <c r="D19" s="586">
        <f>D20+D21+D22</f>
        <v>52.68421</v>
      </c>
      <c r="E19" s="587">
        <f t="shared" si="2"/>
        <v>100</v>
      </c>
      <c r="F19" s="589">
        <f t="shared" si="3"/>
        <v>0</v>
      </c>
    </row>
    <row r="20" spans="1:6" x14ac:dyDescent="0.2">
      <c r="A20" s="609"/>
      <c r="B20" s="611" t="s">
        <v>1400</v>
      </c>
      <c r="C20" s="70">
        <v>50</v>
      </c>
      <c r="D20" s="70">
        <v>50</v>
      </c>
      <c r="E20" s="595">
        <f t="shared" ref="E20:E21" si="4">D20/C20*100</f>
        <v>100</v>
      </c>
      <c r="F20" s="275">
        <f t="shared" ref="F20:F21" si="5">C20-D20</f>
        <v>0</v>
      </c>
    </row>
    <row r="21" spans="1:6" x14ac:dyDescent="0.2">
      <c r="A21" s="609"/>
      <c r="B21" s="611" t="s">
        <v>1399</v>
      </c>
      <c r="C21" s="70">
        <v>2.63158</v>
      </c>
      <c r="D21" s="70">
        <v>2.63158</v>
      </c>
      <c r="E21" s="595">
        <f t="shared" si="4"/>
        <v>100</v>
      </c>
      <c r="F21" s="275">
        <f t="shared" si="5"/>
        <v>0</v>
      </c>
    </row>
    <row r="22" spans="1:6" x14ac:dyDescent="0.2">
      <c r="A22" s="585"/>
      <c r="B22" s="612" t="s">
        <v>1398</v>
      </c>
      <c r="C22" s="70">
        <v>5.2630000000000003E-2</v>
      </c>
      <c r="D22" s="70">
        <v>5.2630000000000003E-2</v>
      </c>
      <c r="E22" s="595">
        <f t="shared" si="2"/>
        <v>100</v>
      </c>
      <c r="F22" s="275">
        <f t="shared" si="3"/>
        <v>0</v>
      </c>
    </row>
    <row r="23" spans="1:6" x14ac:dyDescent="0.2">
      <c r="A23" s="590" t="s">
        <v>1401</v>
      </c>
      <c r="B23" s="576" t="s">
        <v>1408</v>
      </c>
      <c r="C23" s="591">
        <f>C24</f>
        <v>41864.770000000004</v>
      </c>
      <c r="D23" s="591">
        <f>D24</f>
        <v>41864.770000000004</v>
      </c>
      <c r="E23" s="592">
        <f t="shared" si="2"/>
        <v>100</v>
      </c>
      <c r="F23" s="560">
        <f t="shared" si="3"/>
        <v>0</v>
      </c>
    </row>
    <row r="24" spans="1:6" ht="25.5" x14ac:dyDescent="0.2">
      <c r="A24" s="593"/>
      <c r="B24" s="602" t="s">
        <v>321</v>
      </c>
      <c r="C24" s="582">
        <f>C26+C27+C28</f>
        <v>41864.770000000004</v>
      </c>
      <c r="D24" s="582">
        <f>D26+D27+D28</f>
        <v>41864.770000000004</v>
      </c>
      <c r="E24" s="583">
        <f t="shared" si="2"/>
        <v>100</v>
      </c>
      <c r="F24" s="584">
        <f t="shared" si="3"/>
        <v>0</v>
      </c>
    </row>
    <row r="25" spans="1:6" x14ac:dyDescent="0.2">
      <c r="A25" s="588"/>
      <c r="B25" s="610" t="s">
        <v>487</v>
      </c>
      <c r="C25" s="586">
        <f>C26+C27+C28</f>
        <v>41864.770000000004</v>
      </c>
      <c r="D25" s="586">
        <f>D26+D27+D28</f>
        <v>41864.770000000004</v>
      </c>
      <c r="E25" s="587">
        <v>100</v>
      </c>
      <c r="F25" s="589">
        <v>0</v>
      </c>
    </row>
    <row r="26" spans="1:6" s="579" customFormat="1" x14ac:dyDescent="0.2">
      <c r="A26" s="594"/>
      <c r="B26" s="611" t="s">
        <v>1400</v>
      </c>
      <c r="C26" s="67">
        <v>39572.673840000003</v>
      </c>
      <c r="D26" s="67">
        <v>39572.673840000003</v>
      </c>
      <c r="E26" s="595">
        <f t="shared" si="2"/>
        <v>100</v>
      </c>
      <c r="F26" s="237">
        <f t="shared" si="3"/>
        <v>0</v>
      </c>
    </row>
    <row r="27" spans="1:6" s="579" customFormat="1" x14ac:dyDescent="0.2">
      <c r="A27" s="594"/>
      <c r="B27" s="611" t="s">
        <v>1399</v>
      </c>
      <c r="C27" s="67">
        <v>2082.7723099999998</v>
      </c>
      <c r="D27" s="67">
        <v>2082.7723099999998</v>
      </c>
      <c r="E27" s="595">
        <f t="shared" si="2"/>
        <v>100</v>
      </c>
      <c r="F27" s="237">
        <f t="shared" si="3"/>
        <v>0</v>
      </c>
    </row>
    <row r="28" spans="1:6" s="579" customFormat="1" x14ac:dyDescent="0.2">
      <c r="A28" s="594"/>
      <c r="B28" s="612" t="s">
        <v>1398</v>
      </c>
      <c r="C28" s="67">
        <v>209.32384999999999</v>
      </c>
      <c r="D28" s="67">
        <v>209.32384999999999</v>
      </c>
      <c r="E28" s="595">
        <f t="shared" si="2"/>
        <v>100</v>
      </c>
      <c r="F28" s="237">
        <f t="shared" si="3"/>
        <v>0</v>
      </c>
    </row>
    <row r="29" spans="1:6" x14ac:dyDescent="0.2">
      <c r="A29" s="590" t="s">
        <v>1402</v>
      </c>
      <c r="B29" s="576" t="s">
        <v>1409</v>
      </c>
      <c r="C29" s="591">
        <f>C30</f>
        <v>7528.3618699999997</v>
      </c>
      <c r="D29" s="591">
        <f>D30</f>
        <v>7528.3618699999997</v>
      </c>
      <c r="E29" s="592">
        <f t="shared" si="2"/>
        <v>100</v>
      </c>
      <c r="F29" s="560">
        <f t="shared" si="3"/>
        <v>0</v>
      </c>
    </row>
    <row r="30" spans="1:6" ht="25.5" x14ac:dyDescent="0.2">
      <c r="A30" s="593"/>
      <c r="B30" s="581" t="s">
        <v>375</v>
      </c>
      <c r="C30" s="582">
        <f>C31</f>
        <v>7528.3618699999997</v>
      </c>
      <c r="D30" s="582">
        <f>D31</f>
        <v>7528.3618699999997</v>
      </c>
      <c r="E30" s="583">
        <f t="shared" si="2"/>
        <v>100</v>
      </c>
      <c r="F30" s="584">
        <f t="shared" si="3"/>
        <v>0</v>
      </c>
    </row>
    <row r="31" spans="1:6" ht="25.5" x14ac:dyDescent="0.2">
      <c r="A31" s="588"/>
      <c r="B31" s="100" t="s">
        <v>377</v>
      </c>
      <c r="C31" s="586">
        <f>C32+C33+C34</f>
        <v>7528.3618699999997</v>
      </c>
      <c r="D31" s="586">
        <f>D32+D33+D34</f>
        <v>7528.3618699999997</v>
      </c>
      <c r="E31" s="587">
        <f t="shared" ref="E31" si="6">D31/C31*100</f>
        <v>100</v>
      </c>
      <c r="F31" s="589">
        <f t="shared" ref="F31" si="7">C31-D31</f>
        <v>0</v>
      </c>
    </row>
    <row r="32" spans="1:6" x14ac:dyDescent="0.2">
      <c r="A32" s="596"/>
      <c r="B32" s="611" t="s">
        <v>1400</v>
      </c>
      <c r="C32" s="67">
        <v>6436.7493999999997</v>
      </c>
      <c r="D32" s="67">
        <v>6436.7493999999997</v>
      </c>
      <c r="E32" s="597">
        <f t="shared" si="2"/>
        <v>100</v>
      </c>
      <c r="F32" s="237">
        <f t="shared" si="3"/>
        <v>0</v>
      </c>
    </row>
    <row r="33" spans="1:9" x14ac:dyDescent="0.2">
      <c r="A33" s="596"/>
      <c r="B33" s="611" t="s">
        <v>1399</v>
      </c>
      <c r="C33" s="67">
        <v>338.77627999999999</v>
      </c>
      <c r="D33" s="67">
        <v>338.77627999999999</v>
      </c>
      <c r="E33" s="595">
        <f t="shared" si="2"/>
        <v>100</v>
      </c>
      <c r="F33" s="237">
        <f t="shared" si="3"/>
        <v>0</v>
      </c>
    </row>
    <row r="34" spans="1:9" s="579" customFormat="1" x14ac:dyDescent="0.2">
      <c r="A34" s="596"/>
      <c r="B34" s="612" t="s">
        <v>1398</v>
      </c>
      <c r="C34" s="67">
        <v>752.83618999999999</v>
      </c>
      <c r="D34" s="67">
        <v>752.83618999999999</v>
      </c>
      <c r="E34" s="595">
        <f t="shared" si="2"/>
        <v>100</v>
      </c>
      <c r="F34" s="237">
        <f t="shared" si="3"/>
        <v>0</v>
      </c>
      <c r="I34" s="572"/>
    </row>
    <row r="35" spans="1:9" x14ac:dyDescent="0.2">
      <c r="A35" s="613"/>
      <c r="B35" s="601" t="s">
        <v>1411</v>
      </c>
      <c r="C35" s="591">
        <f>C12+C17+C23+C29</f>
        <v>49874.299480000001</v>
      </c>
      <c r="D35" s="591">
        <f>D12+D17+D23+D29</f>
        <v>49874.299480000001</v>
      </c>
      <c r="E35" s="598">
        <f t="shared" ref="E35:E37" si="8">D35/C35*100</f>
        <v>100</v>
      </c>
      <c r="F35" s="560">
        <f t="shared" ref="F35:F38" si="9">C35-D35</f>
        <v>0</v>
      </c>
      <c r="H35" s="603"/>
    </row>
    <row r="36" spans="1:9" x14ac:dyDescent="0.2">
      <c r="A36" s="594"/>
      <c r="B36" s="604" t="s">
        <v>1398</v>
      </c>
      <c r="C36" s="599">
        <f>C22+C28+C34</f>
        <v>962.21267</v>
      </c>
      <c r="D36" s="599">
        <f>D22+D28+D34</f>
        <v>962.21267</v>
      </c>
      <c r="E36" s="605">
        <f t="shared" si="8"/>
        <v>100</v>
      </c>
      <c r="F36" s="606">
        <f t="shared" si="9"/>
        <v>0</v>
      </c>
    </row>
    <row r="37" spans="1:9" x14ac:dyDescent="0.2">
      <c r="A37" s="594"/>
      <c r="B37" s="600" t="s">
        <v>1399</v>
      </c>
      <c r="C37" s="607">
        <f>C21+C27+C33+C16</f>
        <v>2445.60437</v>
      </c>
      <c r="D37" s="607">
        <f>D21+D27+D33+D16</f>
        <v>2445.60437</v>
      </c>
      <c r="E37" s="608">
        <f t="shared" si="8"/>
        <v>100</v>
      </c>
      <c r="F37" s="606">
        <f t="shared" si="9"/>
        <v>0</v>
      </c>
    </row>
    <row r="38" spans="1:9" x14ac:dyDescent="0.2">
      <c r="A38" s="594"/>
      <c r="B38" s="600" t="s">
        <v>1400</v>
      </c>
      <c r="C38" s="607">
        <f>C15+C20+C26+C32</f>
        <v>46466.482440000007</v>
      </c>
      <c r="D38" s="607">
        <f>D15+D20+D26+D32</f>
        <v>46466.482440000007</v>
      </c>
      <c r="E38" s="608">
        <f>D38/C38*100</f>
        <v>100</v>
      </c>
      <c r="F38" s="606">
        <f t="shared" si="9"/>
        <v>0</v>
      </c>
    </row>
  </sheetData>
  <mergeCells count="13">
    <mergeCell ref="A7:F7"/>
    <mergeCell ref="E1:F1"/>
    <mergeCell ref="A2:F2"/>
    <mergeCell ref="A3:F3"/>
    <mergeCell ref="E4:F4"/>
    <mergeCell ref="A6:F6"/>
    <mergeCell ref="A8:F8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6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S368"/>
  <sheetViews>
    <sheetView view="pageBreakPreview" topLeftCell="A22" zoomScale="82" zoomScaleSheetLayoutView="82" workbookViewId="0">
      <selection activeCell="AK15" sqref="AK15:AQ15"/>
    </sheetView>
  </sheetViews>
  <sheetFormatPr defaultColWidth="9" defaultRowHeight="11.45" customHeight="1" x14ac:dyDescent="0.2"/>
  <cols>
    <col min="1" max="2" width="2" style="619" customWidth="1"/>
    <col min="3" max="3" width="1" style="619" customWidth="1"/>
    <col min="4" max="8" width="2" style="619" customWidth="1"/>
    <col min="9" max="9" width="4" style="619" customWidth="1"/>
    <col min="10" max="10" width="2" style="619" customWidth="1"/>
    <col min="11" max="11" width="6.28515625" style="619" customWidth="1"/>
    <col min="12" max="12" width="3" style="619" customWidth="1"/>
    <col min="13" max="14" width="2" style="619" customWidth="1"/>
    <col min="15" max="15" width="4.5703125" style="619" customWidth="1"/>
    <col min="16" max="57" width="2" style="619" customWidth="1"/>
    <col min="58" max="58" width="9" style="620"/>
    <col min="59" max="71" width="9" style="616"/>
    <col min="72" max="16384" width="9" style="620"/>
  </cols>
  <sheetData>
    <row r="1" spans="1:71" ht="11.45" customHeight="1" x14ac:dyDescent="0.2">
      <c r="P1" s="816" t="s">
        <v>1354</v>
      </c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O1" s="816"/>
      <c r="AP1" s="816"/>
      <c r="AQ1" s="816"/>
      <c r="AR1" s="816"/>
      <c r="AS1" s="816"/>
      <c r="AT1" s="816"/>
      <c r="AU1" s="816"/>
      <c r="AV1" s="816"/>
      <c r="AW1" s="816"/>
      <c r="AX1" s="816"/>
      <c r="AY1" s="816"/>
      <c r="AZ1" s="816"/>
      <c r="BA1" s="816"/>
      <c r="BB1" s="816"/>
      <c r="BC1" s="816"/>
      <c r="BD1" s="816"/>
      <c r="BE1" s="816"/>
      <c r="BG1" s="620"/>
      <c r="BH1" s="620"/>
      <c r="BI1" s="620"/>
      <c r="BJ1" s="620"/>
      <c r="BK1" s="620"/>
      <c r="BL1" s="620"/>
      <c r="BM1" s="620"/>
      <c r="BN1" s="620"/>
      <c r="BO1" s="620"/>
      <c r="BP1" s="620"/>
      <c r="BQ1" s="620"/>
      <c r="BR1" s="620"/>
      <c r="BS1" s="620"/>
    </row>
    <row r="2" spans="1:71" ht="11.45" customHeight="1" x14ac:dyDescent="0.2">
      <c r="P2" s="816" t="s">
        <v>1355</v>
      </c>
      <c r="Q2" s="816"/>
      <c r="R2" s="816"/>
      <c r="S2" s="816"/>
      <c r="T2" s="816"/>
      <c r="U2" s="816"/>
      <c r="V2" s="816"/>
      <c r="W2" s="816"/>
      <c r="X2" s="816"/>
      <c r="Y2" s="816"/>
      <c r="Z2" s="816"/>
      <c r="AA2" s="816"/>
      <c r="AB2" s="816"/>
      <c r="AC2" s="816"/>
      <c r="AD2" s="816"/>
      <c r="AE2" s="816"/>
      <c r="AF2" s="816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816"/>
      <c r="AS2" s="816"/>
      <c r="AT2" s="816"/>
      <c r="AU2" s="816"/>
      <c r="AV2" s="816"/>
      <c r="AW2" s="816"/>
      <c r="AX2" s="816"/>
      <c r="AY2" s="816"/>
      <c r="AZ2" s="816"/>
      <c r="BA2" s="816"/>
      <c r="BB2" s="816"/>
      <c r="BC2" s="816"/>
      <c r="BD2" s="816"/>
      <c r="BE2" s="816"/>
      <c r="BG2" s="620"/>
      <c r="BH2" s="620"/>
      <c r="BI2" s="620"/>
      <c r="BJ2" s="620"/>
      <c r="BK2" s="620"/>
      <c r="BL2" s="620"/>
      <c r="BM2" s="620"/>
      <c r="BN2" s="620"/>
      <c r="BO2" s="620"/>
      <c r="BP2" s="620"/>
      <c r="BQ2" s="620"/>
      <c r="BR2" s="620"/>
      <c r="BS2" s="620"/>
    </row>
    <row r="3" spans="1:71" ht="11.45" customHeight="1" x14ac:dyDescent="0.2">
      <c r="P3" s="816" t="s">
        <v>836</v>
      </c>
      <c r="Q3" s="816"/>
      <c r="R3" s="816"/>
      <c r="S3" s="816"/>
      <c r="T3" s="816"/>
      <c r="U3" s="816"/>
      <c r="V3" s="816"/>
      <c r="W3" s="816"/>
      <c r="X3" s="816"/>
      <c r="Y3" s="816"/>
      <c r="Z3" s="816"/>
      <c r="AA3" s="816"/>
      <c r="AB3" s="816"/>
      <c r="AC3" s="816"/>
      <c r="AD3" s="816"/>
      <c r="AE3" s="816"/>
      <c r="AF3" s="816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816"/>
      <c r="AS3" s="816"/>
      <c r="AT3" s="816"/>
      <c r="AU3" s="816"/>
      <c r="AV3" s="816"/>
      <c r="AW3" s="816"/>
      <c r="AX3" s="816"/>
      <c r="AY3" s="816"/>
      <c r="AZ3" s="816"/>
      <c r="BA3" s="816"/>
      <c r="BB3" s="816"/>
      <c r="BC3" s="816"/>
      <c r="BD3" s="816"/>
      <c r="BE3" s="816"/>
      <c r="BG3" s="620"/>
      <c r="BH3" s="620"/>
      <c r="BI3" s="620"/>
      <c r="BJ3" s="620"/>
      <c r="BK3" s="620"/>
      <c r="BL3" s="620"/>
      <c r="BM3" s="620"/>
      <c r="BN3" s="620"/>
      <c r="BO3" s="620"/>
      <c r="BP3" s="620"/>
      <c r="BQ3" s="620"/>
      <c r="BR3" s="620"/>
      <c r="BS3" s="620"/>
    </row>
    <row r="4" spans="1:71" ht="11.45" customHeight="1" x14ac:dyDescent="0.2">
      <c r="P4" s="816" t="s">
        <v>1406</v>
      </c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G4" s="620"/>
      <c r="BH4" s="620"/>
      <c r="BI4" s="620"/>
      <c r="BJ4" s="620"/>
      <c r="BK4" s="620"/>
      <c r="BL4" s="620"/>
      <c r="BM4" s="620"/>
      <c r="BN4" s="620"/>
      <c r="BO4" s="620"/>
      <c r="BP4" s="620"/>
      <c r="BQ4" s="620"/>
      <c r="BR4" s="620"/>
      <c r="BS4" s="620"/>
    </row>
    <row r="5" spans="1:71" ht="12" customHeight="1" x14ac:dyDescent="0.2">
      <c r="A5" s="847" t="s">
        <v>1503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7"/>
      <c r="AA5" s="847"/>
      <c r="AB5" s="847"/>
      <c r="AC5" s="847"/>
      <c r="AD5" s="847"/>
      <c r="AE5" s="847"/>
      <c r="AF5" s="847"/>
      <c r="AG5" s="847"/>
      <c r="AH5" s="847"/>
      <c r="AI5" s="847"/>
      <c r="AJ5" s="847"/>
      <c r="AK5" s="847"/>
      <c r="AL5" s="847"/>
      <c r="AM5" s="847"/>
      <c r="AN5" s="847"/>
      <c r="AO5" s="847"/>
      <c r="AP5" s="847"/>
      <c r="AQ5" s="847"/>
      <c r="AR5" s="847"/>
      <c r="AS5" s="847"/>
      <c r="AT5" s="847"/>
      <c r="AU5" s="847"/>
      <c r="AV5" s="847"/>
      <c r="AW5" s="847"/>
      <c r="AX5" s="847"/>
      <c r="AY5" s="847"/>
      <c r="AZ5" s="847"/>
      <c r="BA5" s="847"/>
      <c r="BB5" s="847"/>
      <c r="BC5" s="847"/>
      <c r="BD5" s="847"/>
      <c r="BE5" s="847"/>
      <c r="BG5" s="620"/>
      <c r="BH5" s="620"/>
      <c r="BI5" s="620"/>
      <c r="BJ5" s="620"/>
      <c r="BK5" s="620"/>
      <c r="BL5" s="620"/>
      <c r="BM5" s="620"/>
      <c r="BN5" s="620"/>
      <c r="BO5" s="620"/>
      <c r="BP5" s="620"/>
      <c r="BQ5" s="620"/>
      <c r="BR5" s="620"/>
      <c r="BS5" s="620"/>
    </row>
    <row r="6" spans="1:71" ht="11.1" customHeight="1" x14ac:dyDescent="0.2">
      <c r="A6" s="848" t="s">
        <v>1413</v>
      </c>
      <c r="B6" s="848"/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8"/>
      <c r="N6" s="848"/>
      <c r="O6" s="848"/>
      <c r="P6" s="855" t="s">
        <v>1414</v>
      </c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  <c r="AN6" s="855"/>
      <c r="AO6" s="855"/>
      <c r="AP6" s="855"/>
      <c r="AQ6" s="855"/>
      <c r="AR6" s="855"/>
      <c r="AS6" s="855"/>
      <c r="AT6" s="855"/>
      <c r="AU6" s="855"/>
      <c r="AV6" s="855"/>
      <c r="AW6" s="855"/>
      <c r="AX6" s="855"/>
      <c r="AY6" s="855"/>
      <c r="AZ6" s="855"/>
      <c r="BA6" s="855"/>
      <c r="BB6" s="855"/>
      <c r="BC6" s="855"/>
      <c r="BD6" s="855"/>
      <c r="BE6" s="855"/>
      <c r="BG6" s="620"/>
      <c r="BH6" s="620"/>
      <c r="BI6" s="620"/>
      <c r="BJ6" s="620"/>
      <c r="BK6" s="620"/>
      <c r="BL6" s="620"/>
      <c r="BM6" s="620"/>
      <c r="BN6" s="620"/>
      <c r="BO6" s="620"/>
      <c r="BP6" s="620"/>
      <c r="BQ6" s="620"/>
      <c r="BR6" s="620"/>
      <c r="BS6" s="620"/>
    </row>
    <row r="7" spans="1:71" ht="23.1" customHeight="1" x14ac:dyDescent="0.2">
      <c r="A7" s="849"/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1"/>
      <c r="P7" s="856" t="s">
        <v>1415</v>
      </c>
      <c r="Q7" s="856"/>
      <c r="R7" s="856"/>
      <c r="S7" s="856"/>
      <c r="T7" s="856"/>
      <c r="U7" s="856"/>
      <c r="V7" s="856"/>
      <c r="W7" s="856"/>
      <c r="X7" s="856"/>
      <c r="Y7" s="856"/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6"/>
      <c r="AK7" s="856" t="s">
        <v>1416</v>
      </c>
      <c r="AL7" s="856"/>
      <c r="AM7" s="856"/>
      <c r="AN7" s="856"/>
      <c r="AO7" s="856"/>
      <c r="AP7" s="856"/>
      <c r="AQ7" s="856"/>
      <c r="AR7" s="856"/>
      <c r="AS7" s="856"/>
      <c r="AT7" s="856"/>
      <c r="AU7" s="856"/>
      <c r="AV7" s="856"/>
      <c r="AW7" s="856"/>
      <c r="AX7" s="856"/>
      <c r="AY7" s="856"/>
      <c r="AZ7" s="856"/>
      <c r="BA7" s="856"/>
      <c r="BB7" s="856"/>
      <c r="BC7" s="856"/>
      <c r="BD7" s="856"/>
      <c r="BE7" s="856"/>
      <c r="BG7" s="620"/>
      <c r="BH7" s="620"/>
      <c r="BI7" s="620"/>
      <c r="BJ7" s="620"/>
      <c r="BK7" s="620"/>
      <c r="BL7" s="620"/>
      <c r="BM7" s="620"/>
      <c r="BN7" s="620"/>
      <c r="BO7" s="620"/>
      <c r="BP7" s="620"/>
      <c r="BQ7" s="620"/>
      <c r="BR7" s="620"/>
      <c r="BS7" s="620"/>
    </row>
    <row r="8" spans="1:71" ht="11.1" customHeight="1" x14ac:dyDescent="0.2">
      <c r="A8" s="849"/>
      <c r="B8" s="850"/>
      <c r="C8" s="850"/>
      <c r="D8" s="850"/>
      <c r="E8" s="850"/>
      <c r="F8" s="850"/>
      <c r="G8" s="850"/>
      <c r="H8" s="850"/>
      <c r="I8" s="850"/>
      <c r="J8" s="850"/>
      <c r="K8" s="850"/>
      <c r="L8" s="850"/>
      <c r="M8" s="850"/>
      <c r="N8" s="850"/>
      <c r="O8" s="851"/>
      <c r="P8" s="843" t="s">
        <v>1417</v>
      </c>
      <c r="Q8" s="843"/>
      <c r="R8" s="843"/>
      <c r="S8" s="843"/>
      <c r="T8" s="843"/>
      <c r="U8" s="843"/>
      <c r="V8" s="843"/>
      <c r="W8" s="842" t="s">
        <v>1420</v>
      </c>
      <c r="X8" s="842"/>
      <c r="Y8" s="842"/>
      <c r="Z8" s="842"/>
      <c r="AA8" s="842"/>
      <c r="AB8" s="842"/>
      <c r="AC8" s="842"/>
      <c r="AD8" s="842"/>
      <c r="AE8" s="842"/>
      <c r="AF8" s="842"/>
      <c r="AG8" s="842"/>
      <c r="AH8" s="842"/>
      <c r="AI8" s="842"/>
      <c r="AJ8" s="842"/>
      <c r="AK8" s="843" t="s">
        <v>1417</v>
      </c>
      <c r="AL8" s="843"/>
      <c r="AM8" s="843"/>
      <c r="AN8" s="843"/>
      <c r="AO8" s="843"/>
      <c r="AP8" s="843"/>
      <c r="AQ8" s="843"/>
      <c r="AR8" s="842" t="s">
        <v>1420</v>
      </c>
      <c r="AS8" s="842"/>
      <c r="AT8" s="842"/>
      <c r="AU8" s="842"/>
      <c r="AV8" s="842"/>
      <c r="AW8" s="842"/>
      <c r="AX8" s="842"/>
      <c r="AY8" s="842"/>
      <c r="AZ8" s="842"/>
      <c r="BA8" s="842"/>
      <c r="BB8" s="842"/>
      <c r="BC8" s="842"/>
      <c r="BD8" s="842"/>
      <c r="BE8" s="842"/>
      <c r="BG8" s="620"/>
      <c r="BH8" s="620"/>
      <c r="BI8" s="620"/>
      <c r="BJ8" s="620"/>
      <c r="BK8" s="620"/>
      <c r="BL8" s="620"/>
      <c r="BM8" s="620"/>
      <c r="BN8" s="620"/>
      <c r="BO8" s="620"/>
      <c r="BP8" s="620"/>
      <c r="BQ8" s="620"/>
      <c r="BR8" s="620"/>
      <c r="BS8" s="620"/>
    </row>
    <row r="9" spans="1:71" ht="30" customHeight="1" x14ac:dyDescent="0.2">
      <c r="A9" s="852"/>
      <c r="B9" s="853"/>
      <c r="C9" s="853"/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4"/>
      <c r="P9" s="844"/>
      <c r="Q9" s="845"/>
      <c r="R9" s="845"/>
      <c r="S9" s="845"/>
      <c r="T9" s="845"/>
      <c r="U9" s="845"/>
      <c r="V9" s="846"/>
      <c r="W9" s="842" t="s">
        <v>1421</v>
      </c>
      <c r="X9" s="842"/>
      <c r="Y9" s="842"/>
      <c r="Z9" s="842"/>
      <c r="AA9" s="842"/>
      <c r="AB9" s="842"/>
      <c r="AC9" s="842"/>
      <c r="AD9" s="842" t="s">
        <v>1422</v>
      </c>
      <c r="AE9" s="842"/>
      <c r="AF9" s="842"/>
      <c r="AG9" s="842"/>
      <c r="AH9" s="842"/>
      <c r="AI9" s="842"/>
      <c r="AJ9" s="842"/>
      <c r="AK9" s="844"/>
      <c r="AL9" s="845"/>
      <c r="AM9" s="845"/>
      <c r="AN9" s="845"/>
      <c r="AO9" s="845"/>
      <c r="AP9" s="845"/>
      <c r="AQ9" s="846"/>
      <c r="AR9" s="842" t="s">
        <v>1421</v>
      </c>
      <c r="AS9" s="842"/>
      <c r="AT9" s="842"/>
      <c r="AU9" s="842"/>
      <c r="AV9" s="842"/>
      <c r="AW9" s="842"/>
      <c r="AX9" s="842"/>
      <c r="AY9" s="842" t="s">
        <v>1422</v>
      </c>
      <c r="AZ9" s="842"/>
      <c r="BA9" s="842"/>
      <c r="BB9" s="842"/>
      <c r="BC9" s="842"/>
      <c r="BD9" s="842"/>
      <c r="BE9" s="842"/>
      <c r="BG9" s="620"/>
      <c r="BH9" s="620"/>
      <c r="BI9" s="620"/>
      <c r="BJ9" s="620"/>
      <c r="BK9" s="620"/>
      <c r="BL9" s="620"/>
      <c r="BM9" s="620"/>
      <c r="BN9" s="620"/>
      <c r="BO9" s="620"/>
      <c r="BP9" s="620"/>
      <c r="BQ9" s="620"/>
      <c r="BR9" s="620"/>
      <c r="BS9" s="620"/>
    </row>
    <row r="10" spans="1:71" ht="11.1" customHeight="1" thickBot="1" x14ac:dyDescent="0.25">
      <c r="A10" s="841" t="s">
        <v>894</v>
      </c>
      <c r="B10" s="841"/>
      <c r="C10" s="841"/>
      <c r="D10" s="841"/>
      <c r="E10" s="841"/>
      <c r="F10" s="841"/>
      <c r="G10" s="841"/>
      <c r="H10" s="841"/>
      <c r="I10" s="841"/>
      <c r="J10" s="841"/>
      <c r="K10" s="841"/>
      <c r="L10" s="841"/>
      <c r="M10" s="841"/>
      <c r="N10" s="841"/>
      <c r="O10" s="841"/>
      <c r="P10" s="840" t="s">
        <v>895</v>
      </c>
      <c r="Q10" s="840"/>
      <c r="R10" s="840"/>
      <c r="S10" s="840"/>
      <c r="T10" s="840"/>
      <c r="U10" s="840"/>
      <c r="V10" s="840"/>
      <c r="W10" s="840" t="s">
        <v>1401</v>
      </c>
      <c r="X10" s="840"/>
      <c r="Y10" s="840"/>
      <c r="Z10" s="840"/>
      <c r="AA10" s="840"/>
      <c r="AB10" s="840"/>
      <c r="AC10" s="840"/>
      <c r="AD10" s="840" t="s">
        <v>1402</v>
      </c>
      <c r="AE10" s="840"/>
      <c r="AF10" s="840"/>
      <c r="AG10" s="840"/>
      <c r="AH10" s="840"/>
      <c r="AI10" s="840"/>
      <c r="AJ10" s="840"/>
      <c r="AK10" s="840" t="s">
        <v>1403</v>
      </c>
      <c r="AL10" s="840"/>
      <c r="AM10" s="840"/>
      <c r="AN10" s="840"/>
      <c r="AO10" s="840"/>
      <c r="AP10" s="840"/>
      <c r="AQ10" s="840"/>
      <c r="AR10" s="840" t="s">
        <v>1404</v>
      </c>
      <c r="AS10" s="840"/>
      <c r="AT10" s="840"/>
      <c r="AU10" s="840"/>
      <c r="AV10" s="840"/>
      <c r="AW10" s="840"/>
      <c r="AX10" s="840"/>
      <c r="AY10" s="840" t="s">
        <v>1405</v>
      </c>
      <c r="AZ10" s="840"/>
      <c r="BA10" s="840"/>
      <c r="BB10" s="840"/>
      <c r="BC10" s="840"/>
      <c r="BD10" s="840"/>
      <c r="BE10" s="840"/>
      <c r="BG10" s="620"/>
      <c r="BH10" s="620"/>
      <c r="BI10" s="620"/>
      <c r="BJ10" s="620"/>
      <c r="BK10" s="620"/>
      <c r="BL10" s="620"/>
      <c r="BM10" s="620"/>
      <c r="BN10" s="620"/>
      <c r="BO10" s="620"/>
      <c r="BP10" s="620"/>
      <c r="BQ10" s="620"/>
      <c r="BR10" s="620"/>
      <c r="BS10" s="620"/>
    </row>
    <row r="11" spans="1:71" s="619" customFormat="1" ht="11.1" customHeight="1" x14ac:dyDescent="0.2">
      <c r="A11" s="831" t="s">
        <v>1425</v>
      </c>
      <c r="B11" s="831"/>
      <c r="C11" s="831"/>
      <c r="D11" s="831"/>
      <c r="E11" s="831"/>
      <c r="F11" s="831"/>
      <c r="G11" s="831"/>
      <c r="H11" s="831"/>
      <c r="I11" s="831"/>
      <c r="J11" s="831"/>
      <c r="K11" s="831"/>
      <c r="L11" s="834"/>
      <c r="M11" s="834"/>
      <c r="N11" s="834"/>
      <c r="O11" s="834"/>
      <c r="P11" s="820">
        <f>SUM(P12:V29)</f>
        <v>1305858190.3499999</v>
      </c>
      <c r="Q11" s="821"/>
      <c r="R11" s="821"/>
      <c r="S11" s="821"/>
      <c r="T11" s="821"/>
      <c r="U11" s="821"/>
      <c r="V11" s="822"/>
      <c r="W11" s="820">
        <f t="shared" ref="W11" si="0">SUM(W12:AC29)</f>
        <v>698944557.62</v>
      </c>
      <c r="X11" s="821"/>
      <c r="Y11" s="821"/>
      <c r="Z11" s="821"/>
      <c r="AA11" s="821"/>
      <c r="AB11" s="821"/>
      <c r="AC11" s="822"/>
      <c r="AD11" s="820">
        <f t="shared" ref="AD11" si="1">SUM(AD12:AJ29)</f>
        <v>6549700.7799999993</v>
      </c>
      <c r="AE11" s="821"/>
      <c r="AF11" s="821"/>
      <c r="AG11" s="821"/>
      <c r="AH11" s="821"/>
      <c r="AI11" s="821"/>
      <c r="AJ11" s="822"/>
      <c r="AK11" s="820">
        <f t="shared" ref="AK11" si="2">SUM(AK12:AQ29)</f>
        <v>979805866.00000012</v>
      </c>
      <c r="AL11" s="821"/>
      <c r="AM11" s="821"/>
      <c r="AN11" s="821"/>
      <c r="AO11" s="821"/>
      <c r="AP11" s="821"/>
      <c r="AQ11" s="822"/>
      <c r="AR11" s="820">
        <f t="shared" ref="AR11" si="3">SUM(AR12:AX29)</f>
        <v>458313050.87</v>
      </c>
      <c r="AS11" s="821"/>
      <c r="AT11" s="821"/>
      <c r="AU11" s="821"/>
      <c r="AV11" s="821"/>
      <c r="AW11" s="821"/>
      <c r="AX11" s="822"/>
      <c r="AY11" s="820">
        <f t="shared" ref="AY11" si="4">SUM(AY12:BE29)</f>
        <v>6579697.5600000005</v>
      </c>
      <c r="AZ11" s="821"/>
      <c r="BA11" s="821"/>
      <c r="BB11" s="821"/>
      <c r="BC11" s="821"/>
      <c r="BD11" s="821"/>
      <c r="BE11" s="822"/>
    </row>
    <row r="12" spans="1:71" s="622" customFormat="1" ht="21" customHeight="1" x14ac:dyDescent="0.2">
      <c r="A12" s="836" t="s">
        <v>1467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7" t="s">
        <v>1427</v>
      </c>
      <c r="M12" s="837"/>
      <c r="N12" s="837"/>
      <c r="O12" s="837"/>
      <c r="P12" s="823">
        <v>1239078.05</v>
      </c>
      <c r="Q12" s="823"/>
      <c r="R12" s="823"/>
      <c r="S12" s="823"/>
      <c r="T12" s="823"/>
      <c r="U12" s="823"/>
      <c r="V12" s="823"/>
      <c r="W12" s="823">
        <v>32342</v>
      </c>
      <c r="X12" s="823"/>
      <c r="Y12" s="823"/>
      <c r="Z12" s="823"/>
      <c r="AA12" s="823"/>
      <c r="AB12" s="823"/>
      <c r="AC12" s="823"/>
      <c r="AD12" s="823">
        <v>1000943.18</v>
      </c>
      <c r="AE12" s="823"/>
      <c r="AF12" s="823"/>
      <c r="AG12" s="823"/>
      <c r="AH12" s="823"/>
      <c r="AI12" s="823"/>
      <c r="AJ12" s="823"/>
      <c r="AK12" s="823">
        <v>1176756.3700000001</v>
      </c>
      <c r="AL12" s="823"/>
      <c r="AM12" s="823"/>
      <c r="AN12" s="823"/>
      <c r="AO12" s="823"/>
      <c r="AP12" s="823"/>
      <c r="AQ12" s="823"/>
      <c r="AR12" s="823">
        <v>13862</v>
      </c>
      <c r="AS12" s="823"/>
      <c r="AT12" s="823"/>
      <c r="AU12" s="823"/>
      <c r="AV12" s="823"/>
      <c r="AW12" s="823"/>
      <c r="AX12" s="823"/>
      <c r="AY12" s="823">
        <v>1058971.3700000001</v>
      </c>
      <c r="AZ12" s="823"/>
      <c r="BA12" s="823"/>
      <c r="BB12" s="823"/>
      <c r="BC12" s="823"/>
      <c r="BD12" s="823"/>
      <c r="BE12" s="823"/>
    </row>
    <row r="13" spans="1:71" s="622" customFormat="1" ht="25.5" customHeight="1" x14ac:dyDescent="0.2">
      <c r="A13" s="836" t="s">
        <v>1468</v>
      </c>
      <c r="B13" s="836"/>
      <c r="C13" s="836"/>
      <c r="D13" s="836"/>
      <c r="E13" s="836"/>
      <c r="F13" s="836"/>
      <c r="G13" s="836"/>
      <c r="H13" s="836"/>
      <c r="I13" s="836"/>
      <c r="J13" s="836"/>
      <c r="K13" s="836"/>
      <c r="L13" s="837" t="s">
        <v>1428</v>
      </c>
      <c r="M13" s="837"/>
      <c r="N13" s="837"/>
      <c r="O13" s="837"/>
      <c r="P13" s="823">
        <v>1386135.54</v>
      </c>
      <c r="Q13" s="823"/>
      <c r="R13" s="823"/>
      <c r="S13" s="823"/>
      <c r="T13" s="823"/>
      <c r="U13" s="823"/>
      <c r="V13" s="823"/>
      <c r="W13" s="824">
        <v>0</v>
      </c>
      <c r="X13" s="824"/>
      <c r="Y13" s="824"/>
      <c r="Z13" s="824"/>
      <c r="AA13" s="824"/>
      <c r="AB13" s="824"/>
      <c r="AC13" s="824"/>
      <c r="AD13" s="823">
        <v>246818.1</v>
      </c>
      <c r="AE13" s="823"/>
      <c r="AF13" s="823"/>
      <c r="AG13" s="823"/>
      <c r="AH13" s="823"/>
      <c r="AI13" s="823"/>
      <c r="AJ13" s="823"/>
      <c r="AK13" s="823">
        <v>2430687.92</v>
      </c>
      <c r="AL13" s="823"/>
      <c r="AM13" s="823"/>
      <c r="AN13" s="823"/>
      <c r="AO13" s="823"/>
      <c r="AP13" s="823"/>
      <c r="AQ13" s="823"/>
      <c r="AR13" s="824">
        <v>0</v>
      </c>
      <c r="AS13" s="824"/>
      <c r="AT13" s="824"/>
      <c r="AU13" s="824"/>
      <c r="AV13" s="824"/>
      <c r="AW13" s="824"/>
      <c r="AX13" s="824"/>
      <c r="AY13" s="823">
        <v>210925.61</v>
      </c>
      <c r="AZ13" s="823"/>
      <c r="BA13" s="823"/>
      <c r="BB13" s="823"/>
      <c r="BC13" s="823"/>
      <c r="BD13" s="823"/>
      <c r="BE13" s="823"/>
    </row>
    <row r="14" spans="1:71" s="622" customFormat="1" ht="34.5" customHeight="1" x14ac:dyDescent="0.2">
      <c r="A14" s="836" t="s">
        <v>1469</v>
      </c>
      <c r="B14" s="836"/>
      <c r="C14" s="836"/>
      <c r="D14" s="836"/>
      <c r="E14" s="836"/>
      <c r="F14" s="836"/>
      <c r="G14" s="836"/>
      <c r="H14" s="836"/>
      <c r="I14" s="836"/>
      <c r="J14" s="836"/>
      <c r="K14" s="836"/>
      <c r="L14" s="837" t="s">
        <v>1429</v>
      </c>
      <c r="M14" s="837"/>
      <c r="N14" s="837"/>
      <c r="O14" s="837"/>
      <c r="P14" s="823">
        <v>61818759.109999999</v>
      </c>
      <c r="Q14" s="823"/>
      <c r="R14" s="823"/>
      <c r="S14" s="823"/>
      <c r="T14" s="823"/>
      <c r="U14" s="823"/>
      <c r="V14" s="823"/>
      <c r="W14" s="824">
        <v>0</v>
      </c>
      <c r="X14" s="824"/>
      <c r="Y14" s="824"/>
      <c r="Z14" s="824"/>
      <c r="AA14" s="824"/>
      <c r="AB14" s="824"/>
      <c r="AC14" s="824"/>
      <c r="AD14" s="823">
        <v>2157359.63</v>
      </c>
      <c r="AE14" s="823"/>
      <c r="AF14" s="823"/>
      <c r="AG14" s="823"/>
      <c r="AH14" s="823"/>
      <c r="AI14" s="823"/>
      <c r="AJ14" s="823"/>
      <c r="AK14" s="823">
        <v>61504456.359999999</v>
      </c>
      <c r="AL14" s="823"/>
      <c r="AM14" s="823"/>
      <c r="AN14" s="823"/>
      <c r="AO14" s="823"/>
      <c r="AP14" s="823"/>
      <c r="AQ14" s="823"/>
      <c r="AR14" s="824">
        <v>0</v>
      </c>
      <c r="AS14" s="824"/>
      <c r="AT14" s="824"/>
      <c r="AU14" s="824"/>
      <c r="AV14" s="824"/>
      <c r="AW14" s="824"/>
      <c r="AX14" s="824"/>
      <c r="AY14" s="823">
        <v>1712771.14</v>
      </c>
      <c r="AZ14" s="823"/>
      <c r="BA14" s="823"/>
      <c r="BB14" s="823"/>
      <c r="BC14" s="823"/>
      <c r="BD14" s="823"/>
      <c r="BE14" s="823"/>
    </row>
    <row r="15" spans="1:71" s="622" customFormat="1" ht="23.25" customHeight="1" x14ac:dyDescent="0.2">
      <c r="A15" s="836" t="s">
        <v>1470</v>
      </c>
      <c r="B15" s="836"/>
      <c r="C15" s="836"/>
      <c r="D15" s="836"/>
      <c r="E15" s="836"/>
      <c r="F15" s="836"/>
      <c r="G15" s="836"/>
      <c r="H15" s="836"/>
      <c r="I15" s="836"/>
      <c r="J15" s="836"/>
      <c r="K15" s="836"/>
      <c r="L15" s="837" t="s">
        <v>1430</v>
      </c>
      <c r="M15" s="837"/>
      <c r="N15" s="837"/>
      <c r="O15" s="837"/>
      <c r="P15" s="823">
        <v>3209535.6</v>
      </c>
      <c r="Q15" s="823"/>
      <c r="R15" s="823"/>
      <c r="S15" s="823"/>
      <c r="T15" s="823"/>
      <c r="U15" s="823"/>
      <c r="V15" s="823"/>
      <c r="W15" s="824">
        <v>0</v>
      </c>
      <c r="X15" s="824"/>
      <c r="Y15" s="824"/>
      <c r="Z15" s="824"/>
      <c r="AA15" s="824"/>
      <c r="AB15" s="824"/>
      <c r="AC15" s="824"/>
      <c r="AD15" s="823">
        <v>3058168.11</v>
      </c>
      <c r="AE15" s="823"/>
      <c r="AF15" s="823"/>
      <c r="AG15" s="823"/>
      <c r="AH15" s="823"/>
      <c r="AI15" s="823"/>
      <c r="AJ15" s="823"/>
      <c r="AK15" s="823">
        <v>2875754.46</v>
      </c>
      <c r="AL15" s="823"/>
      <c r="AM15" s="823"/>
      <c r="AN15" s="823"/>
      <c r="AO15" s="823"/>
      <c r="AP15" s="823"/>
      <c r="AQ15" s="823"/>
      <c r="AR15" s="824">
        <v>0</v>
      </c>
      <c r="AS15" s="824"/>
      <c r="AT15" s="824"/>
      <c r="AU15" s="824"/>
      <c r="AV15" s="824"/>
      <c r="AW15" s="824"/>
      <c r="AX15" s="824"/>
      <c r="AY15" s="823">
        <v>2759128.28</v>
      </c>
      <c r="AZ15" s="823"/>
      <c r="BA15" s="823"/>
      <c r="BB15" s="823"/>
      <c r="BC15" s="823"/>
      <c r="BD15" s="823"/>
      <c r="BE15" s="823"/>
    </row>
    <row r="16" spans="1:71" s="622" customFormat="1" ht="26.25" customHeight="1" x14ac:dyDescent="0.2">
      <c r="A16" s="836" t="s">
        <v>1471</v>
      </c>
      <c r="B16" s="836"/>
      <c r="C16" s="836"/>
      <c r="D16" s="836"/>
      <c r="E16" s="836"/>
      <c r="F16" s="836"/>
      <c r="G16" s="836"/>
      <c r="H16" s="836"/>
      <c r="I16" s="836"/>
      <c r="J16" s="836"/>
      <c r="K16" s="836"/>
      <c r="L16" s="837" t="s">
        <v>1431</v>
      </c>
      <c r="M16" s="837"/>
      <c r="N16" s="837"/>
      <c r="O16" s="837"/>
      <c r="P16" s="823">
        <v>422986.79</v>
      </c>
      <c r="Q16" s="823"/>
      <c r="R16" s="823"/>
      <c r="S16" s="823"/>
      <c r="T16" s="823"/>
      <c r="U16" s="823"/>
      <c r="V16" s="823"/>
      <c r="W16" s="824">
        <v>0</v>
      </c>
      <c r="X16" s="824"/>
      <c r="Y16" s="824"/>
      <c r="Z16" s="824"/>
      <c r="AA16" s="824"/>
      <c r="AB16" s="824"/>
      <c r="AC16" s="824"/>
      <c r="AD16" s="823">
        <v>8188.09</v>
      </c>
      <c r="AE16" s="823"/>
      <c r="AF16" s="823"/>
      <c r="AG16" s="823"/>
      <c r="AH16" s="823"/>
      <c r="AI16" s="823"/>
      <c r="AJ16" s="823"/>
      <c r="AK16" s="823">
        <v>152943.85</v>
      </c>
      <c r="AL16" s="823"/>
      <c r="AM16" s="823"/>
      <c r="AN16" s="823"/>
      <c r="AO16" s="823"/>
      <c r="AP16" s="823"/>
      <c r="AQ16" s="823"/>
      <c r="AR16" s="824">
        <v>0</v>
      </c>
      <c r="AS16" s="824"/>
      <c r="AT16" s="824"/>
      <c r="AU16" s="824"/>
      <c r="AV16" s="824"/>
      <c r="AW16" s="824"/>
      <c r="AX16" s="824"/>
      <c r="AY16" s="823">
        <v>4786.96</v>
      </c>
      <c r="AZ16" s="823"/>
      <c r="BA16" s="823"/>
      <c r="BB16" s="823"/>
      <c r="BC16" s="823"/>
      <c r="BD16" s="823"/>
      <c r="BE16" s="823"/>
    </row>
    <row r="17" spans="1:57" s="622" customFormat="1" ht="24.75" customHeight="1" x14ac:dyDescent="0.2">
      <c r="A17" s="836" t="s">
        <v>1472</v>
      </c>
      <c r="B17" s="836"/>
      <c r="C17" s="836"/>
      <c r="D17" s="836"/>
      <c r="E17" s="836"/>
      <c r="F17" s="836"/>
      <c r="G17" s="836"/>
      <c r="H17" s="836"/>
      <c r="I17" s="836"/>
      <c r="J17" s="836"/>
      <c r="K17" s="836"/>
      <c r="L17" s="837" t="s">
        <v>1432</v>
      </c>
      <c r="M17" s="837"/>
      <c r="N17" s="837"/>
      <c r="O17" s="837"/>
      <c r="P17" s="823">
        <v>44318.19</v>
      </c>
      <c r="Q17" s="823"/>
      <c r="R17" s="823"/>
      <c r="S17" s="823"/>
      <c r="T17" s="823"/>
      <c r="U17" s="823"/>
      <c r="V17" s="823"/>
      <c r="W17" s="824">
        <v>0</v>
      </c>
      <c r="X17" s="824"/>
      <c r="Y17" s="824"/>
      <c r="Z17" s="824"/>
      <c r="AA17" s="824"/>
      <c r="AB17" s="824"/>
      <c r="AC17" s="824"/>
      <c r="AD17" s="823">
        <v>36698.31</v>
      </c>
      <c r="AE17" s="823"/>
      <c r="AF17" s="823"/>
      <c r="AG17" s="823"/>
      <c r="AH17" s="823"/>
      <c r="AI17" s="823"/>
      <c r="AJ17" s="823"/>
      <c r="AK17" s="823">
        <v>68284.83</v>
      </c>
      <c r="AL17" s="823"/>
      <c r="AM17" s="823"/>
      <c r="AN17" s="823"/>
      <c r="AO17" s="823"/>
      <c r="AP17" s="823"/>
      <c r="AQ17" s="823"/>
      <c r="AR17" s="824">
        <v>0</v>
      </c>
      <c r="AS17" s="824"/>
      <c r="AT17" s="824"/>
      <c r="AU17" s="824"/>
      <c r="AV17" s="824"/>
      <c r="AW17" s="824"/>
      <c r="AX17" s="824"/>
      <c r="AY17" s="823">
        <v>25911.17</v>
      </c>
      <c r="AZ17" s="823"/>
      <c r="BA17" s="823"/>
      <c r="BB17" s="823"/>
      <c r="BC17" s="823"/>
      <c r="BD17" s="823"/>
      <c r="BE17" s="823"/>
    </row>
    <row r="18" spans="1:57" s="622" customFormat="1" ht="45" customHeight="1" x14ac:dyDescent="0.2">
      <c r="A18" s="836" t="s">
        <v>1479</v>
      </c>
      <c r="B18" s="836"/>
      <c r="C18" s="836"/>
      <c r="D18" s="836"/>
      <c r="E18" s="836"/>
      <c r="F18" s="836"/>
      <c r="G18" s="836"/>
      <c r="H18" s="836"/>
      <c r="I18" s="836"/>
      <c r="J18" s="836"/>
      <c r="K18" s="836"/>
      <c r="L18" s="837" t="s">
        <v>1433</v>
      </c>
      <c r="M18" s="837"/>
      <c r="N18" s="837"/>
      <c r="O18" s="837"/>
      <c r="P18" s="823">
        <v>1076315082.75</v>
      </c>
      <c r="Q18" s="823"/>
      <c r="R18" s="823"/>
      <c r="S18" s="823"/>
      <c r="T18" s="823"/>
      <c r="U18" s="823"/>
      <c r="V18" s="823"/>
      <c r="W18" s="823">
        <v>672245522.02999997</v>
      </c>
      <c r="X18" s="823"/>
      <c r="Y18" s="823"/>
      <c r="Z18" s="823"/>
      <c r="AA18" s="823"/>
      <c r="AB18" s="823"/>
      <c r="AC18" s="823"/>
      <c r="AD18" s="824">
        <v>0</v>
      </c>
      <c r="AE18" s="824"/>
      <c r="AF18" s="824"/>
      <c r="AG18" s="824"/>
      <c r="AH18" s="824"/>
      <c r="AI18" s="824"/>
      <c r="AJ18" s="824"/>
      <c r="AK18" s="823">
        <v>841272461.83000004</v>
      </c>
      <c r="AL18" s="823"/>
      <c r="AM18" s="823"/>
      <c r="AN18" s="823"/>
      <c r="AO18" s="823"/>
      <c r="AP18" s="823"/>
      <c r="AQ18" s="823"/>
      <c r="AR18" s="823">
        <v>438299188.87</v>
      </c>
      <c r="AS18" s="823"/>
      <c r="AT18" s="823"/>
      <c r="AU18" s="823"/>
      <c r="AV18" s="823"/>
      <c r="AW18" s="823"/>
      <c r="AX18" s="823"/>
      <c r="AY18" s="824">
        <v>0</v>
      </c>
      <c r="AZ18" s="824"/>
      <c r="BA18" s="824"/>
      <c r="BB18" s="824"/>
      <c r="BC18" s="824"/>
      <c r="BD18" s="824"/>
      <c r="BE18" s="824"/>
    </row>
    <row r="19" spans="1:57" s="622" customFormat="1" ht="55.5" customHeight="1" x14ac:dyDescent="0.2">
      <c r="A19" s="836" t="s">
        <v>1488</v>
      </c>
      <c r="B19" s="836"/>
      <c r="C19" s="836"/>
      <c r="D19" s="836"/>
      <c r="E19" s="836"/>
      <c r="F19" s="836"/>
      <c r="G19" s="836"/>
      <c r="H19" s="836"/>
      <c r="I19" s="836"/>
      <c r="J19" s="836"/>
      <c r="K19" s="836"/>
      <c r="L19" s="837" t="s">
        <v>1434</v>
      </c>
      <c r="M19" s="837"/>
      <c r="N19" s="837"/>
      <c r="O19" s="837"/>
      <c r="P19" s="823">
        <v>1773055.74</v>
      </c>
      <c r="Q19" s="823"/>
      <c r="R19" s="823"/>
      <c r="S19" s="823"/>
      <c r="T19" s="823"/>
      <c r="U19" s="823"/>
      <c r="V19" s="823"/>
      <c r="W19" s="824">
        <v>0</v>
      </c>
      <c r="X19" s="824"/>
      <c r="Y19" s="824"/>
      <c r="Z19" s="824"/>
      <c r="AA19" s="824"/>
      <c r="AB19" s="824"/>
      <c r="AC19" s="824"/>
      <c r="AD19" s="824">
        <v>0</v>
      </c>
      <c r="AE19" s="824"/>
      <c r="AF19" s="824"/>
      <c r="AG19" s="824"/>
      <c r="AH19" s="824"/>
      <c r="AI19" s="824"/>
      <c r="AJ19" s="824"/>
      <c r="AK19" s="823">
        <v>668817.56999999995</v>
      </c>
      <c r="AL19" s="823"/>
      <c r="AM19" s="823"/>
      <c r="AN19" s="823"/>
      <c r="AO19" s="823"/>
      <c r="AP19" s="823"/>
      <c r="AQ19" s="823"/>
      <c r="AR19" s="824">
        <v>0</v>
      </c>
      <c r="AS19" s="824"/>
      <c r="AT19" s="824"/>
      <c r="AU19" s="824"/>
      <c r="AV19" s="824"/>
      <c r="AW19" s="824"/>
      <c r="AX19" s="824"/>
      <c r="AY19" s="824">
        <v>0</v>
      </c>
      <c r="AZ19" s="824"/>
      <c r="BA19" s="824"/>
      <c r="BB19" s="824"/>
      <c r="BC19" s="824"/>
      <c r="BD19" s="824"/>
      <c r="BE19" s="824"/>
    </row>
    <row r="20" spans="1:57" s="622" customFormat="1" ht="66" customHeight="1" x14ac:dyDescent="0.2">
      <c r="A20" s="836" t="s">
        <v>1489</v>
      </c>
      <c r="B20" s="836"/>
      <c r="C20" s="836"/>
      <c r="D20" s="836"/>
      <c r="E20" s="836"/>
      <c r="F20" s="836"/>
      <c r="G20" s="836"/>
      <c r="H20" s="836"/>
      <c r="I20" s="836"/>
      <c r="J20" s="836"/>
      <c r="K20" s="836"/>
      <c r="L20" s="837" t="s">
        <v>1435</v>
      </c>
      <c r="M20" s="837"/>
      <c r="N20" s="837"/>
      <c r="O20" s="837"/>
      <c r="P20" s="823">
        <v>91000</v>
      </c>
      <c r="Q20" s="823"/>
      <c r="R20" s="823"/>
      <c r="S20" s="823"/>
      <c r="T20" s="823"/>
      <c r="U20" s="823"/>
      <c r="V20" s="823"/>
      <c r="W20" s="824">
        <v>0</v>
      </c>
      <c r="X20" s="824"/>
      <c r="Y20" s="824"/>
      <c r="Z20" s="824"/>
      <c r="AA20" s="824"/>
      <c r="AB20" s="824"/>
      <c r="AC20" s="824"/>
      <c r="AD20" s="824">
        <v>0</v>
      </c>
      <c r="AE20" s="824"/>
      <c r="AF20" s="824"/>
      <c r="AG20" s="824"/>
      <c r="AH20" s="824"/>
      <c r="AI20" s="824"/>
      <c r="AJ20" s="824"/>
      <c r="AK20" s="824">
        <v>0</v>
      </c>
      <c r="AL20" s="824"/>
      <c r="AM20" s="824"/>
      <c r="AN20" s="824"/>
      <c r="AO20" s="824"/>
      <c r="AP20" s="824"/>
      <c r="AQ20" s="824"/>
      <c r="AR20" s="824">
        <v>0</v>
      </c>
      <c r="AS20" s="824"/>
      <c r="AT20" s="824"/>
      <c r="AU20" s="824"/>
      <c r="AV20" s="824"/>
      <c r="AW20" s="824"/>
      <c r="AX20" s="824"/>
      <c r="AY20" s="824">
        <v>0</v>
      </c>
      <c r="AZ20" s="824"/>
      <c r="BA20" s="824"/>
      <c r="BB20" s="824"/>
      <c r="BC20" s="824"/>
      <c r="BD20" s="824"/>
      <c r="BE20" s="824"/>
    </row>
    <row r="21" spans="1:57" s="622" customFormat="1" ht="57" customHeight="1" x14ac:dyDescent="0.2">
      <c r="A21" s="836" t="s">
        <v>1480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  <c r="L21" s="837" t="s">
        <v>1436</v>
      </c>
      <c r="M21" s="837"/>
      <c r="N21" s="837"/>
      <c r="O21" s="837"/>
      <c r="P21" s="823">
        <v>114693813.84</v>
      </c>
      <c r="Q21" s="823"/>
      <c r="R21" s="823"/>
      <c r="S21" s="823"/>
      <c r="T21" s="823"/>
      <c r="U21" s="823"/>
      <c r="V21" s="823"/>
      <c r="W21" s="823">
        <v>26666693.59</v>
      </c>
      <c r="X21" s="823"/>
      <c r="Y21" s="823"/>
      <c r="Z21" s="823"/>
      <c r="AA21" s="823"/>
      <c r="AB21" s="823"/>
      <c r="AC21" s="823"/>
      <c r="AD21" s="824">
        <v>0</v>
      </c>
      <c r="AE21" s="824"/>
      <c r="AF21" s="824"/>
      <c r="AG21" s="824"/>
      <c r="AH21" s="824"/>
      <c r="AI21" s="824"/>
      <c r="AJ21" s="824"/>
      <c r="AK21" s="823">
        <v>68362495.280000001</v>
      </c>
      <c r="AL21" s="823"/>
      <c r="AM21" s="823"/>
      <c r="AN21" s="823"/>
      <c r="AO21" s="823"/>
      <c r="AP21" s="823"/>
      <c r="AQ21" s="823"/>
      <c r="AR21" s="823">
        <v>20000000</v>
      </c>
      <c r="AS21" s="823"/>
      <c r="AT21" s="823"/>
      <c r="AU21" s="823"/>
      <c r="AV21" s="823"/>
      <c r="AW21" s="823"/>
      <c r="AX21" s="823"/>
      <c r="AY21" s="824">
        <v>0</v>
      </c>
      <c r="AZ21" s="824"/>
      <c r="BA21" s="824"/>
      <c r="BB21" s="824"/>
      <c r="BC21" s="824"/>
      <c r="BD21" s="824"/>
      <c r="BE21" s="824"/>
    </row>
    <row r="22" spans="1:57" s="622" customFormat="1" ht="35.25" customHeight="1" x14ac:dyDescent="0.2">
      <c r="A22" s="836" t="s">
        <v>1481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  <c r="L22" s="837" t="s">
        <v>1437</v>
      </c>
      <c r="M22" s="837"/>
      <c r="N22" s="837"/>
      <c r="O22" s="837"/>
      <c r="P22" s="823">
        <v>43985870.259999998</v>
      </c>
      <c r="Q22" s="823"/>
      <c r="R22" s="823"/>
      <c r="S22" s="823"/>
      <c r="T22" s="823"/>
      <c r="U22" s="823"/>
      <c r="V22" s="823"/>
      <c r="W22" s="824">
        <v>0</v>
      </c>
      <c r="X22" s="824"/>
      <c r="Y22" s="824"/>
      <c r="Z22" s="824"/>
      <c r="AA22" s="824"/>
      <c r="AB22" s="824"/>
      <c r="AC22" s="824"/>
      <c r="AD22" s="824">
        <v>0</v>
      </c>
      <c r="AE22" s="824"/>
      <c r="AF22" s="824"/>
      <c r="AG22" s="824"/>
      <c r="AH22" s="824"/>
      <c r="AI22" s="824"/>
      <c r="AJ22" s="824"/>
      <c r="AK22" s="824">
        <v>0</v>
      </c>
      <c r="AL22" s="824"/>
      <c r="AM22" s="824"/>
      <c r="AN22" s="824"/>
      <c r="AO22" s="824"/>
      <c r="AP22" s="824"/>
      <c r="AQ22" s="824"/>
      <c r="AR22" s="824">
        <v>0</v>
      </c>
      <c r="AS22" s="824"/>
      <c r="AT22" s="824"/>
      <c r="AU22" s="824"/>
      <c r="AV22" s="824"/>
      <c r="AW22" s="824"/>
      <c r="AX22" s="824"/>
      <c r="AY22" s="824">
        <v>0</v>
      </c>
      <c r="AZ22" s="824"/>
      <c r="BA22" s="824"/>
      <c r="BB22" s="824"/>
      <c r="BC22" s="824"/>
      <c r="BD22" s="824"/>
      <c r="BE22" s="824"/>
    </row>
    <row r="23" spans="1:57" s="622" customFormat="1" ht="25.5" customHeight="1" x14ac:dyDescent="0.2">
      <c r="A23" s="836" t="s">
        <v>1490</v>
      </c>
      <c r="B23" s="836"/>
      <c r="C23" s="836"/>
      <c r="D23" s="836"/>
      <c r="E23" s="836"/>
      <c r="F23" s="836"/>
      <c r="G23" s="836"/>
      <c r="H23" s="836"/>
      <c r="I23" s="836"/>
      <c r="J23" s="836"/>
      <c r="K23" s="836"/>
      <c r="L23" s="837" t="s">
        <v>1438</v>
      </c>
      <c r="M23" s="837"/>
      <c r="N23" s="837"/>
      <c r="O23" s="837"/>
      <c r="P23" s="824">
        <v>0</v>
      </c>
      <c r="Q23" s="824"/>
      <c r="R23" s="824"/>
      <c r="S23" s="824"/>
      <c r="T23" s="824"/>
      <c r="U23" s="824"/>
      <c r="V23" s="824"/>
      <c r="W23" s="824">
        <v>0</v>
      </c>
      <c r="X23" s="824"/>
      <c r="Y23" s="824"/>
      <c r="Z23" s="824"/>
      <c r="AA23" s="824"/>
      <c r="AB23" s="824"/>
      <c r="AC23" s="824"/>
      <c r="AD23" s="824">
        <v>0</v>
      </c>
      <c r="AE23" s="824"/>
      <c r="AF23" s="824"/>
      <c r="AG23" s="824"/>
      <c r="AH23" s="824"/>
      <c r="AI23" s="824"/>
      <c r="AJ23" s="824"/>
      <c r="AK23" s="823">
        <v>485150</v>
      </c>
      <c r="AL23" s="823"/>
      <c r="AM23" s="823"/>
      <c r="AN23" s="823"/>
      <c r="AO23" s="823"/>
      <c r="AP23" s="823"/>
      <c r="AQ23" s="823"/>
      <c r="AR23" s="824">
        <v>0</v>
      </c>
      <c r="AS23" s="824"/>
      <c r="AT23" s="824"/>
      <c r="AU23" s="824"/>
      <c r="AV23" s="824"/>
      <c r="AW23" s="824"/>
      <c r="AX23" s="824"/>
      <c r="AY23" s="824">
        <v>0</v>
      </c>
      <c r="AZ23" s="824"/>
      <c r="BA23" s="824"/>
      <c r="BB23" s="824"/>
      <c r="BC23" s="824"/>
      <c r="BD23" s="824"/>
      <c r="BE23" s="824"/>
    </row>
    <row r="24" spans="1:57" s="622" customFormat="1" ht="24" customHeight="1" x14ac:dyDescent="0.2">
      <c r="A24" s="836" t="s">
        <v>1482</v>
      </c>
      <c r="B24" s="836"/>
      <c r="C24" s="836"/>
      <c r="D24" s="836"/>
      <c r="E24" s="836"/>
      <c r="F24" s="836"/>
      <c r="G24" s="836"/>
      <c r="H24" s="836"/>
      <c r="I24" s="836"/>
      <c r="J24" s="836"/>
      <c r="K24" s="836"/>
      <c r="L24" s="837" t="s">
        <v>1439</v>
      </c>
      <c r="M24" s="837"/>
      <c r="N24" s="837"/>
      <c r="O24" s="837"/>
      <c r="P24" s="835">
        <v>0.27</v>
      </c>
      <c r="Q24" s="835"/>
      <c r="R24" s="835"/>
      <c r="S24" s="835"/>
      <c r="T24" s="835"/>
      <c r="U24" s="835"/>
      <c r="V24" s="835"/>
      <c r="W24" s="824">
        <v>0</v>
      </c>
      <c r="X24" s="824"/>
      <c r="Y24" s="824"/>
      <c r="Z24" s="824"/>
      <c r="AA24" s="824"/>
      <c r="AB24" s="824"/>
      <c r="AC24" s="824"/>
      <c r="AD24" s="824">
        <v>0</v>
      </c>
      <c r="AE24" s="824"/>
      <c r="AF24" s="824"/>
      <c r="AG24" s="824"/>
      <c r="AH24" s="824"/>
      <c r="AI24" s="824"/>
      <c r="AJ24" s="824"/>
      <c r="AK24" s="824">
        <v>0</v>
      </c>
      <c r="AL24" s="824"/>
      <c r="AM24" s="824"/>
      <c r="AN24" s="824"/>
      <c r="AO24" s="824"/>
      <c r="AP24" s="824"/>
      <c r="AQ24" s="824"/>
      <c r="AR24" s="824">
        <v>0</v>
      </c>
      <c r="AS24" s="824"/>
      <c r="AT24" s="824"/>
      <c r="AU24" s="824"/>
      <c r="AV24" s="824"/>
      <c r="AW24" s="824"/>
      <c r="AX24" s="824"/>
      <c r="AY24" s="824">
        <v>0</v>
      </c>
      <c r="AZ24" s="824"/>
      <c r="BA24" s="824"/>
      <c r="BB24" s="824"/>
      <c r="BC24" s="824"/>
      <c r="BD24" s="824"/>
      <c r="BE24" s="824"/>
    </row>
    <row r="25" spans="1:57" s="622" customFormat="1" ht="25.5" customHeight="1" x14ac:dyDescent="0.2">
      <c r="A25" s="836" t="s">
        <v>1491</v>
      </c>
      <c r="B25" s="836"/>
      <c r="C25" s="836"/>
      <c r="D25" s="836"/>
      <c r="E25" s="836"/>
      <c r="F25" s="836"/>
      <c r="G25" s="836"/>
      <c r="H25" s="836"/>
      <c r="I25" s="836"/>
      <c r="J25" s="836"/>
      <c r="K25" s="836"/>
      <c r="L25" s="837" t="s">
        <v>1440</v>
      </c>
      <c r="M25" s="837"/>
      <c r="N25" s="837"/>
      <c r="O25" s="837"/>
      <c r="P25" s="823">
        <v>29487.32</v>
      </c>
      <c r="Q25" s="823"/>
      <c r="R25" s="823"/>
      <c r="S25" s="823"/>
      <c r="T25" s="823"/>
      <c r="U25" s="823"/>
      <c r="V25" s="823"/>
      <c r="W25" s="824">
        <v>0</v>
      </c>
      <c r="X25" s="824"/>
      <c r="Y25" s="824"/>
      <c r="Z25" s="824"/>
      <c r="AA25" s="824"/>
      <c r="AB25" s="824"/>
      <c r="AC25" s="824"/>
      <c r="AD25" s="824">
        <v>0</v>
      </c>
      <c r="AE25" s="824"/>
      <c r="AF25" s="824"/>
      <c r="AG25" s="824"/>
      <c r="AH25" s="824"/>
      <c r="AI25" s="824"/>
      <c r="AJ25" s="824"/>
      <c r="AK25" s="824">
        <v>0</v>
      </c>
      <c r="AL25" s="824"/>
      <c r="AM25" s="824"/>
      <c r="AN25" s="824"/>
      <c r="AO25" s="824"/>
      <c r="AP25" s="824"/>
      <c r="AQ25" s="824"/>
      <c r="AR25" s="824">
        <v>0</v>
      </c>
      <c r="AS25" s="824"/>
      <c r="AT25" s="824"/>
      <c r="AU25" s="824"/>
      <c r="AV25" s="824"/>
      <c r="AW25" s="824"/>
      <c r="AX25" s="824"/>
      <c r="AY25" s="824">
        <v>0</v>
      </c>
      <c r="AZ25" s="824"/>
      <c r="BA25" s="824"/>
      <c r="BB25" s="824"/>
      <c r="BC25" s="824"/>
      <c r="BD25" s="824"/>
      <c r="BE25" s="824"/>
    </row>
    <row r="26" spans="1:57" s="622" customFormat="1" ht="18.75" customHeight="1" x14ac:dyDescent="0.2">
      <c r="A26" s="838" t="s">
        <v>1492</v>
      </c>
      <c r="B26" s="838"/>
      <c r="C26" s="838"/>
      <c r="D26" s="838"/>
      <c r="E26" s="838"/>
      <c r="F26" s="838"/>
      <c r="G26" s="838"/>
      <c r="H26" s="838"/>
      <c r="I26" s="838"/>
      <c r="J26" s="838"/>
      <c r="K26" s="838"/>
      <c r="L26" s="837" t="s">
        <v>1442</v>
      </c>
      <c r="M26" s="837"/>
      <c r="N26" s="837"/>
      <c r="O26" s="837"/>
      <c r="P26" s="824">
        <v>0</v>
      </c>
      <c r="Q26" s="824"/>
      <c r="R26" s="824"/>
      <c r="S26" s="824"/>
      <c r="T26" s="824"/>
      <c r="U26" s="824"/>
      <c r="V26" s="824"/>
      <c r="W26" s="824">
        <v>0</v>
      </c>
      <c r="X26" s="824"/>
      <c r="Y26" s="824"/>
      <c r="Z26" s="824"/>
      <c r="AA26" s="824"/>
      <c r="AB26" s="824"/>
      <c r="AC26" s="824"/>
      <c r="AD26" s="824">
        <v>0</v>
      </c>
      <c r="AE26" s="824"/>
      <c r="AF26" s="824"/>
      <c r="AG26" s="824"/>
      <c r="AH26" s="824"/>
      <c r="AI26" s="824"/>
      <c r="AJ26" s="824"/>
      <c r="AK26" s="835">
        <v>854.5</v>
      </c>
      <c r="AL26" s="835"/>
      <c r="AM26" s="835"/>
      <c r="AN26" s="835"/>
      <c r="AO26" s="835"/>
      <c r="AP26" s="835"/>
      <c r="AQ26" s="835"/>
      <c r="AR26" s="824">
        <v>0</v>
      </c>
      <c r="AS26" s="824"/>
      <c r="AT26" s="824"/>
      <c r="AU26" s="824"/>
      <c r="AV26" s="824"/>
      <c r="AW26" s="824"/>
      <c r="AX26" s="824"/>
      <c r="AY26" s="824">
        <v>0</v>
      </c>
      <c r="AZ26" s="824"/>
      <c r="BA26" s="824"/>
      <c r="BB26" s="824"/>
      <c r="BC26" s="824"/>
      <c r="BD26" s="824"/>
      <c r="BE26" s="824"/>
    </row>
    <row r="27" spans="1:57" s="622" customFormat="1" ht="33.75" customHeight="1" x14ac:dyDescent="0.2">
      <c r="A27" s="839" t="s">
        <v>1484</v>
      </c>
      <c r="B27" s="839"/>
      <c r="C27" s="839"/>
      <c r="D27" s="839"/>
      <c r="E27" s="839"/>
      <c r="F27" s="839"/>
      <c r="G27" s="839"/>
      <c r="H27" s="839"/>
      <c r="I27" s="839"/>
      <c r="J27" s="839"/>
      <c r="K27" s="839"/>
      <c r="L27" s="837" t="s">
        <v>1455</v>
      </c>
      <c r="M27" s="837"/>
      <c r="N27" s="837"/>
      <c r="O27" s="837"/>
      <c r="P27" s="823">
        <v>753575.43</v>
      </c>
      <c r="Q27" s="823"/>
      <c r="R27" s="823"/>
      <c r="S27" s="823"/>
      <c r="T27" s="823"/>
      <c r="U27" s="823"/>
      <c r="V27" s="823"/>
      <c r="W27" s="824">
        <v>0</v>
      </c>
      <c r="X27" s="824"/>
      <c r="Y27" s="824"/>
      <c r="Z27" s="824"/>
      <c r="AA27" s="824"/>
      <c r="AB27" s="824"/>
      <c r="AC27" s="824"/>
      <c r="AD27" s="823">
        <v>41525.360000000001</v>
      </c>
      <c r="AE27" s="823"/>
      <c r="AF27" s="823"/>
      <c r="AG27" s="823"/>
      <c r="AH27" s="823"/>
      <c r="AI27" s="823"/>
      <c r="AJ27" s="823"/>
      <c r="AK27" s="823">
        <v>712050.07</v>
      </c>
      <c r="AL27" s="823"/>
      <c r="AM27" s="823"/>
      <c r="AN27" s="823"/>
      <c r="AO27" s="823"/>
      <c r="AP27" s="823"/>
      <c r="AQ27" s="823"/>
      <c r="AR27" s="824">
        <v>0</v>
      </c>
      <c r="AS27" s="824"/>
      <c r="AT27" s="824"/>
      <c r="AU27" s="824"/>
      <c r="AV27" s="824"/>
      <c r="AW27" s="824"/>
      <c r="AX27" s="824"/>
      <c r="AY27" s="823">
        <v>712050.07</v>
      </c>
      <c r="AZ27" s="823"/>
      <c r="BA27" s="823"/>
      <c r="BB27" s="823"/>
      <c r="BC27" s="823"/>
      <c r="BD27" s="823"/>
      <c r="BE27" s="823"/>
    </row>
    <row r="28" spans="1:57" s="622" customFormat="1" ht="31.5" customHeight="1" x14ac:dyDescent="0.2">
      <c r="A28" s="836" t="s">
        <v>1485</v>
      </c>
      <c r="B28" s="836"/>
      <c r="C28" s="836"/>
      <c r="D28" s="836"/>
      <c r="E28" s="836"/>
      <c r="F28" s="836"/>
      <c r="G28" s="836"/>
      <c r="H28" s="836"/>
      <c r="I28" s="836"/>
      <c r="J28" s="836"/>
      <c r="K28" s="836"/>
      <c r="L28" s="837" t="s">
        <v>1456</v>
      </c>
      <c r="M28" s="837"/>
      <c r="N28" s="837"/>
      <c r="O28" s="837"/>
      <c r="P28" s="823">
        <v>95491.46</v>
      </c>
      <c r="Q28" s="823"/>
      <c r="R28" s="823"/>
      <c r="S28" s="823"/>
      <c r="T28" s="823"/>
      <c r="U28" s="823"/>
      <c r="V28" s="823"/>
      <c r="W28" s="824">
        <v>0</v>
      </c>
      <c r="X28" s="824"/>
      <c r="Y28" s="824"/>
      <c r="Z28" s="824"/>
      <c r="AA28" s="824"/>
      <c r="AB28" s="824"/>
      <c r="AC28" s="824"/>
      <c r="AD28" s="824">
        <v>0</v>
      </c>
      <c r="AE28" s="824"/>
      <c r="AF28" s="824"/>
      <c r="AG28" s="824"/>
      <c r="AH28" s="824"/>
      <c r="AI28" s="824"/>
      <c r="AJ28" s="824"/>
      <c r="AK28" s="823">
        <v>95152.960000000006</v>
      </c>
      <c r="AL28" s="823"/>
      <c r="AM28" s="823"/>
      <c r="AN28" s="823"/>
      <c r="AO28" s="823"/>
      <c r="AP28" s="823"/>
      <c r="AQ28" s="823"/>
      <c r="AR28" s="824">
        <v>0</v>
      </c>
      <c r="AS28" s="824"/>
      <c r="AT28" s="824"/>
      <c r="AU28" s="824"/>
      <c r="AV28" s="824"/>
      <c r="AW28" s="824"/>
      <c r="AX28" s="824"/>
      <c r="AY28" s="823">
        <v>95152.960000000006</v>
      </c>
      <c r="AZ28" s="823"/>
      <c r="BA28" s="823"/>
      <c r="BB28" s="823"/>
      <c r="BC28" s="823"/>
      <c r="BD28" s="823"/>
      <c r="BE28" s="823"/>
    </row>
    <row r="29" spans="1:57" s="622" customFormat="1" ht="20.25" customHeight="1" x14ac:dyDescent="0.2">
      <c r="A29" s="838" t="s">
        <v>1486</v>
      </c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7" t="s">
        <v>1457</v>
      </c>
      <c r="M29" s="837"/>
      <c r="N29" s="837"/>
      <c r="O29" s="837"/>
      <c r="P29" s="824">
        <v>0</v>
      </c>
      <c r="Q29" s="824"/>
      <c r="R29" s="824"/>
      <c r="S29" s="824"/>
      <c r="T29" s="824"/>
      <c r="U29" s="824"/>
      <c r="V29" s="824"/>
      <c r="W29" s="824">
        <v>0</v>
      </c>
      <c r="X29" s="824"/>
      <c r="Y29" s="824"/>
      <c r="Z29" s="824"/>
      <c r="AA29" s="824"/>
      <c r="AB29" s="824"/>
      <c r="AC29" s="824"/>
      <c r="AD29" s="824">
        <v>0</v>
      </c>
      <c r="AE29" s="824"/>
      <c r="AF29" s="824"/>
      <c r="AG29" s="824"/>
      <c r="AH29" s="824"/>
      <c r="AI29" s="824"/>
      <c r="AJ29" s="824"/>
      <c r="AK29" s="824">
        <v>0</v>
      </c>
      <c r="AL29" s="824"/>
      <c r="AM29" s="824"/>
      <c r="AN29" s="824"/>
      <c r="AO29" s="824"/>
      <c r="AP29" s="824"/>
      <c r="AQ29" s="824"/>
      <c r="AR29" s="824">
        <v>0</v>
      </c>
      <c r="AS29" s="824"/>
      <c r="AT29" s="824"/>
      <c r="AU29" s="824"/>
      <c r="AV29" s="824"/>
      <c r="AW29" s="824"/>
      <c r="AX29" s="824"/>
      <c r="AY29" s="824">
        <v>0</v>
      </c>
      <c r="AZ29" s="824"/>
      <c r="BA29" s="824"/>
      <c r="BB29" s="824"/>
      <c r="BC29" s="824"/>
      <c r="BD29" s="824"/>
      <c r="BE29" s="824"/>
    </row>
    <row r="30" spans="1:57" s="622" customFormat="1" ht="13.5" customHeight="1" x14ac:dyDescent="0.2">
      <c r="A30" s="826" t="s">
        <v>1426</v>
      </c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7"/>
      <c r="M30" s="827"/>
      <c r="N30" s="827"/>
      <c r="O30" s="827"/>
      <c r="P30" s="817">
        <f>SUM(P31:V45)</f>
        <v>16284981.380000001</v>
      </c>
      <c r="Q30" s="818"/>
      <c r="R30" s="818"/>
      <c r="S30" s="818"/>
      <c r="T30" s="818"/>
      <c r="U30" s="818"/>
      <c r="V30" s="819"/>
      <c r="W30" s="817">
        <f t="shared" ref="W30" si="5">SUM(W31:AC45)</f>
        <v>0</v>
      </c>
      <c r="X30" s="818"/>
      <c r="Y30" s="818"/>
      <c r="Z30" s="818"/>
      <c r="AA30" s="818"/>
      <c r="AB30" s="818"/>
      <c r="AC30" s="819"/>
      <c r="AD30" s="817">
        <f t="shared" ref="AD30" si="6">SUM(AD31:AJ45)</f>
        <v>0</v>
      </c>
      <c r="AE30" s="818"/>
      <c r="AF30" s="818"/>
      <c r="AG30" s="818"/>
      <c r="AH30" s="818"/>
      <c r="AI30" s="818"/>
      <c r="AJ30" s="819"/>
      <c r="AK30" s="817">
        <f t="shared" ref="AK30" si="7">SUM(AK31:AQ45)</f>
        <v>4069164.8199999994</v>
      </c>
      <c r="AL30" s="818"/>
      <c r="AM30" s="818"/>
      <c r="AN30" s="818"/>
      <c r="AO30" s="818"/>
      <c r="AP30" s="818"/>
      <c r="AQ30" s="819"/>
      <c r="AR30" s="817">
        <f t="shared" ref="AR30" si="8">SUM(AR31:AX45)</f>
        <v>0</v>
      </c>
      <c r="AS30" s="818"/>
      <c r="AT30" s="818"/>
      <c r="AU30" s="818"/>
      <c r="AV30" s="818"/>
      <c r="AW30" s="818"/>
      <c r="AX30" s="819"/>
      <c r="AY30" s="817">
        <f t="shared" ref="AY30" si="9">SUM(AY31:BE45)</f>
        <v>0</v>
      </c>
      <c r="AZ30" s="818"/>
      <c r="BA30" s="818"/>
      <c r="BB30" s="818"/>
      <c r="BC30" s="818"/>
      <c r="BD30" s="818"/>
      <c r="BE30" s="819"/>
    </row>
    <row r="31" spans="1:57" s="622" customFormat="1" ht="14.25" customHeight="1" x14ac:dyDescent="0.2">
      <c r="A31" s="836" t="s">
        <v>1493</v>
      </c>
      <c r="B31" s="836"/>
      <c r="C31" s="836"/>
      <c r="D31" s="836"/>
      <c r="E31" s="836"/>
      <c r="F31" s="836"/>
      <c r="G31" s="836"/>
      <c r="H31" s="836"/>
      <c r="I31" s="836"/>
      <c r="J31" s="836"/>
      <c r="K31" s="836"/>
      <c r="L31" s="837" t="s">
        <v>1443</v>
      </c>
      <c r="M31" s="837"/>
      <c r="N31" s="837"/>
      <c r="O31" s="837"/>
      <c r="P31" s="823">
        <v>4854.0200000000004</v>
      </c>
      <c r="Q31" s="823"/>
      <c r="R31" s="823"/>
      <c r="S31" s="823"/>
      <c r="T31" s="823"/>
      <c r="U31" s="823"/>
      <c r="V31" s="823"/>
      <c r="W31" s="824">
        <v>0</v>
      </c>
      <c r="X31" s="824"/>
      <c r="Y31" s="824"/>
      <c r="Z31" s="824"/>
      <c r="AA31" s="824"/>
      <c r="AB31" s="824"/>
      <c r="AC31" s="824"/>
      <c r="AD31" s="824">
        <v>0</v>
      </c>
      <c r="AE31" s="824"/>
      <c r="AF31" s="824"/>
      <c r="AG31" s="824"/>
      <c r="AH31" s="824"/>
      <c r="AI31" s="824"/>
      <c r="AJ31" s="824"/>
      <c r="AK31" s="823">
        <v>2500</v>
      </c>
      <c r="AL31" s="823"/>
      <c r="AM31" s="823"/>
      <c r="AN31" s="823"/>
      <c r="AO31" s="823"/>
      <c r="AP31" s="823"/>
      <c r="AQ31" s="823"/>
      <c r="AR31" s="824">
        <v>0</v>
      </c>
      <c r="AS31" s="824"/>
      <c r="AT31" s="824"/>
      <c r="AU31" s="824"/>
      <c r="AV31" s="824"/>
      <c r="AW31" s="824"/>
      <c r="AX31" s="824"/>
      <c r="AY31" s="824">
        <v>0</v>
      </c>
      <c r="AZ31" s="824"/>
      <c r="BA31" s="824"/>
      <c r="BB31" s="824"/>
      <c r="BC31" s="824"/>
      <c r="BD31" s="824"/>
      <c r="BE31" s="824"/>
    </row>
    <row r="32" spans="1:57" s="622" customFormat="1" ht="21" customHeight="1" x14ac:dyDescent="0.2">
      <c r="A32" s="836" t="s">
        <v>1494</v>
      </c>
      <c r="B32" s="836"/>
      <c r="C32" s="836"/>
      <c r="D32" s="836"/>
      <c r="E32" s="836"/>
      <c r="F32" s="836"/>
      <c r="G32" s="836"/>
      <c r="H32" s="836"/>
      <c r="I32" s="836"/>
      <c r="J32" s="836"/>
      <c r="K32" s="836"/>
      <c r="L32" s="837" t="s">
        <v>1444</v>
      </c>
      <c r="M32" s="837"/>
      <c r="N32" s="837"/>
      <c r="O32" s="837"/>
      <c r="P32" s="823">
        <v>4081.59</v>
      </c>
      <c r="Q32" s="823"/>
      <c r="R32" s="823"/>
      <c r="S32" s="823"/>
      <c r="T32" s="823"/>
      <c r="U32" s="823"/>
      <c r="V32" s="823"/>
      <c r="W32" s="824">
        <v>0</v>
      </c>
      <c r="X32" s="824"/>
      <c r="Y32" s="824"/>
      <c r="Z32" s="824"/>
      <c r="AA32" s="824"/>
      <c r="AB32" s="824"/>
      <c r="AC32" s="824"/>
      <c r="AD32" s="824">
        <v>0</v>
      </c>
      <c r="AE32" s="824"/>
      <c r="AF32" s="824"/>
      <c r="AG32" s="824"/>
      <c r="AH32" s="824"/>
      <c r="AI32" s="824"/>
      <c r="AJ32" s="824"/>
      <c r="AK32" s="823">
        <v>160935.21</v>
      </c>
      <c r="AL32" s="823"/>
      <c r="AM32" s="823"/>
      <c r="AN32" s="823"/>
      <c r="AO32" s="823"/>
      <c r="AP32" s="823"/>
      <c r="AQ32" s="823"/>
      <c r="AR32" s="824">
        <v>0</v>
      </c>
      <c r="AS32" s="824"/>
      <c r="AT32" s="824"/>
      <c r="AU32" s="824"/>
      <c r="AV32" s="824"/>
      <c r="AW32" s="824"/>
      <c r="AX32" s="824"/>
      <c r="AY32" s="824">
        <v>0</v>
      </c>
      <c r="AZ32" s="824"/>
      <c r="BA32" s="824"/>
      <c r="BB32" s="824"/>
      <c r="BC32" s="824"/>
      <c r="BD32" s="824"/>
      <c r="BE32" s="824"/>
    </row>
    <row r="33" spans="1:57" s="622" customFormat="1" ht="19.5" customHeight="1" x14ac:dyDescent="0.2">
      <c r="A33" s="836" t="s">
        <v>1495</v>
      </c>
      <c r="B33" s="836"/>
      <c r="C33" s="836"/>
      <c r="D33" s="836"/>
      <c r="E33" s="836"/>
      <c r="F33" s="836"/>
      <c r="G33" s="836"/>
      <c r="H33" s="836"/>
      <c r="I33" s="836"/>
      <c r="J33" s="836"/>
      <c r="K33" s="836"/>
      <c r="L33" s="837" t="s">
        <v>1445</v>
      </c>
      <c r="M33" s="837"/>
      <c r="N33" s="837"/>
      <c r="O33" s="837"/>
      <c r="P33" s="823">
        <v>88521.89</v>
      </c>
      <c r="Q33" s="823"/>
      <c r="R33" s="823"/>
      <c r="S33" s="823"/>
      <c r="T33" s="823"/>
      <c r="U33" s="823"/>
      <c r="V33" s="823"/>
      <c r="W33" s="824">
        <v>0</v>
      </c>
      <c r="X33" s="824"/>
      <c r="Y33" s="824"/>
      <c r="Z33" s="824"/>
      <c r="AA33" s="824"/>
      <c r="AB33" s="824"/>
      <c r="AC33" s="824"/>
      <c r="AD33" s="824">
        <v>0</v>
      </c>
      <c r="AE33" s="824"/>
      <c r="AF33" s="824"/>
      <c r="AG33" s="824"/>
      <c r="AH33" s="824"/>
      <c r="AI33" s="824"/>
      <c r="AJ33" s="824"/>
      <c r="AK33" s="823">
        <v>462618.13</v>
      </c>
      <c r="AL33" s="823"/>
      <c r="AM33" s="823"/>
      <c r="AN33" s="823"/>
      <c r="AO33" s="823"/>
      <c r="AP33" s="823"/>
      <c r="AQ33" s="823"/>
      <c r="AR33" s="824">
        <v>0</v>
      </c>
      <c r="AS33" s="824"/>
      <c r="AT33" s="824"/>
      <c r="AU33" s="824"/>
      <c r="AV33" s="824"/>
      <c r="AW33" s="824"/>
      <c r="AX33" s="824"/>
      <c r="AY33" s="824">
        <v>0</v>
      </c>
      <c r="AZ33" s="824"/>
      <c r="BA33" s="824"/>
      <c r="BB33" s="824"/>
      <c r="BC33" s="824"/>
      <c r="BD33" s="824"/>
      <c r="BE33" s="824"/>
    </row>
    <row r="34" spans="1:57" s="622" customFormat="1" ht="21" customHeight="1" x14ac:dyDescent="0.2">
      <c r="A34" s="836" t="s">
        <v>1496</v>
      </c>
      <c r="B34" s="836"/>
      <c r="C34" s="836"/>
      <c r="D34" s="836"/>
      <c r="E34" s="836"/>
      <c r="F34" s="836"/>
      <c r="G34" s="836"/>
      <c r="H34" s="836"/>
      <c r="I34" s="836"/>
      <c r="J34" s="836"/>
      <c r="K34" s="836"/>
      <c r="L34" s="837" t="s">
        <v>1446</v>
      </c>
      <c r="M34" s="837"/>
      <c r="N34" s="837"/>
      <c r="O34" s="837"/>
      <c r="P34" s="823">
        <v>98542.28</v>
      </c>
      <c r="Q34" s="823"/>
      <c r="R34" s="823"/>
      <c r="S34" s="823"/>
      <c r="T34" s="823"/>
      <c r="U34" s="823"/>
      <c r="V34" s="823"/>
      <c r="W34" s="824">
        <v>0</v>
      </c>
      <c r="X34" s="824"/>
      <c r="Y34" s="824"/>
      <c r="Z34" s="824"/>
      <c r="AA34" s="824"/>
      <c r="AB34" s="824"/>
      <c r="AC34" s="824"/>
      <c r="AD34" s="824">
        <v>0</v>
      </c>
      <c r="AE34" s="824"/>
      <c r="AF34" s="824"/>
      <c r="AG34" s="824"/>
      <c r="AH34" s="824"/>
      <c r="AI34" s="824"/>
      <c r="AJ34" s="824"/>
      <c r="AK34" s="824">
        <v>0</v>
      </c>
      <c r="AL34" s="824"/>
      <c r="AM34" s="824"/>
      <c r="AN34" s="824"/>
      <c r="AO34" s="824"/>
      <c r="AP34" s="824"/>
      <c r="AQ34" s="824"/>
      <c r="AR34" s="824">
        <v>0</v>
      </c>
      <c r="AS34" s="824"/>
      <c r="AT34" s="824"/>
      <c r="AU34" s="824"/>
      <c r="AV34" s="824"/>
      <c r="AW34" s="824"/>
      <c r="AX34" s="824"/>
      <c r="AY34" s="824">
        <v>0</v>
      </c>
      <c r="AZ34" s="824"/>
      <c r="BA34" s="824"/>
      <c r="BB34" s="824"/>
      <c r="BC34" s="824"/>
      <c r="BD34" s="824"/>
      <c r="BE34" s="824"/>
    </row>
    <row r="35" spans="1:57" s="622" customFormat="1" ht="35.25" customHeight="1" x14ac:dyDescent="0.2">
      <c r="A35" s="836" t="s">
        <v>1497</v>
      </c>
      <c r="B35" s="836"/>
      <c r="C35" s="836"/>
      <c r="D35" s="836"/>
      <c r="E35" s="836"/>
      <c r="F35" s="836"/>
      <c r="G35" s="836"/>
      <c r="H35" s="836"/>
      <c r="I35" s="836"/>
      <c r="J35" s="836"/>
      <c r="K35" s="836"/>
      <c r="L35" s="837" t="s">
        <v>1447</v>
      </c>
      <c r="M35" s="837"/>
      <c r="N35" s="837"/>
      <c r="O35" s="837"/>
      <c r="P35" s="824">
        <v>0</v>
      </c>
      <c r="Q35" s="824"/>
      <c r="R35" s="824"/>
      <c r="S35" s="824"/>
      <c r="T35" s="824"/>
      <c r="U35" s="824"/>
      <c r="V35" s="824"/>
      <c r="W35" s="824">
        <v>0</v>
      </c>
      <c r="X35" s="824"/>
      <c r="Y35" s="824"/>
      <c r="Z35" s="824"/>
      <c r="AA35" s="824"/>
      <c r="AB35" s="824"/>
      <c r="AC35" s="824"/>
      <c r="AD35" s="824">
        <v>0</v>
      </c>
      <c r="AE35" s="824"/>
      <c r="AF35" s="824"/>
      <c r="AG35" s="824"/>
      <c r="AH35" s="824"/>
      <c r="AI35" s="824"/>
      <c r="AJ35" s="824"/>
      <c r="AK35" s="823">
        <v>133356.65</v>
      </c>
      <c r="AL35" s="823"/>
      <c r="AM35" s="823"/>
      <c r="AN35" s="823"/>
      <c r="AO35" s="823"/>
      <c r="AP35" s="823"/>
      <c r="AQ35" s="823"/>
      <c r="AR35" s="824">
        <v>0</v>
      </c>
      <c r="AS35" s="824"/>
      <c r="AT35" s="824"/>
      <c r="AU35" s="824"/>
      <c r="AV35" s="824"/>
      <c r="AW35" s="824"/>
      <c r="AX35" s="824"/>
      <c r="AY35" s="824">
        <v>0</v>
      </c>
      <c r="AZ35" s="824"/>
      <c r="BA35" s="824"/>
      <c r="BB35" s="824"/>
      <c r="BC35" s="824"/>
      <c r="BD35" s="824"/>
      <c r="BE35" s="824"/>
    </row>
    <row r="36" spans="1:57" s="622" customFormat="1" ht="24" customHeight="1" x14ac:dyDescent="0.2">
      <c r="A36" s="836" t="s">
        <v>1498</v>
      </c>
      <c r="B36" s="836"/>
      <c r="C36" s="836"/>
      <c r="D36" s="836"/>
      <c r="E36" s="836"/>
      <c r="F36" s="836"/>
      <c r="G36" s="836"/>
      <c r="H36" s="836"/>
      <c r="I36" s="836"/>
      <c r="J36" s="836"/>
      <c r="K36" s="836"/>
      <c r="L36" s="837" t="s">
        <v>1448</v>
      </c>
      <c r="M36" s="837"/>
      <c r="N36" s="837"/>
      <c r="O36" s="837"/>
      <c r="P36" s="823">
        <v>15723920.16</v>
      </c>
      <c r="Q36" s="823"/>
      <c r="R36" s="823"/>
      <c r="S36" s="823"/>
      <c r="T36" s="823"/>
      <c r="U36" s="823"/>
      <c r="V36" s="823"/>
      <c r="W36" s="824">
        <v>0</v>
      </c>
      <c r="X36" s="824"/>
      <c r="Y36" s="824"/>
      <c r="Z36" s="824"/>
      <c r="AA36" s="824"/>
      <c r="AB36" s="824"/>
      <c r="AC36" s="824"/>
      <c r="AD36" s="824">
        <v>0</v>
      </c>
      <c r="AE36" s="824"/>
      <c r="AF36" s="824"/>
      <c r="AG36" s="824"/>
      <c r="AH36" s="824"/>
      <c r="AI36" s="824"/>
      <c r="AJ36" s="824"/>
      <c r="AK36" s="823">
        <v>2944269.56</v>
      </c>
      <c r="AL36" s="823"/>
      <c r="AM36" s="823"/>
      <c r="AN36" s="823"/>
      <c r="AO36" s="823"/>
      <c r="AP36" s="823"/>
      <c r="AQ36" s="823"/>
      <c r="AR36" s="824">
        <v>0</v>
      </c>
      <c r="AS36" s="824"/>
      <c r="AT36" s="824"/>
      <c r="AU36" s="824"/>
      <c r="AV36" s="824"/>
      <c r="AW36" s="824"/>
      <c r="AX36" s="824"/>
      <c r="AY36" s="824">
        <v>0</v>
      </c>
      <c r="AZ36" s="824"/>
      <c r="BA36" s="824"/>
      <c r="BB36" s="824"/>
      <c r="BC36" s="824"/>
      <c r="BD36" s="824"/>
      <c r="BE36" s="824"/>
    </row>
    <row r="37" spans="1:57" s="622" customFormat="1" ht="21" customHeight="1" x14ac:dyDescent="0.2">
      <c r="A37" s="836" t="s">
        <v>1474</v>
      </c>
      <c r="B37" s="836"/>
      <c r="C37" s="836"/>
      <c r="D37" s="836"/>
      <c r="E37" s="836"/>
      <c r="F37" s="836"/>
      <c r="G37" s="836"/>
      <c r="H37" s="836"/>
      <c r="I37" s="836"/>
      <c r="J37" s="836"/>
      <c r="K37" s="836"/>
      <c r="L37" s="837" t="s">
        <v>1449</v>
      </c>
      <c r="M37" s="837"/>
      <c r="N37" s="837"/>
      <c r="O37" s="837"/>
      <c r="P37" s="823">
        <v>27682.51</v>
      </c>
      <c r="Q37" s="823"/>
      <c r="R37" s="823"/>
      <c r="S37" s="823"/>
      <c r="T37" s="823"/>
      <c r="U37" s="823"/>
      <c r="V37" s="823"/>
      <c r="W37" s="824">
        <v>0</v>
      </c>
      <c r="X37" s="824"/>
      <c r="Y37" s="824"/>
      <c r="Z37" s="824"/>
      <c r="AA37" s="824"/>
      <c r="AB37" s="824"/>
      <c r="AC37" s="824"/>
      <c r="AD37" s="824">
        <v>0</v>
      </c>
      <c r="AE37" s="824"/>
      <c r="AF37" s="824"/>
      <c r="AG37" s="824"/>
      <c r="AH37" s="824"/>
      <c r="AI37" s="824"/>
      <c r="AJ37" s="824"/>
      <c r="AK37" s="823">
        <v>13812</v>
      </c>
      <c r="AL37" s="823"/>
      <c r="AM37" s="823"/>
      <c r="AN37" s="823"/>
      <c r="AO37" s="823"/>
      <c r="AP37" s="823"/>
      <c r="AQ37" s="823"/>
      <c r="AR37" s="824">
        <v>0</v>
      </c>
      <c r="AS37" s="824"/>
      <c r="AT37" s="824"/>
      <c r="AU37" s="824"/>
      <c r="AV37" s="824"/>
      <c r="AW37" s="824"/>
      <c r="AX37" s="824"/>
      <c r="AY37" s="824">
        <v>0</v>
      </c>
      <c r="AZ37" s="824"/>
      <c r="BA37" s="824"/>
      <c r="BB37" s="824"/>
      <c r="BC37" s="824"/>
      <c r="BD37" s="824"/>
      <c r="BE37" s="824"/>
    </row>
    <row r="38" spans="1:57" s="622" customFormat="1" ht="35.25" customHeight="1" x14ac:dyDescent="0.2">
      <c r="A38" s="836" t="s">
        <v>1499</v>
      </c>
      <c r="B38" s="836"/>
      <c r="C38" s="836"/>
      <c r="D38" s="836"/>
      <c r="E38" s="836"/>
      <c r="F38" s="836"/>
      <c r="G38" s="836"/>
      <c r="H38" s="836"/>
      <c r="I38" s="836"/>
      <c r="J38" s="836"/>
      <c r="K38" s="836"/>
      <c r="L38" s="837" t="s">
        <v>1450</v>
      </c>
      <c r="M38" s="837"/>
      <c r="N38" s="837"/>
      <c r="O38" s="837"/>
      <c r="P38" s="824">
        <v>0</v>
      </c>
      <c r="Q38" s="824"/>
      <c r="R38" s="824"/>
      <c r="S38" s="824"/>
      <c r="T38" s="824"/>
      <c r="U38" s="824"/>
      <c r="V38" s="824"/>
      <c r="W38" s="824">
        <v>0</v>
      </c>
      <c r="X38" s="824"/>
      <c r="Y38" s="824"/>
      <c r="Z38" s="824"/>
      <c r="AA38" s="824"/>
      <c r="AB38" s="824"/>
      <c r="AC38" s="824"/>
      <c r="AD38" s="824">
        <v>0</v>
      </c>
      <c r="AE38" s="824"/>
      <c r="AF38" s="824"/>
      <c r="AG38" s="824"/>
      <c r="AH38" s="824"/>
      <c r="AI38" s="824"/>
      <c r="AJ38" s="824"/>
      <c r="AK38" s="824">
        <v>0</v>
      </c>
      <c r="AL38" s="824"/>
      <c r="AM38" s="824"/>
      <c r="AN38" s="824"/>
      <c r="AO38" s="824"/>
      <c r="AP38" s="824"/>
      <c r="AQ38" s="824"/>
      <c r="AR38" s="824">
        <v>0</v>
      </c>
      <c r="AS38" s="824"/>
      <c r="AT38" s="824"/>
      <c r="AU38" s="824"/>
      <c r="AV38" s="824"/>
      <c r="AW38" s="824"/>
      <c r="AX38" s="824"/>
      <c r="AY38" s="824">
        <v>0</v>
      </c>
      <c r="AZ38" s="824"/>
      <c r="BA38" s="824"/>
      <c r="BB38" s="824"/>
      <c r="BC38" s="824"/>
      <c r="BD38" s="824"/>
      <c r="BE38" s="824"/>
    </row>
    <row r="39" spans="1:57" s="622" customFormat="1" ht="23.25" customHeight="1" x14ac:dyDescent="0.2">
      <c r="A39" s="836" t="s">
        <v>1500</v>
      </c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7" t="s">
        <v>1451</v>
      </c>
      <c r="M39" s="837"/>
      <c r="N39" s="837"/>
      <c r="O39" s="837"/>
      <c r="P39" s="835">
        <v>527</v>
      </c>
      <c r="Q39" s="835"/>
      <c r="R39" s="835"/>
      <c r="S39" s="835"/>
      <c r="T39" s="835"/>
      <c r="U39" s="835"/>
      <c r="V39" s="835"/>
      <c r="W39" s="824">
        <v>0</v>
      </c>
      <c r="X39" s="824"/>
      <c r="Y39" s="824"/>
      <c r="Z39" s="824"/>
      <c r="AA39" s="824"/>
      <c r="AB39" s="824"/>
      <c r="AC39" s="824"/>
      <c r="AD39" s="824">
        <v>0</v>
      </c>
      <c r="AE39" s="824"/>
      <c r="AF39" s="824"/>
      <c r="AG39" s="824"/>
      <c r="AH39" s="824"/>
      <c r="AI39" s="824"/>
      <c r="AJ39" s="824"/>
      <c r="AK39" s="835">
        <v>176</v>
      </c>
      <c r="AL39" s="835"/>
      <c r="AM39" s="835"/>
      <c r="AN39" s="835"/>
      <c r="AO39" s="835"/>
      <c r="AP39" s="835"/>
      <c r="AQ39" s="835"/>
      <c r="AR39" s="824">
        <v>0</v>
      </c>
      <c r="AS39" s="824"/>
      <c r="AT39" s="824"/>
      <c r="AU39" s="824"/>
      <c r="AV39" s="824"/>
      <c r="AW39" s="824"/>
      <c r="AX39" s="824"/>
      <c r="AY39" s="824">
        <v>0</v>
      </c>
      <c r="AZ39" s="824"/>
      <c r="BA39" s="824"/>
      <c r="BB39" s="824"/>
      <c r="BC39" s="824"/>
      <c r="BD39" s="824"/>
      <c r="BE39" s="824"/>
    </row>
    <row r="40" spans="1:57" s="622" customFormat="1" ht="22.5" customHeight="1" x14ac:dyDescent="0.2">
      <c r="A40" s="836" t="s">
        <v>1501</v>
      </c>
      <c r="B40" s="836"/>
      <c r="C40" s="836"/>
      <c r="D40" s="836"/>
      <c r="E40" s="836"/>
      <c r="F40" s="836"/>
      <c r="G40" s="836"/>
      <c r="H40" s="836"/>
      <c r="I40" s="836"/>
      <c r="J40" s="836"/>
      <c r="K40" s="836"/>
      <c r="L40" s="837" t="s">
        <v>1452</v>
      </c>
      <c r="M40" s="837"/>
      <c r="N40" s="837"/>
      <c r="O40" s="837"/>
      <c r="P40" s="823">
        <v>2612</v>
      </c>
      <c r="Q40" s="823"/>
      <c r="R40" s="823"/>
      <c r="S40" s="823"/>
      <c r="T40" s="823"/>
      <c r="U40" s="823"/>
      <c r="V40" s="823"/>
      <c r="W40" s="824">
        <v>0</v>
      </c>
      <c r="X40" s="824"/>
      <c r="Y40" s="824"/>
      <c r="Z40" s="824"/>
      <c r="AA40" s="824"/>
      <c r="AB40" s="824"/>
      <c r="AC40" s="824"/>
      <c r="AD40" s="824">
        <v>0</v>
      </c>
      <c r="AE40" s="824"/>
      <c r="AF40" s="824"/>
      <c r="AG40" s="824"/>
      <c r="AH40" s="824"/>
      <c r="AI40" s="824"/>
      <c r="AJ40" s="824"/>
      <c r="AK40" s="823">
        <v>4657</v>
      </c>
      <c r="AL40" s="823"/>
      <c r="AM40" s="823"/>
      <c r="AN40" s="823"/>
      <c r="AO40" s="823"/>
      <c r="AP40" s="823"/>
      <c r="AQ40" s="823"/>
      <c r="AR40" s="824">
        <v>0</v>
      </c>
      <c r="AS40" s="824"/>
      <c r="AT40" s="824"/>
      <c r="AU40" s="824"/>
      <c r="AV40" s="824"/>
      <c r="AW40" s="824"/>
      <c r="AX40" s="824"/>
      <c r="AY40" s="824">
        <v>0</v>
      </c>
      <c r="AZ40" s="824"/>
      <c r="BA40" s="824"/>
      <c r="BB40" s="824"/>
      <c r="BC40" s="824"/>
      <c r="BD40" s="824"/>
      <c r="BE40" s="824"/>
    </row>
    <row r="41" spans="1:57" s="622" customFormat="1" ht="33.75" customHeight="1" x14ac:dyDescent="0.2">
      <c r="A41" s="836" t="s">
        <v>1475</v>
      </c>
      <c r="B41" s="836"/>
      <c r="C41" s="836"/>
      <c r="D41" s="836"/>
      <c r="E41" s="836"/>
      <c r="F41" s="836"/>
      <c r="G41" s="836"/>
      <c r="H41" s="836"/>
      <c r="I41" s="836"/>
      <c r="J41" s="836"/>
      <c r="K41" s="836"/>
      <c r="L41" s="837" t="s">
        <v>1453</v>
      </c>
      <c r="M41" s="837"/>
      <c r="N41" s="837"/>
      <c r="O41" s="837"/>
      <c r="P41" s="823">
        <v>29150.83</v>
      </c>
      <c r="Q41" s="823"/>
      <c r="R41" s="823"/>
      <c r="S41" s="823"/>
      <c r="T41" s="823"/>
      <c r="U41" s="823"/>
      <c r="V41" s="823"/>
      <c r="W41" s="824">
        <v>0</v>
      </c>
      <c r="X41" s="824"/>
      <c r="Y41" s="824"/>
      <c r="Z41" s="824"/>
      <c r="AA41" s="824"/>
      <c r="AB41" s="824"/>
      <c r="AC41" s="824"/>
      <c r="AD41" s="824">
        <v>0</v>
      </c>
      <c r="AE41" s="824"/>
      <c r="AF41" s="824"/>
      <c r="AG41" s="824"/>
      <c r="AH41" s="824"/>
      <c r="AI41" s="824"/>
      <c r="AJ41" s="824"/>
      <c r="AK41" s="823">
        <v>34175.629999999997</v>
      </c>
      <c r="AL41" s="823"/>
      <c r="AM41" s="823"/>
      <c r="AN41" s="823"/>
      <c r="AO41" s="823"/>
      <c r="AP41" s="823"/>
      <c r="AQ41" s="823"/>
      <c r="AR41" s="824">
        <v>0</v>
      </c>
      <c r="AS41" s="824"/>
      <c r="AT41" s="824"/>
      <c r="AU41" s="824"/>
      <c r="AV41" s="824"/>
      <c r="AW41" s="824"/>
      <c r="AX41" s="824"/>
      <c r="AY41" s="824">
        <v>0</v>
      </c>
      <c r="AZ41" s="824"/>
      <c r="BA41" s="824"/>
      <c r="BB41" s="824"/>
      <c r="BC41" s="824"/>
      <c r="BD41" s="824"/>
      <c r="BE41" s="824"/>
    </row>
    <row r="42" spans="1:57" s="622" customFormat="1" ht="31.5" customHeight="1" x14ac:dyDescent="0.2">
      <c r="A42" s="836" t="s">
        <v>1502</v>
      </c>
      <c r="B42" s="836"/>
      <c r="C42" s="836"/>
      <c r="D42" s="836"/>
      <c r="E42" s="836"/>
      <c r="F42" s="836"/>
      <c r="G42" s="836"/>
      <c r="H42" s="836"/>
      <c r="I42" s="836"/>
      <c r="J42" s="836"/>
      <c r="K42" s="836"/>
      <c r="L42" s="837" t="s">
        <v>1454</v>
      </c>
      <c r="M42" s="837"/>
      <c r="N42" s="837"/>
      <c r="O42" s="837"/>
      <c r="P42" s="823">
        <v>219115.98</v>
      </c>
      <c r="Q42" s="823"/>
      <c r="R42" s="823"/>
      <c r="S42" s="823"/>
      <c r="T42" s="823"/>
      <c r="U42" s="823"/>
      <c r="V42" s="823"/>
      <c r="W42" s="824">
        <v>0</v>
      </c>
      <c r="X42" s="824"/>
      <c r="Y42" s="824"/>
      <c r="Z42" s="824"/>
      <c r="AA42" s="824"/>
      <c r="AB42" s="824"/>
      <c r="AC42" s="824"/>
      <c r="AD42" s="824">
        <v>0</v>
      </c>
      <c r="AE42" s="824"/>
      <c r="AF42" s="824"/>
      <c r="AG42" s="824"/>
      <c r="AH42" s="824"/>
      <c r="AI42" s="824"/>
      <c r="AJ42" s="824"/>
      <c r="AK42" s="823">
        <v>275361.71999999997</v>
      </c>
      <c r="AL42" s="823"/>
      <c r="AM42" s="823"/>
      <c r="AN42" s="823"/>
      <c r="AO42" s="823"/>
      <c r="AP42" s="823"/>
      <c r="AQ42" s="823"/>
      <c r="AR42" s="824">
        <v>0</v>
      </c>
      <c r="AS42" s="824"/>
      <c r="AT42" s="824"/>
      <c r="AU42" s="824"/>
      <c r="AV42" s="824"/>
      <c r="AW42" s="824"/>
      <c r="AX42" s="824"/>
      <c r="AY42" s="824">
        <v>0</v>
      </c>
      <c r="AZ42" s="824"/>
      <c r="BA42" s="824"/>
      <c r="BB42" s="824"/>
      <c r="BC42" s="824"/>
      <c r="BD42" s="824"/>
      <c r="BE42" s="824"/>
    </row>
    <row r="43" spans="1:57" s="622" customFormat="1" ht="21" customHeight="1" x14ac:dyDescent="0.2">
      <c r="A43" s="836" t="s">
        <v>1477</v>
      </c>
      <c r="B43" s="836"/>
      <c r="C43" s="836"/>
      <c r="D43" s="836"/>
      <c r="E43" s="836"/>
      <c r="F43" s="836"/>
      <c r="G43" s="836"/>
      <c r="H43" s="836"/>
      <c r="I43" s="836"/>
      <c r="J43" s="836"/>
      <c r="K43" s="836"/>
      <c r="L43" s="837" t="s">
        <v>1458</v>
      </c>
      <c r="M43" s="837"/>
      <c r="N43" s="837"/>
      <c r="O43" s="837"/>
      <c r="P43" s="823">
        <v>44270.13</v>
      </c>
      <c r="Q43" s="823"/>
      <c r="R43" s="823"/>
      <c r="S43" s="823"/>
      <c r="T43" s="823"/>
      <c r="U43" s="823"/>
      <c r="V43" s="823"/>
      <c r="W43" s="824">
        <v>0</v>
      </c>
      <c r="X43" s="824"/>
      <c r="Y43" s="824"/>
      <c r="Z43" s="824"/>
      <c r="AA43" s="824"/>
      <c r="AB43" s="824"/>
      <c r="AC43" s="824"/>
      <c r="AD43" s="824">
        <v>0</v>
      </c>
      <c r="AE43" s="824"/>
      <c r="AF43" s="824"/>
      <c r="AG43" s="824"/>
      <c r="AH43" s="824"/>
      <c r="AI43" s="824"/>
      <c r="AJ43" s="824"/>
      <c r="AK43" s="823">
        <v>36907.919999999998</v>
      </c>
      <c r="AL43" s="823"/>
      <c r="AM43" s="823"/>
      <c r="AN43" s="823"/>
      <c r="AO43" s="823"/>
      <c r="AP43" s="823"/>
      <c r="AQ43" s="823"/>
      <c r="AR43" s="824">
        <v>0</v>
      </c>
      <c r="AS43" s="824"/>
      <c r="AT43" s="824"/>
      <c r="AU43" s="824"/>
      <c r="AV43" s="824"/>
      <c r="AW43" s="824"/>
      <c r="AX43" s="824"/>
      <c r="AY43" s="824">
        <v>0</v>
      </c>
      <c r="AZ43" s="824"/>
      <c r="BA43" s="824"/>
      <c r="BB43" s="824"/>
      <c r="BC43" s="824"/>
      <c r="BD43" s="824"/>
      <c r="BE43" s="824"/>
    </row>
    <row r="44" spans="1:57" s="622" customFormat="1" ht="45" customHeight="1" x14ac:dyDescent="0.2">
      <c r="A44" s="836" t="s">
        <v>1478</v>
      </c>
      <c r="B44" s="836"/>
      <c r="C44" s="836"/>
      <c r="D44" s="836"/>
      <c r="E44" s="836"/>
      <c r="F44" s="836"/>
      <c r="G44" s="836"/>
      <c r="H44" s="836"/>
      <c r="I44" s="836"/>
      <c r="J44" s="836"/>
      <c r="K44" s="836"/>
      <c r="L44" s="837" t="s">
        <v>1459</v>
      </c>
      <c r="M44" s="837"/>
      <c r="N44" s="837"/>
      <c r="O44" s="837"/>
      <c r="P44" s="835">
        <v>42.8</v>
      </c>
      <c r="Q44" s="835"/>
      <c r="R44" s="835"/>
      <c r="S44" s="835"/>
      <c r="T44" s="835"/>
      <c r="U44" s="835"/>
      <c r="V44" s="835"/>
      <c r="W44" s="824">
        <v>0</v>
      </c>
      <c r="X44" s="824"/>
      <c r="Y44" s="824"/>
      <c r="Z44" s="824"/>
      <c r="AA44" s="824"/>
      <c r="AB44" s="824"/>
      <c r="AC44" s="824"/>
      <c r="AD44" s="824">
        <v>0</v>
      </c>
      <c r="AE44" s="824"/>
      <c r="AF44" s="824"/>
      <c r="AG44" s="824"/>
      <c r="AH44" s="824"/>
      <c r="AI44" s="824"/>
      <c r="AJ44" s="824"/>
      <c r="AK44" s="824">
        <v>0</v>
      </c>
      <c r="AL44" s="824"/>
      <c r="AM44" s="824"/>
      <c r="AN44" s="824"/>
      <c r="AO44" s="824"/>
      <c r="AP44" s="824"/>
      <c r="AQ44" s="824"/>
      <c r="AR44" s="824">
        <v>0</v>
      </c>
      <c r="AS44" s="824"/>
      <c r="AT44" s="824"/>
      <c r="AU44" s="824"/>
      <c r="AV44" s="824"/>
      <c r="AW44" s="824"/>
      <c r="AX44" s="824"/>
      <c r="AY44" s="824">
        <v>0</v>
      </c>
      <c r="AZ44" s="824"/>
      <c r="BA44" s="824"/>
      <c r="BB44" s="824"/>
      <c r="BC44" s="824"/>
      <c r="BD44" s="824"/>
      <c r="BE44" s="824"/>
    </row>
    <row r="45" spans="1:57" s="622" customFormat="1" ht="21" customHeight="1" x14ac:dyDescent="0.2">
      <c r="A45" s="836" t="s">
        <v>1487</v>
      </c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7" t="s">
        <v>1460</v>
      </c>
      <c r="M45" s="837"/>
      <c r="N45" s="837"/>
      <c r="O45" s="837"/>
      <c r="P45" s="823">
        <v>41660.19</v>
      </c>
      <c r="Q45" s="823"/>
      <c r="R45" s="823"/>
      <c r="S45" s="823"/>
      <c r="T45" s="823"/>
      <c r="U45" s="823"/>
      <c r="V45" s="823"/>
      <c r="W45" s="824">
        <v>0</v>
      </c>
      <c r="X45" s="824"/>
      <c r="Y45" s="824"/>
      <c r="Z45" s="824"/>
      <c r="AA45" s="824"/>
      <c r="AB45" s="824"/>
      <c r="AC45" s="824"/>
      <c r="AD45" s="824">
        <v>0</v>
      </c>
      <c r="AE45" s="824"/>
      <c r="AF45" s="824"/>
      <c r="AG45" s="824"/>
      <c r="AH45" s="824"/>
      <c r="AI45" s="824"/>
      <c r="AJ45" s="824"/>
      <c r="AK45" s="835">
        <v>395</v>
      </c>
      <c r="AL45" s="835"/>
      <c r="AM45" s="835"/>
      <c r="AN45" s="835"/>
      <c r="AO45" s="835"/>
      <c r="AP45" s="835"/>
      <c r="AQ45" s="835"/>
      <c r="AR45" s="824">
        <v>0</v>
      </c>
      <c r="AS45" s="824"/>
      <c r="AT45" s="824"/>
      <c r="AU45" s="824"/>
      <c r="AV45" s="824"/>
      <c r="AW45" s="824"/>
      <c r="AX45" s="824"/>
      <c r="AY45" s="824">
        <v>0</v>
      </c>
      <c r="AZ45" s="824"/>
      <c r="BA45" s="824"/>
      <c r="BB45" s="824"/>
      <c r="BC45" s="824"/>
      <c r="BD45" s="824"/>
      <c r="BE45" s="824"/>
    </row>
    <row r="46" spans="1:57" s="619" customFormat="1" ht="2.1" customHeight="1" x14ac:dyDescent="0.2">
      <c r="A46" s="831"/>
      <c r="B46" s="831"/>
      <c r="C46" s="831"/>
      <c r="D46" s="831"/>
      <c r="E46" s="831"/>
      <c r="F46" s="831"/>
      <c r="G46" s="831"/>
      <c r="H46" s="831"/>
      <c r="I46" s="831"/>
      <c r="J46" s="831"/>
      <c r="K46" s="831"/>
      <c r="L46" s="832"/>
      <c r="M46" s="832"/>
      <c r="N46" s="832"/>
      <c r="O46" s="832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  <c r="AC46" s="621"/>
      <c r="AD46" s="621"/>
      <c r="AE46" s="621"/>
      <c r="AF46" s="621"/>
      <c r="AG46" s="621"/>
      <c r="AH46" s="621"/>
      <c r="AI46" s="621"/>
      <c r="AJ46" s="621"/>
      <c r="AK46" s="621"/>
      <c r="AL46" s="621"/>
      <c r="AM46" s="621"/>
      <c r="AN46" s="621"/>
      <c r="AO46" s="621"/>
      <c r="AP46" s="621"/>
      <c r="AQ46" s="621"/>
      <c r="AR46" s="621"/>
      <c r="AS46" s="621"/>
      <c r="AT46" s="621"/>
      <c r="AU46" s="621"/>
      <c r="AV46" s="621"/>
      <c r="AW46" s="621"/>
      <c r="AX46" s="621"/>
      <c r="AY46" s="621"/>
      <c r="AZ46" s="621"/>
      <c r="BA46" s="621"/>
      <c r="BB46" s="621"/>
      <c r="BC46" s="621"/>
      <c r="BD46" s="621"/>
      <c r="BE46" s="621"/>
    </row>
    <row r="47" spans="1:57" s="619" customFormat="1" ht="3" customHeight="1" x14ac:dyDescent="0.2">
      <c r="A47" s="833"/>
      <c r="B47" s="833"/>
      <c r="C47" s="833"/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  <c r="O47" s="833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1"/>
      <c r="AH47" s="621"/>
      <c r="AI47" s="621"/>
      <c r="AJ47" s="621"/>
      <c r="AK47" s="621"/>
      <c r="AL47" s="621"/>
      <c r="AM47" s="621"/>
      <c r="AN47" s="621"/>
      <c r="AO47" s="621"/>
      <c r="AP47" s="621"/>
      <c r="AQ47" s="621"/>
      <c r="AR47" s="621"/>
      <c r="AS47" s="621"/>
      <c r="AT47" s="621"/>
      <c r="AU47" s="621"/>
      <c r="AV47" s="621"/>
      <c r="AW47" s="621"/>
      <c r="AX47" s="621"/>
      <c r="AY47" s="621"/>
      <c r="AZ47" s="621"/>
      <c r="BA47" s="621"/>
      <c r="BB47" s="621"/>
      <c r="BC47" s="621"/>
      <c r="BD47" s="621"/>
      <c r="BE47" s="621"/>
    </row>
    <row r="48" spans="1:57" s="619" customFormat="1" ht="11.1" customHeight="1" thickBot="1" x14ac:dyDescent="0.25">
      <c r="A48" s="834" t="s">
        <v>1461</v>
      </c>
      <c r="B48" s="834"/>
      <c r="C48" s="834"/>
      <c r="D48" s="834"/>
      <c r="E48" s="834"/>
      <c r="F48" s="834"/>
      <c r="G48" s="834"/>
      <c r="H48" s="834"/>
      <c r="I48" s="834"/>
      <c r="J48" s="834"/>
      <c r="K48" s="834"/>
      <c r="L48" s="834"/>
      <c r="M48" s="834"/>
      <c r="N48" s="834"/>
      <c r="O48" s="834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  <c r="AC48" s="621"/>
      <c r="AD48" s="621"/>
      <c r="AE48" s="621"/>
      <c r="AF48" s="621"/>
      <c r="AG48" s="621"/>
      <c r="AH48" s="621"/>
      <c r="AI48" s="621"/>
      <c r="AJ48" s="621"/>
      <c r="AK48" s="621"/>
      <c r="AL48" s="621"/>
      <c r="AM48" s="621"/>
      <c r="AN48" s="621"/>
      <c r="AO48" s="621"/>
      <c r="AP48" s="621"/>
      <c r="AQ48" s="621"/>
      <c r="AR48" s="621"/>
      <c r="AS48" s="621"/>
      <c r="AT48" s="621"/>
      <c r="AU48" s="621"/>
      <c r="AV48" s="621"/>
      <c r="AW48" s="621"/>
      <c r="AX48" s="621"/>
      <c r="AY48" s="621"/>
      <c r="AZ48" s="621"/>
      <c r="BA48" s="621"/>
      <c r="BB48" s="621"/>
      <c r="BC48" s="621"/>
      <c r="BD48" s="621"/>
      <c r="BE48" s="621"/>
    </row>
    <row r="49" spans="1:71" s="623" customFormat="1" ht="11.1" customHeight="1" thickBot="1" x14ac:dyDescent="0.2">
      <c r="A49" s="829" t="s">
        <v>1462</v>
      </c>
      <c r="B49" s="829"/>
      <c r="C49" s="829"/>
      <c r="D49" s="829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29"/>
      <c r="P49" s="830">
        <v>1322143171.73</v>
      </c>
      <c r="Q49" s="830"/>
      <c r="R49" s="830"/>
      <c r="S49" s="830"/>
      <c r="T49" s="830"/>
      <c r="U49" s="830"/>
      <c r="V49" s="830"/>
      <c r="W49" s="828">
        <v>698944557.62</v>
      </c>
      <c r="X49" s="828"/>
      <c r="Y49" s="828"/>
      <c r="Z49" s="828"/>
      <c r="AA49" s="828"/>
      <c r="AB49" s="828"/>
      <c r="AC49" s="828"/>
      <c r="AD49" s="828">
        <v>6549700.7800000003</v>
      </c>
      <c r="AE49" s="828"/>
      <c r="AF49" s="828"/>
      <c r="AG49" s="828"/>
      <c r="AH49" s="828"/>
      <c r="AI49" s="828"/>
      <c r="AJ49" s="828"/>
      <c r="AK49" s="828">
        <v>983875030.82000005</v>
      </c>
      <c r="AL49" s="828"/>
      <c r="AM49" s="828"/>
      <c r="AN49" s="828"/>
      <c r="AO49" s="828"/>
      <c r="AP49" s="828"/>
      <c r="AQ49" s="828"/>
      <c r="AR49" s="828">
        <v>458313050.87</v>
      </c>
      <c r="AS49" s="828"/>
      <c r="AT49" s="828"/>
      <c r="AU49" s="828"/>
      <c r="AV49" s="828"/>
      <c r="AW49" s="828"/>
      <c r="AX49" s="828"/>
      <c r="AY49" s="828">
        <v>6579697.5599999996</v>
      </c>
      <c r="AZ49" s="828"/>
      <c r="BA49" s="828"/>
      <c r="BB49" s="828"/>
      <c r="BC49" s="828"/>
      <c r="BD49" s="828"/>
      <c r="BE49" s="828"/>
    </row>
    <row r="50" spans="1:71" ht="11.1" customHeight="1" x14ac:dyDescent="0.2">
      <c r="A50" s="825"/>
      <c r="B50" s="825"/>
      <c r="C50" s="825"/>
      <c r="D50" s="825"/>
      <c r="E50" s="825"/>
      <c r="F50" s="825"/>
      <c r="G50" s="825"/>
      <c r="H50" s="825"/>
      <c r="I50" s="825"/>
      <c r="J50" s="825"/>
      <c r="K50" s="825"/>
      <c r="L50" s="825"/>
      <c r="M50" s="825"/>
      <c r="N50" s="825"/>
      <c r="O50" s="825"/>
      <c r="P50" s="825"/>
      <c r="Q50" s="825"/>
      <c r="R50" s="825"/>
      <c r="S50" s="825"/>
      <c r="T50" s="825"/>
      <c r="U50" s="825"/>
      <c r="V50" s="825"/>
      <c r="W50" s="825"/>
      <c r="X50" s="825"/>
      <c r="Y50" s="825"/>
      <c r="Z50" s="825"/>
      <c r="AA50" s="825"/>
      <c r="AB50" s="825"/>
      <c r="AC50" s="825"/>
      <c r="AD50" s="825"/>
      <c r="AE50" s="825"/>
      <c r="AF50" s="825"/>
      <c r="AG50" s="825"/>
      <c r="AH50" s="825"/>
      <c r="AI50" s="825"/>
      <c r="AJ50" s="825"/>
      <c r="AK50" s="825"/>
      <c r="AL50" s="825"/>
      <c r="AM50" s="825"/>
      <c r="AN50" s="825"/>
      <c r="AO50" s="825"/>
      <c r="AP50" s="825"/>
      <c r="AQ50" s="825"/>
      <c r="AR50" s="825"/>
      <c r="AS50" s="825"/>
      <c r="AT50" s="825"/>
      <c r="AU50" s="825"/>
      <c r="AV50" s="825"/>
      <c r="AW50" s="825"/>
      <c r="AX50" s="825"/>
      <c r="AY50" s="825"/>
      <c r="AZ50" s="825"/>
      <c r="BA50" s="825"/>
      <c r="BB50" s="825"/>
      <c r="BC50" s="825"/>
      <c r="BD50" s="825"/>
      <c r="BE50" s="825"/>
      <c r="BG50" s="620"/>
      <c r="BH50" s="620"/>
      <c r="BI50" s="620"/>
      <c r="BJ50" s="620"/>
      <c r="BK50" s="620"/>
      <c r="BL50" s="620"/>
      <c r="BM50" s="620"/>
      <c r="BN50" s="620"/>
      <c r="BO50" s="620"/>
      <c r="BP50" s="620"/>
      <c r="BQ50" s="620"/>
      <c r="BR50" s="620"/>
      <c r="BS50" s="620"/>
    </row>
    <row r="51" spans="1:71" s="619" customFormat="1" ht="11.1" customHeight="1" x14ac:dyDescent="0.2"/>
    <row r="52" spans="1:71" ht="11.45" customHeight="1" x14ac:dyDescent="0.2">
      <c r="BG52" s="620"/>
      <c r="BH52" s="620"/>
      <c r="BI52" s="620"/>
      <c r="BJ52" s="620"/>
      <c r="BK52" s="620"/>
      <c r="BL52" s="620"/>
      <c r="BM52" s="620"/>
      <c r="BN52" s="620"/>
      <c r="BO52" s="620"/>
      <c r="BP52" s="620"/>
      <c r="BQ52" s="620"/>
      <c r="BR52" s="620"/>
      <c r="BS52" s="620"/>
    </row>
    <row r="53" spans="1:71" ht="11.45" customHeight="1" x14ac:dyDescent="0.2">
      <c r="BG53" s="620"/>
      <c r="BH53" s="620"/>
      <c r="BI53" s="620"/>
      <c r="BJ53" s="620"/>
      <c r="BK53" s="620"/>
      <c r="BL53" s="620"/>
      <c r="BM53" s="620"/>
      <c r="BN53" s="620"/>
      <c r="BO53" s="620"/>
      <c r="BP53" s="620"/>
      <c r="BQ53" s="620"/>
      <c r="BR53" s="620"/>
      <c r="BS53" s="620"/>
    </row>
    <row r="54" spans="1:71" ht="11.45" customHeight="1" x14ac:dyDescent="0.2">
      <c r="BG54" s="620"/>
      <c r="BH54" s="620"/>
      <c r="BI54" s="620"/>
      <c r="BJ54" s="620"/>
      <c r="BK54" s="620"/>
      <c r="BL54" s="620"/>
      <c r="BM54" s="620"/>
      <c r="BN54" s="620"/>
      <c r="BO54" s="620"/>
      <c r="BP54" s="620"/>
      <c r="BQ54" s="620"/>
      <c r="BR54" s="620"/>
      <c r="BS54" s="620"/>
    </row>
    <row r="55" spans="1:71" ht="11.45" customHeight="1" x14ac:dyDescent="0.2">
      <c r="BG55" s="620"/>
      <c r="BH55" s="620"/>
      <c r="BI55" s="620"/>
      <c r="BJ55" s="620"/>
      <c r="BK55" s="620"/>
      <c r="BL55" s="620"/>
      <c r="BM55" s="620"/>
      <c r="BN55" s="620"/>
      <c r="BO55" s="620"/>
      <c r="BP55" s="620"/>
      <c r="BQ55" s="620"/>
      <c r="BR55" s="620"/>
      <c r="BS55" s="620"/>
    </row>
    <row r="56" spans="1:71" ht="11.45" customHeight="1" x14ac:dyDescent="0.2">
      <c r="BG56" s="620"/>
      <c r="BH56" s="620"/>
      <c r="BI56" s="620"/>
      <c r="BJ56" s="620"/>
      <c r="BK56" s="620"/>
      <c r="BL56" s="620"/>
      <c r="BM56" s="620"/>
      <c r="BN56" s="620"/>
      <c r="BO56" s="620"/>
      <c r="BP56" s="620"/>
      <c r="BQ56" s="620"/>
      <c r="BR56" s="620"/>
      <c r="BS56" s="620"/>
    </row>
    <row r="57" spans="1:71" ht="11.45" customHeight="1" x14ac:dyDescent="0.2">
      <c r="BG57" s="620"/>
      <c r="BH57" s="620"/>
      <c r="BI57" s="620"/>
      <c r="BJ57" s="620"/>
      <c r="BK57" s="620"/>
      <c r="BL57" s="620"/>
      <c r="BM57" s="620"/>
      <c r="BN57" s="620"/>
      <c r="BO57" s="620"/>
      <c r="BP57" s="620"/>
      <c r="BQ57" s="620"/>
      <c r="BR57" s="620"/>
      <c r="BS57" s="620"/>
    </row>
    <row r="58" spans="1:71" ht="11.45" customHeight="1" x14ac:dyDescent="0.2">
      <c r="BG58" s="620"/>
      <c r="BH58" s="620"/>
      <c r="BI58" s="620"/>
      <c r="BJ58" s="620"/>
      <c r="BK58" s="620"/>
      <c r="BL58" s="620"/>
      <c r="BM58" s="620"/>
      <c r="BN58" s="620"/>
      <c r="BO58" s="620"/>
      <c r="BP58" s="620"/>
      <c r="BQ58" s="620"/>
      <c r="BR58" s="620"/>
      <c r="BS58" s="620"/>
    </row>
    <row r="59" spans="1:71" ht="11.45" customHeight="1" x14ac:dyDescent="0.2">
      <c r="BG59" s="620"/>
      <c r="BH59" s="620"/>
      <c r="BI59" s="620"/>
      <c r="BJ59" s="620"/>
      <c r="BK59" s="620"/>
      <c r="BL59" s="620"/>
      <c r="BM59" s="620"/>
      <c r="BN59" s="620"/>
      <c r="BO59" s="620"/>
      <c r="BP59" s="620"/>
      <c r="BQ59" s="620"/>
      <c r="BR59" s="620"/>
      <c r="BS59" s="620"/>
    </row>
    <row r="60" spans="1:71" ht="11.45" customHeight="1" x14ac:dyDescent="0.2">
      <c r="BG60" s="620"/>
      <c r="BH60" s="620"/>
      <c r="BI60" s="620"/>
      <c r="BJ60" s="620"/>
      <c r="BK60" s="620"/>
      <c r="BL60" s="620"/>
      <c r="BM60" s="620"/>
      <c r="BN60" s="620"/>
      <c r="BO60" s="620"/>
      <c r="BP60" s="620"/>
      <c r="BQ60" s="620"/>
      <c r="BR60" s="620"/>
      <c r="BS60" s="620"/>
    </row>
    <row r="61" spans="1:71" ht="11.45" customHeight="1" x14ac:dyDescent="0.2">
      <c r="BG61" s="620"/>
      <c r="BH61" s="620"/>
      <c r="BI61" s="620"/>
      <c r="BJ61" s="620"/>
      <c r="BK61" s="620"/>
      <c r="BL61" s="620"/>
      <c r="BM61" s="620"/>
      <c r="BN61" s="620"/>
      <c r="BO61" s="620"/>
      <c r="BP61" s="620"/>
      <c r="BQ61" s="620"/>
      <c r="BR61" s="620"/>
      <c r="BS61" s="620"/>
    </row>
    <row r="62" spans="1:71" ht="11.45" customHeight="1" x14ac:dyDescent="0.2">
      <c r="BG62" s="620"/>
      <c r="BH62" s="620"/>
      <c r="BI62" s="620"/>
      <c r="BJ62" s="620"/>
      <c r="BK62" s="620"/>
      <c r="BL62" s="620"/>
      <c r="BM62" s="620"/>
      <c r="BN62" s="620"/>
      <c r="BO62" s="620"/>
      <c r="BP62" s="620"/>
      <c r="BQ62" s="620"/>
      <c r="BR62" s="620"/>
      <c r="BS62" s="620"/>
    </row>
    <row r="63" spans="1:71" ht="11.45" customHeight="1" x14ac:dyDescent="0.2">
      <c r="BG63" s="620"/>
      <c r="BH63" s="620"/>
      <c r="BI63" s="620"/>
      <c r="BJ63" s="620"/>
      <c r="BK63" s="620"/>
      <c r="BL63" s="620"/>
      <c r="BM63" s="620"/>
      <c r="BN63" s="620"/>
      <c r="BO63" s="620"/>
      <c r="BP63" s="620"/>
      <c r="BQ63" s="620"/>
      <c r="BR63" s="620"/>
      <c r="BS63" s="620"/>
    </row>
    <row r="64" spans="1:71" ht="11.45" customHeight="1" x14ac:dyDescent="0.2">
      <c r="BG64" s="620"/>
      <c r="BH64" s="620"/>
      <c r="BI64" s="620"/>
      <c r="BJ64" s="620"/>
      <c r="BK64" s="620"/>
      <c r="BL64" s="620"/>
      <c r="BM64" s="620"/>
      <c r="BN64" s="620"/>
      <c r="BO64" s="620"/>
      <c r="BP64" s="620"/>
      <c r="BQ64" s="620"/>
      <c r="BR64" s="620"/>
      <c r="BS64" s="620"/>
    </row>
    <row r="65" spans="59:71" ht="11.45" customHeight="1" x14ac:dyDescent="0.2">
      <c r="BG65" s="620"/>
      <c r="BH65" s="620"/>
      <c r="BI65" s="620"/>
      <c r="BJ65" s="620"/>
      <c r="BK65" s="620"/>
      <c r="BL65" s="620"/>
      <c r="BM65" s="620"/>
      <c r="BN65" s="620"/>
      <c r="BO65" s="620"/>
      <c r="BP65" s="620"/>
      <c r="BQ65" s="620"/>
      <c r="BR65" s="620"/>
      <c r="BS65" s="620"/>
    </row>
    <row r="66" spans="59:71" ht="11.45" customHeight="1" x14ac:dyDescent="0.2">
      <c r="BG66" s="620"/>
      <c r="BH66" s="620"/>
      <c r="BI66" s="620"/>
      <c r="BJ66" s="620"/>
      <c r="BK66" s="620"/>
      <c r="BL66" s="620"/>
      <c r="BM66" s="620"/>
      <c r="BN66" s="620"/>
      <c r="BO66" s="620"/>
      <c r="BP66" s="620"/>
      <c r="BQ66" s="620"/>
      <c r="BR66" s="620"/>
      <c r="BS66" s="620"/>
    </row>
    <row r="67" spans="59:71" ht="11.45" customHeight="1" x14ac:dyDescent="0.2">
      <c r="BG67" s="620"/>
      <c r="BH67" s="620"/>
      <c r="BI67" s="620"/>
      <c r="BJ67" s="620"/>
      <c r="BK67" s="620"/>
      <c r="BL67" s="620"/>
      <c r="BM67" s="620"/>
      <c r="BN67" s="620"/>
      <c r="BO67" s="620"/>
      <c r="BP67" s="620"/>
      <c r="BQ67" s="620"/>
      <c r="BR67" s="620"/>
      <c r="BS67" s="620"/>
    </row>
    <row r="68" spans="59:71" ht="11.45" customHeight="1" x14ac:dyDescent="0.2">
      <c r="BG68" s="620"/>
      <c r="BH68" s="620"/>
      <c r="BI68" s="620"/>
      <c r="BJ68" s="620"/>
      <c r="BK68" s="620"/>
      <c r="BL68" s="620"/>
      <c r="BM68" s="620"/>
      <c r="BN68" s="620"/>
      <c r="BO68" s="620"/>
      <c r="BP68" s="620"/>
      <c r="BQ68" s="620"/>
      <c r="BR68" s="620"/>
      <c r="BS68" s="620"/>
    </row>
    <row r="69" spans="59:71" ht="11.45" customHeight="1" x14ac:dyDescent="0.2">
      <c r="BG69" s="620"/>
      <c r="BH69" s="620"/>
      <c r="BI69" s="620"/>
      <c r="BJ69" s="620"/>
      <c r="BK69" s="620"/>
      <c r="BL69" s="620"/>
      <c r="BM69" s="620"/>
      <c r="BN69" s="620"/>
      <c r="BO69" s="620"/>
      <c r="BP69" s="620"/>
      <c r="BQ69" s="620"/>
      <c r="BR69" s="620"/>
      <c r="BS69" s="620"/>
    </row>
    <row r="70" spans="59:71" ht="11.45" customHeight="1" x14ac:dyDescent="0.2">
      <c r="BG70" s="620"/>
      <c r="BH70" s="620"/>
      <c r="BI70" s="620"/>
      <c r="BJ70" s="620"/>
      <c r="BK70" s="620"/>
      <c r="BL70" s="620"/>
      <c r="BM70" s="620"/>
      <c r="BN70" s="620"/>
      <c r="BO70" s="620"/>
      <c r="BP70" s="620"/>
      <c r="BQ70" s="620"/>
      <c r="BR70" s="620"/>
      <c r="BS70" s="620"/>
    </row>
    <row r="71" spans="59:71" ht="11.45" customHeight="1" x14ac:dyDescent="0.2">
      <c r="BG71" s="620"/>
      <c r="BH71" s="620"/>
      <c r="BI71" s="620"/>
      <c r="BJ71" s="620"/>
      <c r="BK71" s="620"/>
      <c r="BL71" s="620"/>
      <c r="BM71" s="620"/>
      <c r="BN71" s="620"/>
      <c r="BO71" s="620"/>
      <c r="BP71" s="620"/>
      <c r="BQ71" s="620"/>
      <c r="BR71" s="620"/>
      <c r="BS71" s="620"/>
    </row>
    <row r="72" spans="59:71" ht="11.45" customHeight="1" x14ac:dyDescent="0.2">
      <c r="BG72" s="620"/>
      <c r="BH72" s="620"/>
      <c r="BI72" s="620"/>
      <c r="BJ72" s="620"/>
      <c r="BK72" s="620"/>
      <c r="BL72" s="620"/>
      <c r="BM72" s="620"/>
      <c r="BN72" s="620"/>
      <c r="BO72" s="620"/>
      <c r="BP72" s="620"/>
      <c r="BQ72" s="620"/>
      <c r="BR72" s="620"/>
      <c r="BS72" s="620"/>
    </row>
    <row r="73" spans="59:71" ht="11.45" customHeight="1" x14ac:dyDescent="0.2">
      <c r="BG73" s="620"/>
      <c r="BH73" s="620"/>
      <c r="BI73" s="620"/>
      <c r="BJ73" s="620"/>
      <c r="BK73" s="620"/>
      <c r="BL73" s="620"/>
      <c r="BM73" s="620"/>
      <c r="BN73" s="620"/>
      <c r="BO73" s="620"/>
      <c r="BP73" s="620"/>
      <c r="BQ73" s="620"/>
      <c r="BR73" s="620"/>
      <c r="BS73" s="620"/>
    </row>
    <row r="74" spans="59:71" ht="11.45" customHeight="1" x14ac:dyDescent="0.2">
      <c r="BG74" s="620"/>
      <c r="BH74" s="620"/>
      <c r="BI74" s="620"/>
      <c r="BJ74" s="620"/>
      <c r="BK74" s="620"/>
      <c r="BL74" s="620"/>
      <c r="BM74" s="620"/>
      <c r="BN74" s="620"/>
      <c r="BO74" s="620"/>
      <c r="BP74" s="620"/>
      <c r="BQ74" s="620"/>
      <c r="BR74" s="620"/>
      <c r="BS74" s="620"/>
    </row>
    <row r="75" spans="59:71" ht="11.45" customHeight="1" x14ac:dyDescent="0.2">
      <c r="BG75" s="620"/>
      <c r="BH75" s="620"/>
      <c r="BI75" s="620"/>
      <c r="BJ75" s="620"/>
      <c r="BK75" s="620"/>
      <c r="BL75" s="620"/>
      <c r="BM75" s="620"/>
      <c r="BN75" s="620"/>
      <c r="BO75" s="620"/>
      <c r="BP75" s="620"/>
      <c r="BQ75" s="620"/>
      <c r="BR75" s="620"/>
      <c r="BS75" s="620"/>
    </row>
    <row r="76" spans="59:71" ht="11.45" customHeight="1" x14ac:dyDescent="0.2">
      <c r="BG76" s="620"/>
      <c r="BH76" s="620"/>
      <c r="BI76" s="620"/>
      <c r="BJ76" s="620"/>
      <c r="BK76" s="620"/>
      <c r="BL76" s="620"/>
      <c r="BM76" s="620"/>
      <c r="BN76" s="620"/>
      <c r="BO76" s="620"/>
      <c r="BP76" s="620"/>
      <c r="BQ76" s="620"/>
      <c r="BR76" s="620"/>
      <c r="BS76" s="620"/>
    </row>
    <row r="77" spans="59:71" ht="11.45" customHeight="1" x14ac:dyDescent="0.2">
      <c r="BG77" s="620"/>
      <c r="BH77" s="620"/>
      <c r="BI77" s="620"/>
      <c r="BJ77" s="620"/>
      <c r="BK77" s="620"/>
      <c r="BL77" s="620"/>
      <c r="BM77" s="620"/>
      <c r="BN77" s="620"/>
      <c r="BO77" s="620"/>
      <c r="BP77" s="620"/>
      <c r="BQ77" s="620"/>
      <c r="BR77" s="620"/>
      <c r="BS77" s="620"/>
    </row>
    <row r="78" spans="59:71" ht="11.45" customHeight="1" x14ac:dyDescent="0.2">
      <c r="BG78" s="620"/>
      <c r="BH78" s="620"/>
      <c r="BI78" s="620"/>
      <c r="BJ78" s="620"/>
      <c r="BK78" s="620"/>
      <c r="BL78" s="620"/>
      <c r="BM78" s="620"/>
      <c r="BN78" s="620"/>
      <c r="BO78" s="620"/>
      <c r="BP78" s="620"/>
      <c r="BQ78" s="620"/>
      <c r="BR78" s="620"/>
      <c r="BS78" s="620"/>
    </row>
    <row r="79" spans="59:71" ht="11.45" customHeight="1" x14ac:dyDescent="0.2">
      <c r="BG79" s="620"/>
      <c r="BH79" s="620"/>
      <c r="BI79" s="620"/>
      <c r="BJ79" s="620"/>
      <c r="BK79" s="620"/>
      <c r="BL79" s="620"/>
      <c r="BM79" s="620"/>
      <c r="BN79" s="620"/>
      <c r="BO79" s="620"/>
      <c r="BP79" s="620"/>
      <c r="BQ79" s="620"/>
      <c r="BR79" s="620"/>
      <c r="BS79" s="620"/>
    </row>
    <row r="80" spans="59:71" ht="11.45" customHeight="1" x14ac:dyDescent="0.2">
      <c r="BG80" s="620"/>
      <c r="BH80" s="620"/>
      <c r="BI80" s="620"/>
      <c r="BJ80" s="620"/>
      <c r="BK80" s="620"/>
      <c r="BL80" s="620"/>
      <c r="BM80" s="620"/>
      <c r="BN80" s="620"/>
      <c r="BO80" s="620"/>
      <c r="BP80" s="620"/>
      <c r="BQ80" s="620"/>
      <c r="BR80" s="620"/>
      <c r="BS80" s="620"/>
    </row>
    <row r="81" spans="59:71" ht="11.45" customHeight="1" x14ac:dyDescent="0.2">
      <c r="BG81" s="620"/>
      <c r="BH81" s="620"/>
      <c r="BI81" s="620"/>
      <c r="BJ81" s="620"/>
      <c r="BK81" s="620"/>
      <c r="BL81" s="620"/>
      <c r="BM81" s="620"/>
      <c r="BN81" s="620"/>
      <c r="BO81" s="620"/>
      <c r="BP81" s="620"/>
      <c r="BQ81" s="620"/>
      <c r="BR81" s="620"/>
      <c r="BS81" s="620"/>
    </row>
    <row r="82" spans="59:71" ht="11.45" customHeight="1" x14ac:dyDescent="0.2">
      <c r="BG82" s="620"/>
      <c r="BH82" s="620"/>
      <c r="BI82" s="620"/>
      <c r="BJ82" s="620"/>
      <c r="BK82" s="620"/>
      <c r="BL82" s="620"/>
      <c r="BM82" s="620"/>
      <c r="BN82" s="620"/>
      <c r="BO82" s="620"/>
      <c r="BP82" s="620"/>
      <c r="BQ82" s="620"/>
      <c r="BR82" s="620"/>
      <c r="BS82" s="620"/>
    </row>
    <row r="83" spans="59:71" ht="11.45" customHeight="1" x14ac:dyDescent="0.2">
      <c r="BG83" s="620"/>
      <c r="BH83" s="620"/>
      <c r="BI83" s="620"/>
      <c r="BJ83" s="620"/>
      <c r="BK83" s="620"/>
      <c r="BL83" s="620"/>
      <c r="BM83" s="620"/>
      <c r="BN83" s="620"/>
      <c r="BO83" s="620"/>
      <c r="BP83" s="620"/>
      <c r="BQ83" s="620"/>
      <c r="BR83" s="620"/>
      <c r="BS83" s="620"/>
    </row>
    <row r="84" spans="59:71" ht="11.45" customHeight="1" x14ac:dyDescent="0.2">
      <c r="BG84" s="620"/>
      <c r="BH84" s="620"/>
      <c r="BI84" s="620"/>
      <c r="BJ84" s="620"/>
      <c r="BK84" s="620"/>
      <c r="BL84" s="620"/>
      <c r="BM84" s="620"/>
      <c r="BN84" s="620"/>
      <c r="BO84" s="620"/>
      <c r="BP84" s="620"/>
      <c r="BQ84" s="620"/>
      <c r="BR84" s="620"/>
      <c r="BS84" s="620"/>
    </row>
    <row r="85" spans="59:71" ht="11.45" customHeight="1" x14ac:dyDescent="0.2">
      <c r="BG85" s="620"/>
      <c r="BH85" s="620"/>
      <c r="BI85" s="620"/>
      <c r="BJ85" s="620"/>
      <c r="BK85" s="620"/>
      <c r="BL85" s="620"/>
      <c r="BM85" s="620"/>
      <c r="BN85" s="620"/>
      <c r="BO85" s="620"/>
      <c r="BP85" s="620"/>
      <c r="BQ85" s="620"/>
      <c r="BR85" s="620"/>
      <c r="BS85" s="620"/>
    </row>
    <row r="86" spans="59:71" ht="11.45" customHeight="1" x14ac:dyDescent="0.2">
      <c r="BG86" s="620"/>
      <c r="BH86" s="620"/>
      <c r="BI86" s="620"/>
      <c r="BJ86" s="620"/>
      <c r="BK86" s="620"/>
      <c r="BL86" s="620"/>
      <c r="BM86" s="620"/>
      <c r="BN86" s="620"/>
      <c r="BO86" s="620"/>
      <c r="BP86" s="620"/>
      <c r="BQ86" s="620"/>
      <c r="BR86" s="620"/>
      <c r="BS86" s="620"/>
    </row>
    <row r="87" spans="59:71" ht="11.45" customHeight="1" x14ac:dyDescent="0.2">
      <c r="BG87" s="620"/>
      <c r="BH87" s="620"/>
      <c r="BI87" s="620"/>
      <c r="BJ87" s="620"/>
      <c r="BK87" s="620"/>
      <c r="BL87" s="620"/>
      <c r="BM87" s="620"/>
      <c r="BN87" s="620"/>
      <c r="BO87" s="620"/>
      <c r="BP87" s="620"/>
      <c r="BQ87" s="620"/>
      <c r="BR87" s="620"/>
      <c r="BS87" s="620"/>
    </row>
    <row r="88" spans="59:71" ht="11.45" customHeight="1" x14ac:dyDescent="0.2">
      <c r="BG88" s="620"/>
      <c r="BH88" s="620"/>
      <c r="BI88" s="620"/>
      <c r="BJ88" s="620"/>
      <c r="BK88" s="620"/>
      <c r="BL88" s="620"/>
      <c r="BM88" s="620"/>
      <c r="BN88" s="620"/>
      <c r="BO88" s="620"/>
      <c r="BP88" s="620"/>
      <c r="BQ88" s="620"/>
      <c r="BR88" s="620"/>
      <c r="BS88" s="620"/>
    </row>
    <row r="89" spans="59:71" ht="11.45" customHeight="1" x14ac:dyDescent="0.2">
      <c r="BG89" s="620"/>
      <c r="BH89" s="620"/>
      <c r="BI89" s="620"/>
      <c r="BJ89" s="620"/>
      <c r="BK89" s="620"/>
      <c r="BL89" s="620"/>
      <c r="BM89" s="620"/>
      <c r="BN89" s="620"/>
      <c r="BO89" s="620"/>
      <c r="BP89" s="620"/>
      <c r="BQ89" s="620"/>
      <c r="BR89" s="620"/>
      <c r="BS89" s="620"/>
    </row>
    <row r="90" spans="59:71" ht="11.45" customHeight="1" x14ac:dyDescent="0.2">
      <c r="BG90" s="620"/>
      <c r="BH90" s="620"/>
      <c r="BI90" s="620"/>
      <c r="BJ90" s="620"/>
      <c r="BK90" s="620"/>
      <c r="BL90" s="620"/>
      <c r="BM90" s="620"/>
      <c r="BN90" s="620"/>
      <c r="BO90" s="620"/>
      <c r="BP90" s="620"/>
      <c r="BQ90" s="620"/>
      <c r="BR90" s="620"/>
      <c r="BS90" s="620"/>
    </row>
    <row r="91" spans="59:71" ht="11.45" customHeight="1" x14ac:dyDescent="0.2">
      <c r="BG91" s="620"/>
      <c r="BH91" s="620"/>
      <c r="BI91" s="620"/>
      <c r="BJ91" s="620"/>
      <c r="BK91" s="620"/>
      <c r="BL91" s="620"/>
      <c r="BM91" s="620"/>
      <c r="BN91" s="620"/>
      <c r="BO91" s="620"/>
      <c r="BP91" s="620"/>
      <c r="BQ91" s="620"/>
      <c r="BR91" s="620"/>
      <c r="BS91" s="620"/>
    </row>
    <row r="92" spans="59:71" ht="11.45" customHeight="1" x14ac:dyDescent="0.2">
      <c r="BG92" s="620"/>
      <c r="BH92" s="620"/>
      <c r="BI92" s="620"/>
      <c r="BJ92" s="620"/>
      <c r="BK92" s="620"/>
      <c r="BL92" s="620"/>
      <c r="BM92" s="620"/>
      <c r="BN92" s="620"/>
      <c r="BO92" s="620"/>
      <c r="BP92" s="620"/>
      <c r="BQ92" s="620"/>
      <c r="BR92" s="620"/>
      <c r="BS92" s="620"/>
    </row>
    <row r="93" spans="59:71" ht="11.45" customHeight="1" x14ac:dyDescent="0.2">
      <c r="BG93" s="620"/>
      <c r="BH93" s="620"/>
      <c r="BI93" s="620"/>
      <c r="BJ93" s="620"/>
      <c r="BK93" s="620"/>
      <c r="BL93" s="620"/>
      <c r="BM93" s="620"/>
      <c r="BN93" s="620"/>
      <c r="BO93" s="620"/>
      <c r="BP93" s="620"/>
      <c r="BQ93" s="620"/>
      <c r="BR93" s="620"/>
      <c r="BS93" s="620"/>
    </row>
    <row r="94" spans="59:71" ht="11.45" customHeight="1" x14ac:dyDescent="0.2">
      <c r="BG94" s="620"/>
      <c r="BH94" s="620"/>
      <c r="BI94" s="620"/>
      <c r="BJ94" s="620"/>
      <c r="BK94" s="620"/>
      <c r="BL94" s="620"/>
      <c r="BM94" s="620"/>
      <c r="BN94" s="620"/>
      <c r="BO94" s="620"/>
      <c r="BP94" s="620"/>
      <c r="BQ94" s="620"/>
      <c r="BR94" s="620"/>
      <c r="BS94" s="620"/>
    </row>
    <row r="95" spans="59:71" ht="11.45" customHeight="1" x14ac:dyDescent="0.2">
      <c r="BG95" s="620"/>
      <c r="BH95" s="620"/>
      <c r="BI95" s="620"/>
      <c r="BJ95" s="620"/>
      <c r="BK95" s="620"/>
      <c r="BL95" s="620"/>
      <c r="BM95" s="620"/>
      <c r="BN95" s="620"/>
      <c r="BO95" s="620"/>
      <c r="BP95" s="620"/>
      <c r="BQ95" s="620"/>
      <c r="BR95" s="620"/>
      <c r="BS95" s="620"/>
    </row>
    <row r="96" spans="59:71" ht="11.45" customHeight="1" x14ac:dyDescent="0.2">
      <c r="BG96" s="620"/>
      <c r="BH96" s="620"/>
      <c r="BI96" s="620"/>
      <c r="BJ96" s="620"/>
      <c r="BK96" s="620"/>
      <c r="BL96" s="620"/>
      <c r="BM96" s="620"/>
      <c r="BN96" s="620"/>
      <c r="BO96" s="620"/>
      <c r="BP96" s="620"/>
      <c r="BQ96" s="620"/>
      <c r="BR96" s="620"/>
      <c r="BS96" s="620"/>
    </row>
    <row r="97" spans="59:71" ht="11.45" customHeight="1" x14ac:dyDescent="0.2">
      <c r="BG97" s="620"/>
      <c r="BH97" s="620"/>
      <c r="BI97" s="620"/>
      <c r="BJ97" s="620"/>
      <c r="BK97" s="620"/>
      <c r="BL97" s="620"/>
      <c r="BM97" s="620"/>
      <c r="BN97" s="620"/>
      <c r="BO97" s="620"/>
      <c r="BP97" s="620"/>
      <c r="BQ97" s="620"/>
      <c r="BR97" s="620"/>
      <c r="BS97" s="620"/>
    </row>
    <row r="98" spans="59:71" ht="11.45" customHeight="1" x14ac:dyDescent="0.2">
      <c r="BG98" s="620"/>
      <c r="BH98" s="620"/>
      <c r="BI98" s="620"/>
      <c r="BJ98" s="620"/>
      <c r="BK98" s="620"/>
      <c r="BL98" s="620"/>
      <c r="BM98" s="620"/>
      <c r="BN98" s="620"/>
      <c r="BO98" s="620"/>
      <c r="BP98" s="620"/>
      <c r="BQ98" s="620"/>
      <c r="BR98" s="620"/>
      <c r="BS98" s="620"/>
    </row>
    <row r="99" spans="59:71" ht="11.45" customHeight="1" x14ac:dyDescent="0.2">
      <c r="BG99" s="620"/>
      <c r="BH99" s="620"/>
      <c r="BI99" s="620"/>
      <c r="BJ99" s="620"/>
      <c r="BK99" s="620"/>
      <c r="BL99" s="620"/>
      <c r="BM99" s="620"/>
      <c r="BN99" s="620"/>
      <c r="BO99" s="620"/>
      <c r="BP99" s="620"/>
      <c r="BQ99" s="620"/>
      <c r="BR99" s="620"/>
      <c r="BS99" s="620"/>
    </row>
    <row r="100" spans="59:71" ht="11.45" customHeight="1" x14ac:dyDescent="0.2">
      <c r="BG100" s="620"/>
      <c r="BH100" s="620"/>
      <c r="BI100" s="620"/>
      <c r="BJ100" s="620"/>
      <c r="BK100" s="620"/>
      <c r="BL100" s="620"/>
      <c r="BM100" s="620"/>
      <c r="BN100" s="620"/>
      <c r="BO100" s="620"/>
      <c r="BP100" s="620"/>
      <c r="BQ100" s="620"/>
      <c r="BR100" s="620"/>
      <c r="BS100" s="620"/>
    </row>
    <row r="101" spans="59:71" ht="11.45" customHeight="1" x14ac:dyDescent="0.2">
      <c r="BG101" s="620"/>
      <c r="BH101" s="620"/>
      <c r="BI101" s="620"/>
      <c r="BJ101" s="620"/>
      <c r="BK101" s="620"/>
      <c r="BL101" s="620"/>
      <c r="BM101" s="620"/>
      <c r="BN101" s="620"/>
      <c r="BO101" s="620"/>
      <c r="BP101" s="620"/>
      <c r="BQ101" s="620"/>
      <c r="BR101" s="620"/>
      <c r="BS101" s="620"/>
    </row>
    <row r="102" spans="59:71" ht="11.45" customHeight="1" x14ac:dyDescent="0.2">
      <c r="BG102" s="620"/>
      <c r="BH102" s="620"/>
      <c r="BI102" s="620"/>
      <c r="BJ102" s="620"/>
      <c r="BK102" s="620"/>
      <c r="BL102" s="620"/>
      <c r="BM102" s="620"/>
      <c r="BN102" s="620"/>
      <c r="BO102" s="620"/>
      <c r="BP102" s="620"/>
      <c r="BQ102" s="620"/>
      <c r="BR102" s="620"/>
      <c r="BS102" s="620"/>
    </row>
    <row r="103" spans="59:71" ht="11.45" customHeight="1" x14ac:dyDescent="0.2">
      <c r="BG103" s="620"/>
      <c r="BH103" s="620"/>
      <c r="BI103" s="620"/>
      <c r="BJ103" s="620"/>
      <c r="BK103" s="620"/>
      <c r="BL103" s="620"/>
      <c r="BM103" s="620"/>
      <c r="BN103" s="620"/>
      <c r="BO103" s="620"/>
      <c r="BP103" s="620"/>
      <c r="BQ103" s="620"/>
      <c r="BR103" s="620"/>
      <c r="BS103" s="620"/>
    </row>
    <row r="104" spans="59:71" ht="11.45" customHeight="1" x14ac:dyDescent="0.2">
      <c r="BG104" s="620"/>
      <c r="BH104" s="620"/>
      <c r="BI104" s="620"/>
      <c r="BJ104" s="620"/>
      <c r="BK104" s="620"/>
      <c r="BL104" s="620"/>
      <c r="BM104" s="620"/>
      <c r="BN104" s="620"/>
      <c r="BO104" s="620"/>
      <c r="BP104" s="620"/>
      <c r="BQ104" s="620"/>
      <c r="BR104" s="620"/>
      <c r="BS104" s="620"/>
    </row>
    <row r="105" spans="59:71" ht="11.45" customHeight="1" x14ac:dyDescent="0.2">
      <c r="BG105" s="620"/>
      <c r="BH105" s="620"/>
      <c r="BI105" s="620"/>
      <c r="BJ105" s="620"/>
      <c r="BK105" s="620"/>
      <c r="BL105" s="620"/>
      <c r="BM105" s="620"/>
      <c r="BN105" s="620"/>
      <c r="BO105" s="620"/>
      <c r="BP105" s="620"/>
      <c r="BQ105" s="620"/>
      <c r="BR105" s="620"/>
      <c r="BS105" s="620"/>
    </row>
    <row r="106" spans="59:71" ht="11.45" customHeight="1" x14ac:dyDescent="0.2">
      <c r="BG106" s="620"/>
      <c r="BH106" s="620"/>
      <c r="BI106" s="620"/>
      <c r="BJ106" s="620"/>
      <c r="BK106" s="620"/>
      <c r="BL106" s="620"/>
      <c r="BM106" s="620"/>
      <c r="BN106" s="620"/>
      <c r="BO106" s="620"/>
      <c r="BP106" s="620"/>
      <c r="BQ106" s="620"/>
      <c r="BR106" s="620"/>
      <c r="BS106" s="620"/>
    </row>
    <row r="107" spans="59:71" ht="11.45" customHeight="1" x14ac:dyDescent="0.2">
      <c r="BG107" s="620"/>
      <c r="BH107" s="620"/>
      <c r="BI107" s="620"/>
      <c r="BJ107" s="620"/>
      <c r="BK107" s="620"/>
      <c r="BL107" s="620"/>
      <c r="BM107" s="620"/>
      <c r="BN107" s="620"/>
      <c r="BO107" s="620"/>
      <c r="BP107" s="620"/>
      <c r="BQ107" s="620"/>
      <c r="BR107" s="620"/>
      <c r="BS107" s="620"/>
    </row>
    <row r="108" spans="59:71" ht="11.45" customHeight="1" x14ac:dyDescent="0.2">
      <c r="BG108" s="620"/>
      <c r="BH108" s="620"/>
      <c r="BI108" s="620"/>
      <c r="BJ108" s="620"/>
      <c r="BK108" s="620"/>
      <c r="BL108" s="620"/>
      <c r="BM108" s="620"/>
      <c r="BN108" s="620"/>
      <c r="BO108" s="620"/>
      <c r="BP108" s="620"/>
      <c r="BQ108" s="620"/>
      <c r="BR108" s="620"/>
      <c r="BS108" s="620"/>
    </row>
    <row r="109" spans="59:71" ht="11.45" customHeight="1" x14ac:dyDescent="0.2">
      <c r="BG109" s="620"/>
      <c r="BH109" s="620"/>
      <c r="BI109" s="620"/>
      <c r="BJ109" s="620"/>
      <c r="BK109" s="620"/>
      <c r="BL109" s="620"/>
      <c r="BM109" s="620"/>
      <c r="BN109" s="620"/>
      <c r="BO109" s="620"/>
      <c r="BP109" s="620"/>
      <c r="BQ109" s="620"/>
      <c r="BR109" s="620"/>
      <c r="BS109" s="620"/>
    </row>
    <row r="110" spans="59:71" ht="11.45" customHeight="1" x14ac:dyDescent="0.2">
      <c r="BG110" s="620"/>
      <c r="BH110" s="620"/>
      <c r="BI110" s="620"/>
      <c r="BJ110" s="620"/>
      <c r="BK110" s="620"/>
      <c r="BL110" s="620"/>
      <c r="BM110" s="620"/>
      <c r="BN110" s="620"/>
      <c r="BO110" s="620"/>
      <c r="BP110" s="620"/>
      <c r="BQ110" s="620"/>
      <c r="BR110" s="620"/>
      <c r="BS110" s="620"/>
    </row>
    <row r="111" spans="59:71" ht="11.45" customHeight="1" x14ac:dyDescent="0.2">
      <c r="BG111" s="620"/>
      <c r="BH111" s="620"/>
      <c r="BI111" s="620"/>
      <c r="BJ111" s="620"/>
      <c r="BK111" s="620"/>
      <c r="BL111" s="620"/>
      <c r="BM111" s="620"/>
      <c r="BN111" s="620"/>
      <c r="BO111" s="620"/>
      <c r="BP111" s="620"/>
      <c r="BQ111" s="620"/>
      <c r="BR111" s="620"/>
      <c r="BS111" s="620"/>
    </row>
    <row r="112" spans="59:71" ht="11.45" customHeight="1" x14ac:dyDescent="0.2">
      <c r="BG112" s="620"/>
      <c r="BH112" s="620"/>
      <c r="BI112" s="620"/>
      <c r="BJ112" s="620"/>
      <c r="BK112" s="620"/>
      <c r="BL112" s="620"/>
      <c r="BM112" s="620"/>
      <c r="BN112" s="620"/>
      <c r="BO112" s="620"/>
      <c r="BP112" s="620"/>
      <c r="BQ112" s="620"/>
      <c r="BR112" s="620"/>
      <c r="BS112" s="620"/>
    </row>
    <row r="113" spans="59:71" ht="11.45" customHeight="1" x14ac:dyDescent="0.2">
      <c r="BG113" s="620"/>
      <c r="BH113" s="620"/>
      <c r="BI113" s="620"/>
      <c r="BJ113" s="620"/>
      <c r="BK113" s="620"/>
      <c r="BL113" s="620"/>
      <c r="BM113" s="620"/>
      <c r="BN113" s="620"/>
      <c r="BO113" s="620"/>
      <c r="BP113" s="620"/>
      <c r="BQ113" s="620"/>
      <c r="BR113" s="620"/>
      <c r="BS113" s="620"/>
    </row>
    <row r="114" spans="59:71" ht="11.45" customHeight="1" x14ac:dyDescent="0.2">
      <c r="BG114" s="620"/>
      <c r="BH114" s="620"/>
      <c r="BI114" s="620"/>
      <c r="BJ114" s="620"/>
      <c r="BK114" s="620"/>
      <c r="BL114" s="620"/>
      <c r="BM114" s="620"/>
      <c r="BN114" s="620"/>
      <c r="BO114" s="620"/>
      <c r="BP114" s="620"/>
      <c r="BQ114" s="620"/>
      <c r="BR114" s="620"/>
      <c r="BS114" s="620"/>
    </row>
    <row r="115" spans="59:71" ht="11.45" customHeight="1" x14ac:dyDescent="0.2">
      <c r="BG115" s="620"/>
      <c r="BH115" s="620"/>
      <c r="BI115" s="620"/>
      <c r="BJ115" s="620"/>
      <c r="BK115" s="620"/>
      <c r="BL115" s="620"/>
      <c r="BM115" s="620"/>
      <c r="BN115" s="620"/>
      <c r="BO115" s="620"/>
      <c r="BP115" s="620"/>
      <c r="BQ115" s="620"/>
      <c r="BR115" s="620"/>
      <c r="BS115" s="620"/>
    </row>
    <row r="116" spans="59:71" ht="11.45" customHeight="1" x14ac:dyDescent="0.2">
      <c r="BG116" s="620"/>
      <c r="BH116" s="620"/>
      <c r="BI116" s="620"/>
      <c r="BJ116" s="620"/>
      <c r="BK116" s="620"/>
      <c r="BL116" s="620"/>
      <c r="BM116" s="620"/>
      <c r="BN116" s="620"/>
      <c r="BO116" s="620"/>
      <c r="BP116" s="620"/>
      <c r="BQ116" s="620"/>
      <c r="BR116" s="620"/>
      <c r="BS116" s="620"/>
    </row>
    <row r="117" spans="59:71" ht="11.45" customHeight="1" x14ac:dyDescent="0.2">
      <c r="BG117" s="620"/>
      <c r="BH117" s="620"/>
      <c r="BI117" s="620"/>
      <c r="BJ117" s="620"/>
      <c r="BK117" s="620"/>
      <c r="BL117" s="620"/>
      <c r="BM117" s="620"/>
      <c r="BN117" s="620"/>
      <c r="BO117" s="620"/>
      <c r="BP117" s="620"/>
      <c r="BQ117" s="620"/>
      <c r="BR117" s="620"/>
      <c r="BS117" s="620"/>
    </row>
    <row r="118" spans="59:71" ht="11.45" customHeight="1" x14ac:dyDescent="0.2">
      <c r="BG118" s="620"/>
      <c r="BH118" s="620"/>
      <c r="BI118" s="620"/>
      <c r="BJ118" s="620"/>
      <c r="BK118" s="620"/>
      <c r="BL118" s="620"/>
      <c r="BM118" s="620"/>
      <c r="BN118" s="620"/>
      <c r="BO118" s="620"/>
      <c r="BP118" s="620"/>
      <c r="BQ118" s="620"/>
      <c r="BR118" s="620"/>
      <c r="BS118" s="620"/>
    </row>
    <row r="119" spans="59:71" ht="11.45" customHeight="1" x14ac:dyDescent="0.2">
      <c r="BG119" s="620"/>
      <c r="BH119" s="620"/>
      <c r="BI119" s="620"/>
      <c r="BJ119" s="620"/>
      <c r="BK119" s="620"/>
      <c r="BL119" s="620"/>
      <c r="BM119" s="620"/>
      <c r="BN119" s="620"/>
      <c r="BO119" s="620"/>
      <c r="BP119" s="620"/>
      <c r="BQ119" s="620"/>
      <c r="BR119" s="620"/>
      <c r="BS119" s="620"/>
    </row>
    <row r="120" spans="59:71" ht="11.45" customHeight="1" x14ac:dyDescent="0.2">
      <c r="BG120" s="620"/>
      <c r="BH120" s="620"/>
      <c r="BI120" s="620"/>
      <c r="BJ120" s="620"/>
      <c r="BK120" s="620"/>
      <c r="BL120" s="620"/>
      <c r="BM120" s="620"/>
      <c r="BN120" s="620"/>
      <c r="BO120" s="620"/>
      <c r="BP120" s="620"/>
      <c r="BQ120" s="620"/>
      <c r="BR120" s="620"/>
      <c r="BS120" s="620"/>
    </row>
    <row r="121" spans="59:71" ht="11.45" customHeight="1" x14ac:dyDescent="0.2">
      <c r="BG121" s="620"/>
      <c r="BH121" s="620"/>
      <c r="BI121" s="620"/>
      <c r="BJ121" s="620"/>
      <c r="BK121" s="620"/>
      <c r="BL121" s="620"/>
      <c r="BM121" s="620"/>
      <c r="BN121" s="620"/>
      <c r="BO121" s="620"/>
      <c r="BP121" s="620"/>
      <c r="BQ121" s="620"/>
      <c r="BR121" s="620"/>
      <c r="BS121" s="620"/>
    </row>
    <row r="122" spans="59:71" ht="11.45" customHeight="1" x14ac:dyDescent="0.2">
      <c r="BG122" s="620"/>
      <c r="BH122" s="620"/>
      <c r="BI122" s="620"/>
      <c r="BJ122" s="620"/>
      <c r="BK122" s="620"/>
      <c r="BL122" s="620"/>
      <c r="BM122" s="620"/>
      <c r="BN122" s="620"/>
      <c r="BO122" s="620"/>
      <c r="BP122" s="620"/>
      <c r="BQ122" s="620"/>
      <c r="BR122" s="620"/>
      <c r="BS122" s="620"/>
    </row>
    <row r="123" spans="59:71" ht="11.45" customHeight="1" x14ac:dyDescent="0.2">
      <c r="BG123" s="620"/>
      <c r="BH123" s="620"/>
      <c r="BI123" s="620"/>
      <c r="BJ123" s="620"/>
      <c r="BK123" s="620"/>
      <c r="BL123" s="620"/>
      <c r="BM123" s="620"/>
      <c r="BN123" s="620"/>
      <c r="BO123" s="620"/>
      <c r="BP123" s="620"/>
      <c r="BQ123" s="620"/>
      <c r="BR123" s="620"/>
      <c r="BS123" s="620"/>
    </row>
    <row r="124" spans="59:71" ht="11.45" customHeight="1" x14ac:dyDescent="0.2">
      <c r="BG124" s="620"/>
      <c r="BH124" s="620"/>
      <c r="BI124" s="620"/>
      <c r="BJ124" s="620"/>
      <c r="BK124" s="620"/>
      <c r="BL124" s="620"/>
      <c r="BM124" s="620"/>
      <c r="BN124" s="620"/>
      <c r="BO124" s="620"/>
      <c r="BP124" s="620"/>
      <c r="BQ124" s="620"/>
      <c r="BR124" s="620"/>
      <c r="BS124" s="620"/>
    </row>
    <row r="125" spans="59:71" ht="11.45" customHeight="1" x14ac:dyDescent="0.2">
      <c r="BG125" s="620"/>
      <c r="BH125" s="620"/>
      <c r="BI125" s="620"/>
      <c r="BJ125" s="620"/>
      <c r="BK125" s="620"/>
      <c r="BL125" s="620"/>
      <c r="BM125" s="620"/>
      <c r="BN125" s="620"/>
      <c r="BO125" s="620"/>
      <c r="BP125" s="620"/>
      <c r="BQ125" s="620"/>
      <c r="BR125" s="620"/>
      <c r="BS125" s="620"/>
    </row>
    <row r="126" spans="59:71" ht="11.45" customHeight="1" x14ac:dyDescent="0.2">
      <c r="BG126" s="620"/>
      <c r="BH126" s="620"/>
      <c r="BI126" s="620"/>
      <c r="BJ126" s="620"/>
      <c r="BK126" s="620"/>
      <c r="BL126" s="620"/>
      <c r="BM126" s="620"/>
      <c r="BN126" s="620"/>
      <c r="BO126" s="620"/>
      <c r="BP126" s="620"/>
      <c r="BQ126" s="620"/>
      <c r="BR126" s="620"/>
      <c r="BS126" s="620"/>
    </row>
    <row r="127" spans="59:71" ht="11.45" customHeight="1" x14ac:dyDescent="0.2">
      <c r="BG127" s="620"/>
      <c r="BH127" s="620"/>
      <c r="BI127" s="620"/>
      <c r="BJ127" s="620"/>
      <c r="BK127" s="620"/>
      <c r="BL127" s="620"/>
      <c r="BM127" s="620"/>
      <c r="BN127" s="620"/>
      <c r="BO127" s="620"/>
      <c r="BP127" s="620"/>
      <c r="BQ127" s="620"/>
      <c r="BR127" s="620"/>
      <c r="BS127" s="620"/>
    </row>
    <row r="128" spans="59:71" ht="11.45" customHeight="1" x14ac:dyDescent="0.2">
      <c r="BG128" s="620"/>
      <c r="BH128" s="620"/>
      <c r="BI128" s="620"/>
      <c r="BJ128" s="620"/>
      <c r="BK128" s="620"/>
      <c r="BL128" s="620"/>
      <c r="BM128" s="620"/>
      <c r="BN128" s="620"/>
      <c r="BO128" s="620"/>
      <c r="BP128" s="620"/>
      <c r="BQ128" s="620"/>
      <c r="BR128" s="620"/>
      <c r="BS128" s="620"/>
    </row>
    <row r="129" spans="59:71" ht="11.45" customHeight="1" x14ac:dyDescent="0.2">
      <c r="BG129" s="620"/>
      <c r="BH129" s="620"/>
      <c r="BI129" s="620"/>
      <c r="BJ129" s="620"/>
      <c r="BK129" s="620"/>
      <c r="BL129" s="620"/>
      <c r="BM129" s="620"/>
      <c r="BN129" s="620"/>
      <c r="BO129" s="620"/>
      <c r="BP129" s="620"/>
      <c r="BQ129" s="620"/>
      <c r="BR129" s="620"/>
      <c r="BS129" s="620"/>
    </row>
    <row r="130" spans="59:71" ht="11.45" customHeight="1" x14ac:dyDescent="0.2">
      <c r="BG130" s="620"/>
      <c r="BH130" s="620"/>
      <c r="BI130" s="620"/>
      <c r="BJ130" s="620"/>
      <c r="BK130" s="620"/>
      <c r="BL130" s="620"/>
      <c r="BM130" s="620"/>
      <c r="BN130" s="620"/>
      <c r="BO130" s="620"/>
      <c r="BP130" s="620"/>
      <c r="BQ130" s="620"/>
      <c r="BR130" s="620"/>
      <c r="BS130" s="620"/>
    </row>
    <row r="131" spans="59:71" ht="11.45" customHeight="1" x14ac:dyDescent="0.2">
      <c r="BG131" s="620"/>
      <c r="BH131" s="620"/>
      <c r="BI131" s="620"/>
      <c r="BJ131" s="620"/>
      <c r="BK131" s="620"/>
      <c r="BL131" s="620"/>
      <c r="BM131" s="620"/>
      <c r="BN131" s="620"/>
      <c r="BO131" s="620"/>
      <c r="BP131" s="620"/>
      <c r="BQ131" s="620"/>
      <c r="BR131" s="620"/>
      <c r="BS131" s="620"/>
    </row>
    <row r="132" spans="59:71" ht="11.45" customHeight="1" x14ac:dyDescent="0.2">
      <c r="BG132" s="620"/>
      <c r="BH132" s="620"/>
      <c r="BI132" s="620"/>
      <c r="BJ132" s="620"/>
      <c r="BK132" s="620"/>
      <c r="BL132" s="620"/>
      <c r="BM132" s="620"/>
      <c r="BN132" s="620"/>
      <c r="BO132" s="620"/>
      <c r="BP132" s="620"/>
      <c r="BQ132" s="620"/>
      <c r="BR132" s="620"/>
      <c r="BS132" s="620"/>
    </row>
    <row r="133" spans="59:71" ht="11.45" customHeight="1" x14ac:dyDescent="0.2">
      <c r="BG133" s="620"/>
      <c r="BH133" s="620"/>
      <c r="BI133" s="620"/>
      <c r="BJ133" s="620"/>
      <c r="BK133" s="620"/>
      <c r="BL133" s="620"/>
      <c r="BM133" s="620"/>
      <c r="BN133" s="620"/>
      <c r="BO133" s="620"/>
      <c r="BP133" s="620"/>
      <c r="BQ133" s="620"/>
      <c r="BR133" s="620"/>
      <c r="BS133" s="620"/>
    </row>
    <row r="134" spans="59:71" ht="11.45" customHeight="1" x14ac:dyDescent="0.2">
      <c r="BG134" s="620"/>
      <c r="BH134" s="620"/>
      <c r="BI134" s="620"/>
      <c r="BJ134" s="620"/>
      <c r="BK134" s="620"/>
      <c r="BL134" s="620"/>
      <c r="BM134" s="620"/>
      <c r="BN134" s="620"/>
      <c r="BO134" s="620"/>
      <c r="BP134" s="620"/>
      <c r="BQ134" s="620"/>
      <c r="BR134" s="620"/>
      <c r="BS134" s="620"/>
    </row>
    <row r="135" spans="59:71" ht="11.45" customHeight="1" x14ac:dyDescent="0.2">
      <c r="BG135" s="620"/>
      <c r="BH135" s="620"/>
      <c r="BI135" s="620"/>
      <c r="BJ135" s="620"/>
      <c r="BK135" s="620"/>
      <c r="BL135" s="620"/>
      <c r="BM135" s="620"/>
      <c r="BN135" s="620"/>
      <c r="BO135" s="620"/>
      <c r="BP135" s="620"/>
      <c r="BQ135" s="620"/>
      <c r="BR135" s="620"/>
      <c r="BS135" s="620"/>
    </row>
    <row r="136" spans="59:71" ht="11.45" customHeight="1" x14ac:dyDescent="0.2">
      <c r="BG136" s="620"/>
      <c r="BH136" s="620"/>
      <c r="BI136" s="620"/>
      <c r="BJ136" s="620"/>
      <c r="BK136" s="620"/>
      <c r="BL136" s="620"/>
      <c r="BM136" s="620"/>
      <c r="BN136" s="620"/>
      <c r="BO136" s="620"/>
      <c r="BP136" s="620"/>
      <c r="BQ136" s="620"/>
      <c r="BR136" s="620"/>
      <c r="BS136" s="620"/>
    </row>
    <row r="137" spans="59:71" ht="11.45" customHeight="1" x14ac:dyDescent="0.2">
      <c r="BG137" s="620"/>
      <c r="BH137" s="620"/>
      <c r="BI137" s="620"/>
      <c r="BJ137" s="620"/>
      <c r="BK137" s="620"/>
      <c r="BL137" s="620"/>
      <c r="BM137" s="620"/>
      <c r="BN137" s="620"/>
      <c r="BO137" s="620"/>
      <c r="BP137" s="620"/>
      <c r="BQ137" s="620"/>
      <c r="BR137" s="620"/>
      <c r="BS137" s="620"/>
    </row>
    <row r="138" spans="59:71" ht="11.45" customHeight="1" x14ac:dyDescent="0.2">
      <c r="BG138" s="620"/>
      <c r="BH138" s="620"/>
      <c r="BI138" s="620"/>
      <c r="BJ138" s="620"/>
      <c r="BK138" s="620"/>
      <c r="BL138" s="620"/>
      <c r="BM138" s="620"/>
      <c r="BN138" s="620"/>
      <c r="BO138" s="620"/>
      <c r="BP138" s="620"/>
      <c r="BQ138" s="620"/>
      <c r="BR138" s="620"/>
      <c r="BS138" s="620"/>
    </row>
    <row r="139" spans="59:71" ht="11.45" customHeight="1" x14ac:dyDescent="0.2">
      <c r="BG139" s="620"/>
      <c r="BH139" s="620"/>
      <c r="BI139" s="620"/>
      <c r="BJ139" s="620"/>
      <c r="BK139" s="620"/>
      <c r="BL139" s="620"/>
      <c r="BM139" s="620"/>
      <c r="BN139" s="620"/>
      <c r="BO139" s="620"/>
      <c r="BP139" s="620"/>
      <c r="BQ139" s="620"/>
      <c r="BR139" s="620"/>
      <c r="BS139" s="620"/>
    </row>
    <row r="140" spans="59:71" ht="11.45" customHeight="1" x14ac:dyDescent="0.2">
      <c r="BG140" s="620"/>
      <c r="BH140" s="620"/>
      <c r="BI140" s="620"/>
      <c r="BJ140" s="620"/>
      <c r="BK140" s="620"/>
      <c r="BL140" s="620"/>
      <c r="BM140" s="620"/>
      <c r="BN140" s="620"/>
      <c r="BO140" s="620"/>
      <c r="BP140" s="620"/>
      <c r="BQ140" s="620"/>
      <c r="BR140" s="620"/>
      <c r="BS140" s="620"/>
    </row>
    <row r="141" spans="59:71" ht="11.45" customHeight="1" x14ac:dyDescent="0.2">
      <c r="BG141" s="620"/>
      <c r="BH141" s="620"/>
      <c r="BI141" s="620"/>
      <c r="BJ141" s="620"/>
      <c r="BK141" s="620"/>
      <c r="BL141" s="620"/>
      <c r="BM141" s="620"/>
      <c r="BN141" s="620"/>
      <c r="BO141" s="620"/>
      <c r="BP141" s="620"/>
      <c r="BQ141" s="620"/>
      <c r="BR141" s="620"/>
      <c r="BS141" s="620"/>
    </row>
    <row r="142" spans="59:71" ht="11.45" customHeight="1" x14ac:dyDescent="0.2">
      <c r="BG142" s="620"/>
      <c r="BH142" s="620"/>
      <c r="BI142" s="620"/>
      <c r="BJ142" s="620"/>
      <c r="BK142" s="620"/>
      <c r="BL142" s="620"/>
      <c r="BM142" s="620"/>
      <c r="BN142" s="620"/>
      <c r="BO142" s="620"/>
      <c r="BP142" s="620"/>
      <c r="BQ142" s="620"/>
      <c r="BR142" s="620"/>
      <c r="BS142" s="620"/>
    </row>
    <row r="143" spans="59:71" ht="11.45" customHeight="1" x14ac:dyDescent="0.2">
      <c r="BG143" s="620"/>
      <c r="BH143" s="620"/>
      <c r="BI143" s="620"/>
      <c r="BJ143" s="620"/>
      <c r="BK143" s="620"/>
      <c r="BL143" s="620"/>
      <c r="BM143" s="620"/>
      <c r="BN143" s="620"/>
      <c r="BO143" s="620"/>
      <c r="BP143" s="620"/>
      <c r="BQ143" s="620"/>
      <c r="BR143" s="620"/>
      <c r="BS143" s="620"/>
    </row>
    <row r="144" spans="59:71" ht="11.45" customHeight="1" x14ac:dyDescent="0.2">
      <c r="BG144" s="620"/>
      <c r="BH144" s="620"/>
      <c r="BI144" s="620"/>
      <c r="BJ144" s="620"/>
      <c r="BK144" s="620"/>
      <c r="BL144" s="620"/>
      <c r="BM144" s="620"/>
      <c r="BN144" s="620"/>
      <c r="BO144" s="620"/>
      <c r="BP144" s="620"/>
      <c r="BQ144" s="620"/>
      <c r="BR144" s="620"/>
      <c r="BS144" s="620"/>
    </row>
    <row r="145" spans="59:71" ht="11.45" customHeight="1" x14ac:dyDescent="0.2">
      <c r="BG145" s="620"/>
      <c r="BH145" s="620"/>
      <c r="BI145" s="620"/>
      <c r="BJ145" s="620"/>
      <c r="BK145" s="620"/>
      <c r="BL145" s="620"/>
      <c r="BM145" s="620"/>
      <c r="BN145" s="620"/>
      <c r="BO145" s="620"/>
      <c r="BP145" s="620"/>
      <c r="BQ145" s="620"/>
      <c r="BR145" s="620"/>
      <c r="BS145" s="620"/>
    </row>
    <row r="146" spans="59:71" ht="11.45" customHeight="1" x14ac:dyDescent="0.2">
      <c r="BG146" s="620"/>
      <c r="BH146" s="620"/>
      <c r="BI146" s="620"/>
      <c r="BJ146" s="620"/>
      <c r="BK146" s="620"/>
      <c r="BL146" s="620"/>
      <c r="BM146" s="620"/>
      <c r="BN146" s="620"/>
      <c r="BO146" s="620"/>
      <c r="BP146" s="620"/>
      <c r="BQ146" s="620"/>
      <c r="BR146" s="620"/>
      <c r="BS146" s="620"/>
    </row>
    <row r="147" spans="59:71" ht="11.45" customHeight="1" x14ac:dyDescent="0.2">
      <c r="BG147" s="620"/>
      <c r="BH147" s="620"/>
      <c r="BI147" s="620"/>
      <c r="BJ147" s="620"/>
      <c r="BK147" s="620"/>
      <c r="BL147" s="620"/>
      <c r="BM147" s="620"/>
      <c r="BN147" s="620"/>
      <c r="BO147" s="620"/>
      <c r="BP147" s="620"/>
      <c r="BQ147" s="620"/>
      <c r="BR147" s="620"/>
      <c r="BS147" s="620"/>
    </row>
    <row r="148" spans="59:71" ht="11.45" customHeight="1" x14ac:dyDescent="0.2">
      <c r="BG148" s="620"/>
      <c r="BH148" s="620"/>
      <c r="BI148" s="620"/>
      <c r="BJ148" s="620"/>
      <c r="BK148" s="620"/>
      <c r="BL148" s="620"/>
      <c r="BM148" s="620"/>
      <c r="BN148" s="620"/>
      <c r="BO148" s="620"/>
      <c r="BP148" s="620"/>
      <c r="BQ148" s="620"/>
      <c r="BR148" s="620"/>
      <c r="BS148" s="620"/>
    </row>
    <row r="149" spans="59:71" ht="11.45" customHeight="1" x14ac:dyDescent="0.2">
      <c r="BG149" s="620"/>
      <c r="BH149" s="620"/>
      <c r="BI149" s="620"/>
      <c r="BJ149" s="620"/>
      <c r="BK149" s="620"/>
      <c r="BL149" s="620"/>
      <c r="BM149" s="620"/>
      <c r="BN149" s="620"/>
      <c r="BO149" s="620"/>
      <c r="BP149" s="620"/>
      <c r="BQ149" s="620"/>
      <c r="BR149" s="620"/>
      <c r="BS149" s="620"/>
    </row>
    <row r="150" spans="59:71" ht="11.45" customHeight="1" x14ac:dyDescent="0.2">
      <c r="BG150" s="620"/>
      <c r="BH150" s="620"/>
      <c r="BI150" s="620"/>
      <c r="BJ150" s="620"/>
      <c r="BK150" s="620"/>
      <c r="BL150" s="620"/>
      <c r="BM150" s="620"/>
      <c r="BN150" s="620"/>
      <c r="BO150" s="620"/>
      <c r="BP150" s="620"/>
      <c r="BQ150" s="620"/>
      <c r="BR150" s="620"/>
      <c r="BS150" s="620"/>
    </row>
    <row r="151" spans="59:71" ht="11.45" customHeight="1" x14ac:dyDescent="0.2">
      <c r="BG151" s="620"/>
      <c r="BH151" s="620"/>
      <c r="BI151" s="620"/>
      <c r="BJ151" s="620"/>
      <c r="BK151" s="620"/>
      <c r="BL151" s="620"/>
      <c r="BM151" s="620"/>
      <c r="BN151" s="620"/>
      <c r="BO151" s="620"/>
      <c r="BP151" s="620"/>
      <c r="BQ151" s="620"/>
      <c r="BR151" s="620"/>
      <c r="BS151" s="620"/>
    </row>
    <row r="152" spans="59:71" ht="11.45" customHeight="1" x14ac:dyDescent="0.2">
      <c r="BG152" s="620"/>
      <c r="BH152" s="620"/>
      <c r="BI152" s="620"/>
      <c r="BJ152" s="620"/>
      <c r="BK152" s="620"/>
      <c r="BL152" s="620"/>
      <c r="BM152" s="620"/>
      <c r="BN152" s="620"/>
      <c r="BO152" s="620"/>
      <c r="BP152" s="620"/>
      <c r="BQ152" s="620"/>
      <c r="BR152" s="620"/>
      <c r="BS152" s="620"/>
    </row>
    <row r="153" spans="59:71" ht="11.45" customHeight="1" x14ac:dyDescent="0.2">
      <c r="BG153" s="620"/>
      <c r="BH153" s="620"/>
      <c r="BI153" s="620"/>
      <c r="BJ153" s="620"/>
      <c r="BK153" s="620"/>
      <c r="BL153" s="620"/>
      <c r="BM153" s="620"/>
      <c r="BN153" s="620"/>
      <c r="BO153" s="620"/>
      <c r="BP153" s="620"/>
      <c r="BQ153" s="620"/>
      <c r="BR153" s="620"/>
      <c r="BS153" s="620"/>
    </row>
    <row r="154" spans="59:71" ht="11.45" customHeight="1" x14ac:dyDescent="0.2">
      <c r="BG154" s="620"/>
      <c r="BH154" s="620"/>
      <c r="BI154" s="620"/>
      <c r="BJ154" s="620"/>
      <c r="BK154" s="620"/>
      <c r="BL154" s="620"/>
      <c r="BM154" s="620"/>
      <c r="BN154" s="620"/>
      <c r="BO154" s="620"/>
      <c r="BP154" s="620"/>
      <c r="BQ154" s="620"/>
      <c r="BR154" s="620"/>
      <c r="BS154" s="620"/>
    </row>
    <row r="155" spans="59:71" ht="11.45" customHeight="1" x14ac:dyDescent="0.2">
      <c r="BG155" s="620"/>
      <c r="BH155" s="620"/>
      <c r="BI155" s="620"/>
      <c r="BJ155" s="620"/>
      <c r="BK155" s="620"/>
      <c r="BL155" s="620"/>
      <c r="BM155" s="620"/>
      <c r="BN155" s="620"/>
      <c r="BO155" s="620"/>
      <c r="BP155" s="620"/>
      <c r="BQ155" s="620"/>
      <c r="BR155" s="620"/>
      <c r="BS155" s="620"/>
    </row>
    <row r="156" spans="59:71" ht="11.45" customHeight="1" x14ac:dyDescent="0.2">
      <c r="BG156" s="620"/>
      <c r="BH156" s="620"/>
      <c r="BI156" s="620"/>
      <c r="BJ156" s="620"/>
      <c r="BK156" s="620"/>
      <c r="BL156" s="620"/>
      <c r="BM156" s="620"/>
      <c r="BN156" s="620"/>
      <c r="BO156" s="620"/>
      <c r="BP156" s="620"/>
      <c r="BQ156" s="620"/>
      <c r="BR156" s="620"/>
      <c r="BS156" s="620"/>
    </row>
    <row r="157" spans="59:71" ht="11.45" customHeight="1" x14ac:dyDescent="0.2">
      <c r="BG157" s="620"/>
      <c r="BH157" s="620"/>
      <c r="BI157" s="620"/>
      <c r="BJ157" s="620"/>
      <c r="BK157" s="620"/>
      <c r="BL157" s="620"/>
      <c r="BM157" s="620"/>
      <c r="BN157" s="620"/>
      <c r="BO157" s="620"/>
      <c r="BP157" s="620"/>
      <c r="BQ157" s="620"/>
      <c r="BR157" s="620"/>
      <c r="BS157" s="620"/>
    </row>
    <row r="158" spans="59:71" ht="11.45" customHeight="1" x14ac:dyDescent="0.2">
      <c r="BG158" s="620"/>
      <c r="BH158" s="620"/>
      <c r="BI158" s="620"/>
      <c r="BJ158" s="620"/>
      <c r="BK158" s="620"/>
      <c r="BL158" s="620"/>
      <c r="BM158" s="620"/>
      <c r="BN158" s="620"/>
      <c r="BO158" s="620"/>
      <c r="BP158" s="620"/>
      <c r="BQ158" s="620"/>
      <c r="BR158" s="620"/>
      <c r="BS158" s="620"/>
    </row>
    <row r="159" spans="59:71" ht="11.45" customHeight="1" x14ac:dyDescent="0.2">
      <c r="BG159" s="620"/>
      <c r="BH159" s="620"/>
      <c r="BI159" s="620"/>
      <c r="BJ159" s="620"/>
      <c r="BK159" s="620"/>
      <c r="BL159" s="620"/>
      <c r="BM159" s="620"/>
      <c r="BN159" s="620"/>
      <c r="BO159" s="620"/>
      <c r="BP159" s="620"/>
      <c r="BQ159" s="620"/>
      <c r="BR159" s="620"/>
      <c r="BS159" s="620"/>
    </row>
    <row r="160" spans="59:71" ht="11.45" customHeight="1" x14ac:dyDescent="0.2">
      <c r="BG160" s="620"/>
      <c r="BH160" s="620"/>
      <c r="BI160" s="620"/>
      <c r="BJ160" s="620"/>
      <c r="BK160" s="620"/>
      <c r="BL160" s="620"/>
      <c r="BM160" s="620"/>
      <c r="BN160" s="620"/>
      <c r="BO160" s="620"/>
      <c r="BP160" s="620"/>
      <c r="BQ160" s="620"/>
      <c r="BR160" s="620"/>
      <c r="BS160" s="620"/>
    </row>
    <row r="161" spans="59:71" ht="11.45" customHeight="1" x14ac:dyDescent="0.2">
      <c r="BG161" s="620"/>
      <c r="BH161" s="620"/>
      <c r="BI161" s="620"/>
      <c r="BJ161" s="620"/>
      <c r="BK161" s="620"/>
      <c r="BL161" s="620"/>
      <c r="BM161" s="620"/>
      <c r="BN161" s="620"/>
      <c r="BO161" s="620"/>
      <c r="BP161" s="620"/>
      <c r="BQ161" s="620"/>
      <c r="BR161" s="620"/>
      <c r="BS161" s="620"/>
    </row>
    <row r="162" spans="59:71" ht="11.45" customHeight="1" x14ac:dyDescent="0.2">
      <c r="BG162" s="620"/>
      <c r="BH162" s="620"/>
      <c r="BI162" s="620"/>
      <c r="BJ162" s="620"/>
      <c r="BK162" s="620"/>
      <c r="BL162" s="620"/>
      <c r="BM162" s="620"/>
      <c r="BN162" s="620"/>
      <c r="BO162" s="620"/>
      <c r="BP162" s="620"/>
      <c r="BQ162" s="620"/>
      <c r="BR162" s="620"/>
      <c r="BS162" s="620"/>
    </row>
    <row r="163" spans="59:71" ht="11.45" customHeight="1" x14ac:dyDescent="0.2">
      <c r="BG163" s="620"/>
      <c r="BH163" s="620"/>
      <c r="BI163" s="620"/>
      <c r="BJ163" s="620"/>
      <c r="BK163" s="620"/>
      <c r="BL163" s="620"/>
      <c r="BM163" s="620"/>
      <c r="BN163" s="620"/>
      <c r="BO163" s="620"/>
      <c r="BP163" s="620"/>
      <c r="BQ163" s="620"/>
      <c r="BR163" s="620"/>
      <c r="BS163" s="620"/>
    </row>
    <row r="164" spans="59:71" ht="11.45" customHeight="1" x14ac:dyDescent="0.2">
      <c r="BG164" s="620"/>
      <c r="BH164" s="620"/>
      <c r="BI164" s="620"/>
      <c r="BJ164" s="620"/>
      <c r="BK164" s="620"/>
      <c r="BL164" s="620"/>
      <c r="BM164" s="620"/>
      <c r="BN164" s="620"/>
      <c r="BO164" s="620"/>
      <c r="BP164" s="620"/>
      <c r="BQ164" s="620"/>
      <c r="BR164" s="620"/>
      <c r="BS164" s="620"/>
    </row>
    <row r="165" spans="59:71" ht="11.45" customHeight="1" x14ac:dyDescent="0.2">
      <c r="BG165" s="620"/>
      <c r="BH165" s="620"/>
      <c r="BI165" s="620"/>
      <c r="BJ165" s="620"/>
      <c r="BK165" s="620"/>
      <c r="BL165" s="620"/>
      <c r="BM165" s="620"/>
      <c r="BN165" s="620"/>
      <c r="BO165" s="620"/>
      <c r="BP165" s="620"/>
      <c r="BQ165" s="620"/>
      <c r="BR165" s="620"/>
      <c r="BS165" s="620"/>
    </row>
    <row r="166" spans="59:71" ht="11.45" customHeight="1" x14ac:dyDescent="0.2">
      <c r="BG166" s="620"/>
      <c r="BH166" s="620"/>
      <c r="BI166" s="620"/>
      <c r="BJ166" s="620"/>
      <c r="BK166" s="620"/>
      <c r="BL166" s="620"/>
      <c r="BM166" s="620"/>
      <c r="BN166" s="620"/>
      <c r="BO166" s="620"/>
      <c r="BP166" s="620"/>
      <c r="BQ166" s="620"/>
      <c r="BR166" s="620"/>
      <c r="BS166" s="620"/>
    </row>
    <row r="167" spans="59:71" ht="11.45" customHeight="1" x14ac:dyDescent="0.2">
      <c r="BG167" s="620"/>
      <c r="BH167" s="620"/>
      <c r="BI167" s="620"/>
      <c r="BJ167" s="620"/>
      <c r="BK167" s="620"/>
      <c r="BL167" s="620"/>
      <c r="BM167" s="620"/>
      <c r="BN167" s="620"/>
      <c r="BO167" s="620"/>
      <c r="BP167" s="620"/>
      <c r="BQ167" s="620"/>
      <c r="BR167" s="620"/>
      <c r="BS167" s="620"/>
    </row>
    <row r="168" spans="59:71" ht="11.45" customHeight="1" x14ac:dyDescent="0.2">
      <c r="BG168" s="620"/>
      <c r="BH168" s="620"/>
      <c r="BI168" s="620"/>
      <c r="BJ168" s="620"/>
      <c r="BK168" s="620"/>
      <c r="BL168" s="620"/>
      <c r="BM168" s="620"/>
      <c r="BN168" s="620"/>
      <c r="BO168" s="620"/>
      <c r="BP168" s="620"/>
      <c r="BQ168" s="620"/>
      <c r="BR168" s="620"/>
      <c r="BS168" s="620"/>
    </row>
    <row r="169" spans="59:71" ht="11.45" customHeight="1" x14ac:dyDescent="0.2">
      <c r="BG169" s="620"/>
      <c r="BH169" s="620"/>
      <c r="BI169" s="620"/>
      <c r="BJ169" s="620"/>
      <c r="BK169" s="620"/>
      <c r="BL169" s="620"/>
      <c r="BM169" s="620"/>
      <c r="BN169" s="620"/>
      <c r="BO169" s="620"/>
      <c r="BP169" s="620"/>
      <c r="BQ169" s="620"/>
      <c r="BR169" s="620"/>
      <c r="BS169" s="620"/>
    </row>
    <row r="170" spans="59:71" ht="11.45" customHeight="1" x14ac:dyDescent="0.2">
      <c r="BG170" s="620"/>
      <c r="BH170" s="620"/>
      <c r="BI170" s="620"/>
      <c r="BJ170" s="620"/>
      <c r="BK170" s="620"/>
      <c r="BL170" s="620"/>
      <c r="BM170" s="620"/>
      <c r="BN170" s="620"/>
      <c r="BO170" s="620"/>
      <c r="BP170" s="620"/>
      <c r="BQ170" s="620"/>
      <c r="BR170" s="620"/>
      <c r="BS170" s="620"/>
    </row>
    <row r="171" spans="59:71" ht="11.45" customHeight="1" x14ac:dyDescent="0.2">
      <c r="BG171" s="620"/>
      <c r="BH171" s="620"/>
      <c r="BI171" s="620"/>
      <c r="BJ171" s="620"/>
      <c r="BK171" s="620"/>
      <c r="BL171" s="620"/>
      <c r="BM171" s="620"/>
      <c r="BN171" s="620"/>
      <c r="BO171" s="620"/>
      <c r="BP171" s="620"/>
      <c r="BQ171" s="620"/>
      <c r="BR171" s="620"/>
      <c r="BS171" s="620"/>
    </row>
    <row r="172" spans="59:71" ht="11.45" customHeight="1" x14ac:dyDescent="0.2">
      <c r="BG172" s="620"/>
      <c r="BH172" s="620"/>
      <c r="BI172" s="620"/>
      <c r="BJ172" s="620"/>
      <c r="BK172" s="620"/>
      <c r="BL172" s="620"/>
      <c r="BM172" s="620"/>
      <c r="BN172" s="620"/>
      <c r="BO172" s="620"/>
      <c r="BP172" s="620"/>
      <c r="BQ172" s="620"/>
      <c r="BR172" s="620"/>
      <c r="BS172" s="620"/>
    </row>
    <row r="173" spans="59:71" ht="11.45" customHeight="1" x14ac:dyDescent="0.2">
      <c r="BG173" s="620"/>
      <c r="BH173" s="620"/>
      <c r="BI173" s="620"/>
      <c r="BJ173" s="620"/>
      <c r="BK173" s="620"/>
      <c r="BL173" s="620"/>
      <c r="BM173" s="620"/>
      <c r="BN173" s="620"/>
      <c r="BO173" s="620"/>
      <c r="BP173" s="620"/>
      <c r="BQ173" s="620"/>
      <c r="BR173" s="620"/>
      <c r="BS173" s="620"/>
    </row>
    <row r="174" spans="59:71" ht="11.45" customHeight="1" x14ac:dyDescent="0.2">
      <c r="BG174" s="620"/>
      <c r="BH174" s="620"/>
      <c r="BI174" s="620"/>
      <c r="BJ174" s="620"/>
      <c r="BK174" s="620"/>
      <c r="BL174" s="620"/>
      <c r="BM174" s="620"/>
      <c r="BN174" s="620"/>
      <c r="BO174" s="620"/>
      <c r="BP174" s="620"/>
      <c r="BQ174" s="620"/>
      <c r="BR174" s="620"/>
      <c r="BS174" s="620"/>
    </row>
    <row r="175" spans="59:71" ht="11.45" customHeight="1" x14ac:dyDescent="0.2">
      <c r="BG175" s="620"/>
      <c r="BH175" s="620"/>
      <c r="BI175" s="620"/>
      <c r="BJ175" s="620"/>
      <c r="BK175" s="620"/>
      <c r="BL175" s="620"/>
      <c r="BM175" s="620"/>
      <c r="BN175" s="620"/>
      <c r="BO175" s="620"/>
      <c r="BP175" s="620"/>
      <c r="BQ175" s="620"/>
      <c r="BR175" s="620"/>
      <c r="BS175" s="620"/>
    </row>
    <row r="176" spans="59:71" ht="11.45" customHeight="1" x14ac:dyDescent="0.2">
      <c r="BG176" s="620"/>
      <c r="BH176" s="620"/>
      <c r="BI176" s="620"/>
      <c r="BJ176" s="620"/>
      <c r="BK176" s="620"/>
      <c r="BL176" s="620"/>
      <c r="BM176" s="620"/>
      <c r="BN176" s="620"/>
      <c r="BO176" s="620"/>
      <c r="BP176" s="620"/>
      <c r="BQ176" s="620"/>
      <c r="BR176" s="620"/>
      <c r="BS176" s="620"/>
    </row>
    <row r="177" spans="59:71" ht="11.45" customHeight="1" x14ac:dyDescent="0.2">
      <c r="BG177" s="620"/>
      <c r="BH177" s="620"/>
      <c r="BI177" s="620"/>
      <c r="BJ177" s="620"/>
      <c r="BK177" s="620"/>
      <c r="BL177" s="620"/>
      <c r="BM177" s="620"/>
      <c r="BN177" s="620"/>
      <c r="BO177" s="620"/>
      <c r="BP177" s="620"/>
      <c r="BQ177" s="620"/>
      <c r="BR177" s="620"/>
      <c r="BS177" s="620"/>
    </row>
    <row r="178" spans="59:71" ht="11.45" customHeight="1" x14ac:dyDescent="0.2">
      <c r="BG178" s="620"/>
      <c r="BH178" s="620"/>
      <c r="BI178" s="620"/>
      <c r="BJ178" s="620"/>
      <c r="BK178" s="620"/>
      <c r="BL178" s="620"/>
      <c r="BM178" s="620"/>
      <c r="BN178" s="620"/>
      <c r="BO178" s="620"/>
      <c r="BP178" s="620"/>
      <c r="BQ178" s="620"/>
      <c r="BR178" s="620"/>
      <c r="BS178" s="620"/>
    </row>
    <row r="179" spans="59:71" ht="11.45" customHeight="1" x14ac:dyDescent="0.2">
      <c r="BG179" s="620"/>
      <c r="BH179" s="620"/>
      <c r="BI179" s="620"/>
      <c r="BJ179" s="620"/>
      <c r="BK179" s="620"/>
      <c r="BL179" s="620"/>
      <c r="BM179" s="620"/>
      <c r="BN179" s="620"/>
      <c r="BO179" s="620"/>
      <c r="BP179" s="620"/>
      <c r="BQ179" s="620"/>
      <c r="BR179" s="620"/>
      <c r="BS179" s="620"/>
    </row>
    <row r="180" spans="59:71" ht="11.45" customHeight="1" x14ac:dyDescent="0.2">
      <c r="BG180" s="620"/>
      <c r="BH180" s="620"/>
      <c r="BI180" s="620"/>
      <c r="BJ180" s="620"/>
      <c r="BK180" s="620"/>
      <c r="BL180" s="620"/>
      <c r="BM180" s="620"/>
      <c r="BN180" s="620"/>
      <c r="BO180" s="620"/>
      <c r="BP180" s="620"/>
      <c r="BQ180" s="620"/>
      <c r="BR180" s="620"/>
      <c r="BS180" s="620"/>
    </row>
    <row r="181" spans="59:71" ht="11.45" customHeight="1" x14ac:dyDescent="0.2">
      <c r="BG181" s="620"/>
      <c r="BH181" s="620"/>
      <c r="BI181" s="620"/>
      <c r="BJ181" s="620"/>
      <c r="BK181" s="620"/>
      <c r="BL181" s="620"/>
      <c r="BM181" s="620"/>
      <c r="BN181" s="620"/>
      <c r="BO181" s="620"/>
      <c r="BP181" s="620"/>
      <c r="BQ181" s="620"/>
      <c r="BR181" s="620"/>
      <c r="BS181" s="620"/>
    </row>
    <row r="182" spans="59:71" ht="11.45" customHeight="1" x14ac:dyDescent="0.2">
      <c r="BG182" s="620"/>
      <c r="BH182" s="620"/>
      <c r="BI182" s="620"/>
      <c r="BJ182" s="620"/>
      <c r="BK182" s="620"/>
      <c r="BL182" s="620"/>
      <c r="BM182" s="620"/>
      <c r="BN182" s="620"/>
      <c r="BO182" s="620"/>
      <c r="BP182" s="620"/>
      <c r="BQ182" s="620"/>
      <c r="BR182" s="620"/>
      <c r="BS182" s="620"/>
    </row>
    <row r="183" spans="59:71" ht="11.45" customHeight="1" x14ac:dyDescent="0.2">
      <c r="BG183" s="620"/>
      <c r="BH183" s="620"/>
      <c r="BI183" s="620"/>
      <c r="BJ183" s="620"/>
      <c r="BK183" s="620"/>
      <c r="BL183" s="620"/>
      <c r="BM183" s="620"/>
      <c r="BN183" s="620"/>
      <c r="BO183" s="620"/>
      <c r="BP183" s="620"/>
      <c r="BQ183" s="620"/>
      <c r="BR183" s="620"/>
      <c r="BS183" s="620"/>
    </row>
    <row r="184" spans="59:71" ht="11.45" customHeight="1" x14ac:dyDescent="0.2">
      <c r="BG184" s="620"/>
      <c r="BH184" s="620"/>
      <c r="BI184" s="620"/>
      <c r="BJ184" s="620"/>
      <c r="BK184" s="620"/>
      <c r="BL184" s="620"/>
      <c r="BM184" s="620"/>
      <c r="BN184" s="620"/>
      <c r="BO184" s="620"/>
      <c r="BP184" s="620"/>
      <c r="BQ184" s="620"/>
      <c r="BR184" s="620"/>
      <c r="BS184" s="620"/>
    </row>
    <row r="185" spans="59:71" ht="11.45" customHeight="1" x14ac:dyDescent="0.2">
      <c r="BG185" s="620"/>
      <c r="BH185" s="620"/>
      <c r="BI185" s="620"/>
      <c r="BJ185" s="620"/>
      <c r="BK185" s="620"/>
      <c r="BL185" s="620"/>
      <c r="BM185" s="620"/>
      <c r="BN185" s="620"/>
      <c r="BO185" s="620"/>
      <c r="BP185" s="620"/>
      <c r="BQ185" s="620"/>
      <c r="BR185" s="620"/>
      <c r="BS185" s="620"/>
    </row>
    <row r="186" spans="59:71" ht="11.45" customHeight="1" x14ac:dyDescent="0.2">
      <c r="BG186" s="620"/>
      <c r="BH186" s="620"/>
      <c r="BI186" s="620"/>
      <c r="BJ186" s="620"/>
      <c r="BK186" s="620"/>
      <c r="BL186" s="620"/>
      <c r="BM186" s="620"/>
      <c r="BN186" s="620"/>
      <c r="BO186" s="620"/>
      <c r="BP186" s="620"/>
      <c r="BQ186" s="620"/>
      <c r="BR186" s="620"/>
      <c r="BS186" s="620"/>
    </row>
    <row r="187" spans="59:71" ht="11.45" customHeight="1" x14ac:dyDescent="0.2">
      <c r="BG187" s="620"/>
      <c r="BH187" s="620"/>
      <c r="BI187" s="620"/>
      <c r="BJ187" s="620"/>
      <c r="BK187" s="620"/>
      <c r="BL187" s="620"/>
      <c r="BM187" s="620"/>
      <c r="BN187" s="620"/>
      <c r="BO187" s="620"/>
      <c r="BP187" s="620"/>
      <c r="BQ187" s="620"/>
      <c r="BR187" s="620"/>
      <c r="BS187" s="620"/>
    </row>
    <row r="188" spans="59:71" ht="11.45" customHeight="1" x14ac:dyDescent="0.2">
      <c r="BG188" s="620"/>
      <c r="BH188" s="620"/>
      <c r="BI188" s="620"/>
      <c r="BJ188" s="620"/>
      <c r="BK188" s="620"/>
      <c r="BL188" s="620"/>
      <c r="BM188" s="620"/>
      <c r="BN188" s="620"/>
      <c r="BO188" s="620"/>
      <c r="BP188" s="620"/>
      <c r="BQ188" s="620"/>
      <c r="BR188" s="620"/>
      <c r="BS188" s="620"/>
    </row>
    <row r="189" spans="59:71" ht="11.45" customHeight="1" x14ac:dyDescent="0.2">
      <c r="BG189" s="620"/>
      <c r="BH189" s="620"/>
      <c r="BI189" s="620"/>
      <c r="BJ189" s="620"/>
      <c r="BK189" s="620"/>
      <c r="BL189" s="620"/>
      <c r="BM189" s="620"/>
      <c r="BN189" s="620"/>
      <c r="BO189" s="620"/>
      <c r="BP189" s="620"/>
      <c r="BQ189" s="620"/>
      <c r="BR189" s="620"/>
      <c r="BS189" s="620"/>
    </row>
    <row r="190" spans="59:71" ht="11.45" customHeight="1" x14ac:dyDescent="0.2">
      <c r="BG190" s="620"/>
      <c r="BH190" s="620"/>
      <c r="BI190" s="620"/>
      <c r="BJ190" s="620"/>
      <c r="BK190" s="620"/>
      <c r="BL190" s="620"/>
      <c r="BM190" s="620"/>
      <c r="BN190" s="620"/>
      <c r="BO190" s="620"/>
      <c r="BP190" s="620"/>
      <c r="BQ190" s="620"/>
      <c r="BR190" s="620"/>
      <c r="BS190" s="620"/>
    </row>
    <row r="191" spans="59:71" ht="11.45" customHeight="1" x14ac:dyDescent="0.2">
      <c r="BG191" s="620"/>
      <c r="BH191" s="620"/>
      <c r="BI191" s="620"/>
      <c r="BJ191" s="620"/>
      <c r="BK191" s="620"/>
      <c r="BL191" s="620"/>
      <c r="BM191" s="620"/>
      <c r="BN191" s="620"/>
      <c r="BO191" s="620"/>
      <c r="BP191" s="620"/>
      <c r="BQ191" s="620"/>
      <c r="BR191" s="620"/>
      <c r="BS191" s="620"/>
    </row>
    <row r="192" spans="59:71" ht="11.45" customHeight="1" x14ac:dyDescent="0.2">
      <c r="BG192" s="620"/>
      <c r="BH192" s="620"/>
      <c r="BI192" s="620"/>
      <c r="BJ192" s="620"/>
      <c r="BK192" s="620"/>
      <c r="BL192" s="620"/>
      <c r="BM192" s="620"/>
      <c r="BN192" s="620"/>
      <c r="BO192" s="620"/>
      <c r="BP192" s="620"/>
      <c r="BQ192" s="620"/>
      <c r="BR192" s="620"/>
      <c r="BS192" s="620"/>
    </row>
    <row r="193" spans="59:71" ht="11.45" customHeight="1" x14ac:dyDescent="0.2">
      <c r="BG193" s="620"/>
      <c r="BH193" s="620"/>
      <c r="BI193" s="620"/>
      <c r="BJ193" s="620"/>
      <c r="BK193" s="620"/>
      <c r="BL193" s="620"/>
      <c r="BM193" s="620"/>
      <c r="BN193" s="620"/>
      <c r="BO193" s="620"/>
      <c r="BP193" s="620"/>
      <c r="BQ193" s="620"/>
      <c r="BR193" s="620"/>
      <c r="BS193" s="620"/>
    </row>
    <row r="194" spans="59:71" ht="11.45" customHeight="1" x14ac:dyDescent="0.2">
      <c r="BG194" s="620"/>
      <c r="BH194" s="620"/>
      <c r="BI194" s="620"/>
      <c r="BJ194" s="620"/>
      <c r="BK194" s="620"/>
      <c r="BL194" s="620"/>
      <c r="BM194" s="620"/>
      <c r="BN194" s="620"/>
      <c r="BO194" s="620"/>
      <c r="BP194" s="620"/>
      <c r="BQ194" s="620"/>
      <c r="BR194" s="620"/>
      <c r="BS194" s="620"/>
    </row>
    <row r="195" spans="59:71" ht="11.45" customHeight="1" x14ac:dyDescent="0.2">
      <c r="BG195" s="620"/>
      <c r="BH195" s="620"/>
      <c r="BI195" s="620"/>
      <c r="BJ195" s="620"/>
      <c r="BK195" s="620"/>
      <c r="BL195" s="620"/>
      <c r="BM195" s="620"/>
      <c r="BN195" s="620"/>
      <c r="BO195" s="620"/>
      <c r="BP195" s="620"/>
      <c r="BQ195" s="620"/>
      <c r="BR195" s="620"/>
      <c r="BS195" s="620"/>
    </row>
    <row r="196" spans="59:71" ht="11.45" customHeight="1" x14ac:dyDescent="0.2">
      <c r="BG196" s="620"/>
      <c r="BH196" s="620"/>
      <c r="BI196" s="620"/>
      <c r="BJ196" s="620"/>
      <c r="BK196" s="620"/>
      <c r="BL196" s="620"/>
      <c r="BM196" s="620"/>
      <c r="BN196" s="620"/>
      <c r="BO196" s="620"/>
      <c r="BP196" s="620"/>
      <c r="BQ196" s="620"/>
      <c r="BR196" s="620"/>
      <c r="BS196" s="620"/>
    </row>
    <row r="197" spans="59:71" ht="11.45" customHeight="1" x14ac:dyDescent="0.2">
      <c r="BG197" s="620"/>
      <c r="BH197" s="620"/>
      <c r="BI197" s="620"/>
      <c r="BJ197" s="620"/>
      <c r="BK197" s="620"/>
      <c r="BL197" s="620"/>
      <c r="BM197" s="620"/>
      <c r="BN197" s="620"/>
      <c r="BO197" s="620"/>
      <c r="BP197" s="620"/>
      <c r="BQ197" s="620"/>
      <c r="BR197" s="620"/>
      <c r="BS197" s="620"/>
    </row>
    <row r="198" spans="59:71" ht="11.45" customHeight="1" x14ac:dyDescent="0.2">
      <c r="BG198" s="620"/>
      <c r="BH198" s="620"/>
      <c r="BI198" s="620"/>
      <c r="BJ198" s="620"/>
      <c r="BK198" s="620"/>
      <c r="BL198" s="620"/>
      <c r="BM198" s="620"/>
      <c r="BN198" s="620"/>
      <c r="BO198" s="620"/>
      <c r="BP198" s="620"/>
      <c r="BQ198" s="620"/>
      <c r="BR198" s="620"/>
      <c r="BS198" s="620"/>
    </row>
    <row r="199" spans="59:71" ht="11.45" customHeight="1" x14ac:dyDescent="0.2">
      <c r="BG199" s="620"/>
      <c r="BH199" s="620"/>
      <c r="BI199" s="620"/>
      <c r="BJ199" s="620"/>
      <c r="BK199" s="620"/>
      <c r="BL199" s="620"/>
      <c r="BM199" s="620"/>
      <c r="BN199" s="620"/>
      <c r="BO199" s="620"/>
      <c r="BP199" s="620"/>
      <c r="BQ199" s="620"/>
      <c r="BR199" s="620"/>
      <c r="BS199" s="620"/>
    </row>
    <row r="200" spans="59:71" ht="11.45" customHeight="1" x14ac:dyDescent="0.2">
      <c r="BG200" s="620"/>
      <c r="BH200" s="620"/>
      <c r="BI200" s="620"/>
      <c r="BJ200" s="620"/>
      <c r="BK200" s="620"/>
      <c r="BL200" s="620"/>
      <c r="BM200" s="620"/>
      <c r="BN200" s="620"/>
      <c r="BO200" s="620"/>
      <c r="BP200" s="620"/>
      <c r="BQ200" s="620"/>
      <c r="BR200" s="620"/>
      <c r="BS200" s="620"/>
    </row>
    <row r="201" spans="59:71" ht="11.45" customHeight="1" x14ac:dyDescent="0.2">
      <c r="BG201" s="620"/>
      <c r="BH201" s="620"/>
      <c r="BI201" s="620"/>
      <c r="BJ201" s="620"/>
      <c r="BK201" s="620"/>
      <c r="BL201" s="620"/>
      <c r="BM201" s="620"/>
      <c r="BN201" s="620"/>
      <c r="BO201" s="620"/>
      <c r="BP201" s="620"/>
      <c r="BQ201" s="620"/>
      <c r="BR201" s="620"/>
      <c r="BS201" s="620"/>
    </row>
    <row r="202" spans="59:71" ht="11.45" customHeight="1" x14ac:dyDescent="0.2">
      <c r="BG202" s="620"/>
      <c r="BH202" s="620"/>
      <c r="BI202" s="620"/>
      <c r="BJ202" s="620"/>
      <c r="BK202" s="620"/>
      <c r="BL202" s="620"/>
      <c r="BM202" s="620"/>
      <c r="BN202" s="620"/>
      <c r="BO202" s="620"/>
      <c r="BP202" s="620"/>
      <c r="BQ202" s="620"/>
      <c r="BR202" s="620"/>
      <c r="BS202" s="620"/>
    </row>
    <row r="203" spans="59:71" ht="11.45" customHeight="1" x14ac:dyDescent="0.2">
      <c r="BG203" s="620"/>
      <c r="BH203" s="620"/>
      <c r="BI203" s="620"/>
      <c r="BJ203" s="620"/>
      <c r="BK203" s="620"/>
      <c r="BL203" s="620"/>
      <c r="BM203" s="620"/>
      <c r="BN203" s="620"/>
      <c r="BO203" s="620"/>
      <c r="BP203" s="620"/>
      <c r="BQ203" s="620"/>
      <c r="BR203" s="620"/>
      <c r="BS203" s="620"/>
    </row>
    <row r="204" spans="59:71" ht="11.45" customHeight="1" x14ac:dyDescent="0.2">
      <c r="BG204" s="620"/>
      <c r="BH204" s="620"/>
      <c r="BI204" s="620"/>
      <c r="BJ204" s="620"/>
      <c r="BK204" s="620"/>
      <c r="BL204" s="620"/>
      <c r="BM204" s="620"/>
      <c r="BN204" s="620"/>
      <c r="BO204" s="620"/>
      <c r="BP204" s="620"/>
      <c r="BQ204" s="620"/>
      <c r="BR204" s="620"/>
      <c r="BS204" s="620"/>
    </row>
    <row r="205" spans="59:71" ht="11.45" customHeight="1" x14ac:dyDescent="0.2">
      <c r="BG205" s="620"/>
      <c r="BH205" s="620"/>
      <c r="BI205" s="620"/>
      <c r="BJ205" s="620"/>
      <c r="BK205" s="620"/>
      <c r="BL205" s="620"/>
      <c r="BM205" s="620"/>
      <c r="BN205" s="620"/>
      <c r="BO205" s="620"/>
      <c r="BP205" s="620"/>
      <c r="BQ205" s="620"/>
      <c r="BR205" s="620"/>
      <c r="BS205" s="620"/>
    </row>
    <row r="206" spans="59:71" ht="11.45" customHeight="1" x14ac:dyDescent="0.2">
      <c r="BG206" s="620"/>
      <c r="BH206" s="620"/>
      <c r="BI206" s="620"/>
      <c r="BJ206" s="620"/>
      <c r="BK206" s="620"/>
      <c r="BL206" s="620"/>
      <c r="BM206" s="620"/>
      <c r="BN206" s="620"/>
      <c r="BO206" s="620"/>
      <c r="BP206" s="620"/>
      <c r="BQ206" s="620"/>
      <c r="BR206" s="620"/>
      <c r="BS206" s="620"/>
    </row>
    <row r="207" spans="59:71" ht="11.45" customHeight="1" x14ac:dyDescent="0.2">
      <c r="BG207" s="620"/>
      <c r="BH207" s="620"/>
      <c r="BI207" s="620"/>
      <c r="BJ207" s="620"/>
      <c r="BK207" s="620"/>
      <c r="BL207" s="620"/>
      <c r="BM207" s="620"/>
      <c r="BN207" s="620"/>
      <c r="BO207" s="620"/>
      <c r="BP207" s="620"/>
      <c r="BQ207" s="620"/>
      <c r="BR207" s="620"/>
      <c r="BS207" s="620"/>
    </row>
    <row r="208" spans="59:71" ht="11.45" customHeight="1" x14ac:dyDescent="0.2">
      <c r="BG208" s="620"/>
      <c r="BH208" s="620"/>
      <c r="BI208" s="620"/>
      <c r="BJ208" s="620"/>
      <c r="BK208" s="620"/>
      <c r="BL208" s="620"/>
      <c r="BM208" s="620"/>
      <c r="BN208" s="620"/>
      <c r="BO208" s="620"/>
      <c r="BP208" s="620"/>
      <c r="BQ208" s="620"/>
      <c r="BR208" s="620"/>
      <c r="BS208" s="620"/>
    </row>
    <row r="209" spans="59:71" ht="11.45" customHeight="1" x14ac:dyDescent="0.2">
      <c r="BG209" s="620"/>
      <c r="BH209" s="620"/>
      <c r="BI209" s="620"/>
      <c r="BJ209" s="620"/>
      <c r="BK209" s="620"/>
      <c r="BL209" s="620"/>
      <c r="BM209" s="620"/>
      <c r="BN209" s="620"/>
      <c r="BO209" s="620"/>
      <c r="BP209" s="620"/>
      <c r="BQ209" s="620"/>
      <c r="BR209" s="620"/>
      <c r="BS209" s="620"/>
    </row>
    <row r="210" spans="59:71" ht="11.45" customHeight="1" x14ac:dyDescent="0.2">
      <c r="BG210" s="620"/>
      <c r="BH210" s="620"/>
      <c r="BI210" s="620"/>
      <c r="BJ210" s="620"/>
      <c r="BK210" s="620"/>
      <c r="BL210" s="620"/>
      <c r="BM210" s="620"/>
      <c r="BN210" s="620"/>
      <c r="BO210" s="620"/>
      <c r="BP210" s="620"/>
      <c r="BQ210" s="620"/>
      <c r="BR210" s="620"/>
      <c r="BS210" s="620"/>
    </row>
    <row r="211" spans="59:71" ht="11.45" customHeight="1" x14ac:dyDescent="0.2">
      <c r="BG211" s="620"/>
      <c r="BH211" s="620"/>
      <c r="BI211" s="620"/>
      <c r="BJ211" s="620"/>
      <c r="BK211" s="620"/>
      <c r="BL211" s="620"/>
      <c r="BM211" s="620"/>
      <c r="BN211" s="620"/>
      <c r="BO211" s="620"/>
      <c r="BP211" s="620"/>
      <c r="BQ211" s="620"/>
      <c r="BR211" s="620"/>
      <c r="BS211" s="620"/>
    </row>
    <row r="212" spans="59:71" ht="11.45" customHeight="1" x14ac:dyDescent="0.2">
      <c r="BG212" s="620"/>
      <c r="BH212" s="620"/>
      <c r="BI212" s="620"/>
      <c r="BJ212" s="620"/>
      <c r="BK212" s="620"/>
      <c r="BL212" s="620"/>
      <c r="BM212" s="620"/>
      <c r="BN212" s="620"/>
      <c r="BO212" s="620"/>
      <c r="BP212" s="620"/>
      <c r="BQ212" s="620"/>
      <c r="BR212" s="620"/>
      <c r="BS212" s="620"/>
    </row>
    <row r="213" spans="59:71" ht="11.45" customHeight="1" x14ac:dyDescent="0.2">
      <c r="BG213" s="620"/>
      <c r="BH213" s="620"/>
      <c r="BI213" s="620"/>
      <c r="BJ213" s="620"/>
      <c r="BK213" s="620"/>
      <c r="BL213" s="620"/>
      <c r="BM213" s="620"/>
      <c r="BN213" s="620"/>
      <c r="BO213" s="620"/>
      <c r="BP213" s="620"/>
      <c r="BQ213" s="620"/>
      <c r="BR213" s="620"/>
      <c r="BS213" s="620"/>
    </row>
    <row r="214" spans="59:71" ht="11.45" customHeight="1" x14ac:dyDescent="0.2">
      <c r="BG214" s="620"/>
      <c r="BH214" s="620"/>
      <c r="BI214" s="620"/>
      <c r="BJ214" s="620"/>
      <c r="BK214" s="620"/>
      <c r="BL214" s="620"/>
      <c r="BM214" s="620"/>
      <c r="BN214" s="620"/>
      <c r="BO214" s="620"/>
      <c r="BP214" s="620"/>
      <c r="BQ214" s="620"/>
      <c r="BR214" s="620"/>
      <c r="BS214" s="620"/>
    </row>
    <row r="215" spans="59:71" ht="11.45" customHeight="1" x14ac:dyDescent="0.2">
      <c r="BG215" s="620"/>
      <c r="BH215" s="620"/>
      <c r="BI215" s="620"/>
      <c r="BJ215" s="620"/>
      <c r="BK215" s="620"/>
      <c r="BL215" s="620"/>
      <c r="BM215" s="620"/>
      <c r="BN215" s="620"/>
      <c r="BO215" s="620"/>
      <c r="BP215" s="620"/>
      <c r="BQ215" s="620"/>
      <c r="BR215" s="620"/>
      <c r="BS215" s="620"/>
    </row>
    <row r="216" spans="59:71" ht="11.45" customHeight="1" x14ac:dyDescent="0.2">
      <c r="BG216" s="620"/>
      <c r="BH216" s="620"/>
      <c r="BI216" s="620"/>
      <c r="BJ216" s="620"/>
      <c r="BK216" s="620"/>
      <c r="BL216" s="620"/>
      <c r="BM216" s="620"/>
      <c r="BN216" s="620"/>
      <c r="BO216" s="620"/>
      <c r="BP216" s="620"/>
      <c r="BQ216" s="620"/>
      <c r="BR216" s="620"/>
      <c r="BS216" s="620"/>
    </row>
    <row r="217" spans="59:71" ht="11.45" customHeight="1" x14ac:dyDescent="0.2">
      <c r="BG217" s="620"/>
      <c r="BH217" s="620"/>
      <c r="BI217" s="620"/>
      <c r="BJ217" s="620"/>
      <c r="BK217" s="620"/>
      <c r="BL217" s="620"/>
      <c r="BM217" s="620"/>
      <c r="BN217" s="620"/>
      <c r="BO217" s="620"/>
      <c r="BP217" s="620"/>
      <c r="BQ217" s="620"/>
      <c r="BR217" s="620"/>
      <c r="BS217" s="620"/>
    </row>
    <row r="218" spans="59:71" ht="11.45" customHeight="1" x14ac:dyDescent="0.2">
      <c r="BG218" s="620"/>
      <c r="BH218" s="620"/>
      <c r="BI218" s="620"/>
      <c r="BJ218" s="620"/>
      <c r="BK218" s="620"/>
      <c r="BL218" s="620"/>
      <c r="BM218" s="620"/>
      <c r="BN218" s="620"/>
      <c r="BO218" s="620"/>
      <c r="BP218" s="620"/>
      <c r="BQ218" s="620"/>
      <c r="BR218" s="620"/>
      <c r="BS218" s="620"/>
    </row>
    <row r="219" spans="59:71" ht="11.45" customHeight="1" x14ac:dyDescent="0.2">
      <c r="BG219" s="620"/>
      <c r="BH219" s="620"/>
      <c r="BI219" s="620"/>
      <c r="BJ219" s="620"/>
      <c r="BK219" s="620"/>
      <c r="BL219" s="620"/>
      <c r="BM219" s="620"/>
      <c r="BN219" s="620"/>
      <c r="BO219" s="620"/>
      <c r="BP219" s="620"/>
      <c r="BQ219" s="620"/>
      <c r="BR219" s="620"/>
      <c r="BS219" s="620"/>
    </row>
    <row r="220" spans="59:71" ht="11.45" customHeight="1" x14ac:dyDescent="0.2">
      <c r="BG220" s="620"/>
      <c r="BH220" s="620"/>
      <c r="BI220" s="620"/>
      <c r="BJ220" s="620"/>
      <c r="BK220" s="620"/>
      <c r="BL220" s="620"/>
      <c r="BM220" s="620"/>
      <c r="BN220" s="620"/>
      <c r="BO220" s="620"/>
      <c r="BP220" s="620"/>
      <c r="BQ220" s="620"/>
      <c r="BR220" s="620"/>
      <c r="BS220" s="620"/>
    </row>
    <row r="221" spans="59:71" ht="11.45" customHeight="1" x14ac:dyDescent="0.2">
      <c r="BG221" s="620"/>
      <c r="BH221" s="620"/>
      <c r="BI221" s="620"/>
      <c r="BJ221" s="620"/>
      <c r="BK221" s="620"/>
      <c r="BL221" s="620"/>
      <c r="BM221" s="620"/>
      <c r="BN221" s="620"/>
      <c r="BO221" s="620"/>
      <c r="BP221" s="620"/>
      <c r="BQ221" s="620"/>
      <c r="BR221" s="620"/>
      <c r="BS221" s="620"/>
    </row>
    <row r="222" spans="59:71" ht="11.45" customHeight="1" x14ac:dyDescent="0.2">
      <c r="BG222" s="620"/>
      <c r="BH222" s="620"/>
      <c r="BI222" s="620"/>
      <c r="BJ222" s="620"/>
      <c r="BK222" s="620"/>
      <c r="BL222" s="620"/>
      <c r="BM222" s="620"/>
      <c r="BN222" s="620"/>
      <c r="BO222" s="620"/>
      <c r="BP222" s="620"/>
      <c r="BQ222" s="620"/>
      <c r="BR222" s="620"/>
      <c r="BS222" s="620"/>
    </row>
    <row r="223" spans="59:71" ht="11.45" customHeight="1" x14ac:dyDescent="0.2">
      <c r="BG223" s="620"/>
      <c r="BH223" s="620"/>
      <c r="BI223" s="620"/>
      <c r="BJ223" s="620"/>
      <c r="BK223" s="620"/>
      <c r="BL223" s="620"/>
      <c r="BM223" s="620"/>
      <c r="BN223" s="620"/>
      <c r="BO223" s="620"/>
      <c r="BP223" s="620"/>
      <c r="BQ223" s="620"/>
      <c r="BR223" s="620"/>
      <c r="BS223" s="620"/>
    </row>
    <row r="224" spans="59:71" ht="11.45" customHeight="1" x14ac:dyDescent="0.2">
      <c r="BG224" s="620"/>
      <c r="BH224" s="620"/>
      <c r="BI224" s="620"/>
      <c r="BJ224" s="620"/>
      <c r="BK224" s="620"/>
      <c r="BL224" s="620"/>
      <c r="BM224" s="620"/>
      <c r="BN224" s="620"/>
      <c r="BO224" s="620"/>
      <c r="BP224" s="620"/>
      <c r="BQ224" s="620"/>
      <c r="BR224" s="620"/>
      <c r="BS224" s="620"/>
    </row>
    <row r="225" spans="59:71" ht="11.45" customHeight="1" x14ac:dyDescent="0.2">
      <c r="BG225" s="620"/>
      <c r="BH225" s="620"/>
      <c r="BI225" s="620"/>
      <c r="BJ225" s="620"/>
      <c r="BK225" s="620"/>
      <c r="BL225" s="620"/>
      <c r="BM225" s="620"/>
      <c r="BN225" s="620"/>
      <c r="BO225" s="620"/>
      <c r="BP225" s="620"/>
      <c r="BQ225" s="620"/>
      <c r="BR225" s="620"/>
      <c r="BS225" s="620"/>
    </row>
    <row r="226" spans="59:71" ht="11.45" customHeight="1" x14ac:dyDescent="0.2">
      <c r="BG226" s="620"/>
      <c r="BH226" s="620"/>
      <c r="BI226" s="620"/>
      <c r="BJ226" s="620"/>
      <c r="BK226" s="620"/>
      <c r="BL226" s="620"/>
      <c r="BM226" s="620"/>
      <c r="BN226" s="620"/>
      <c r="BO226" s="620"/>
      <c r="BP226" s="620"/>
      <c r="BQ226" s="620"/>
      <c r="BR226" s="620"/>
      <c r="BS226" s="620"/>
    </row>
    <row r="227" spans="59:71" ht="11.45" customHeight="1" x14ac:dyDescent="0.2">
      <c r="BG227" s="620"/>
      <c r="BH227" s="620"/>
      <c r="BI227" s="620"/>
      <c r="BJ227" s="620"/>
      <c r="BK227" s="620"/>
      <c r="BL227" s="620"/>
      <c r="BM227" s="620"/>
      <c r="BN227" s="620"/>
      <c r="BO227" s="620"/>
      <c r="BP227" s="620"/>
      <c r="BQ227" s="620"/>
      <c r="BR227" s="620"/>
      <c r="BS227" s="620"/>
    </row>
    <row r="228" spans="59:71" ht="11.45" customHeight="1" x14ac:dyDescent="0.2">
      <c r="BG228" s="620"/>
      <c r="BH228" s="620"/>
      <c r="BI228" s="620"/>
      <c r="BJ228" s="620"/>
      <c r="BK228" s="620"/>
      <c r="BL228" s="620"/>
      <c r="BM228" s="620"/>
      <c r="BN228" s="620"/>
      <c r="BO228" s="620"/>
      <c r="BP228" s="620"/>
      <c r="BQ228" s="620"/>
      <c r="BR228" s="620"/>
      <c r="BS228" s="620"/>
    </row>
    <row r="229" spans="59:71" ht="11.45" customHeight="1" x14ac:dyDescent="0.2">
      <c r="BG229" s="620"/>
      <c r="BH229" s="620"/>
      <c r="BI229" s="620"/>
      <c r="BJ229" s="620"/>
      <c r="BK229" s="620"/>
      <c r="BL229" s="620"/>
      <c r="BM229" s="620"/>
      <c r="BN229" s="620"/>
      <c r="BO229" s="620"/>
      <c r="BP229" s="620"/>
      <c r="BQ229" s="620"/>
      <c r="BR229" s="620"/>
      <c r="BS229" s="620"/>
    </row>
    <row r="230" spans="59:71" ht="11.45" customHeight="1" x14ac:dyDescent="0.2">
      <c r="BG230" s="620"/>
      <c r="BH230" s="620"/>
      <c r="BI230" s="620"/>
      <c r="BJ230" s="620"/>
      <c r="BK230" s="620"/>
      <c r="BL230" s="620"/>
      <c r="BM230" s="620"/>
      <c r="BN230" s="620"/>
      <c r="BO230" s="620"/>
      <c r="BP230" s="620"/>
      <c r="BQ230" s="620"/>
      <c r="BR230" s="620"/>
      <c r="BS230" s="620"/>
    </row>
    <row r="231" spans="59:71" ht="11.45" customHeight="1" x14ac:dyDescent="0.2">
      <c r="BG231" s="620"/>
      <c r="BH231" s="620"/>
      <c r="BI231" s="620"/>
      <c r="BJ231" s="620"/>
      <c r="BK231" s="620"/>
      <c r="BL231" s="620"/>
      <c r="BM231" s="620"/>
      <c r="BN231" s="620"/>
      <c r="BO231" s="620"/>
      <c r="BP231" s="620"/>
      <c r="BQ231" s="620"/>
      <c r="BR231" s="620"/>
      <c r="BS231" s="620"/>
    </row>
    <row r="232" spans="59:71" ht="11.45" customHeight="1" x14ac:dyDescent="0.2">
      <c r="BG232" s="620"/>
      <c r="BH232" s="620"/>
      <c r="BI232" s="620"/>
      <c r="BJ232" s="620"/>
      <c r="BK232" s="620"/>
      <c r="BL232" s="620"/>
      <c r="BM232" s="620"/>
      <c r="BN232" s="620"/>
      <c r="BO232" s="620"/>
      <c r="BP232" s="620"/>
      <c r="BQ232" s="620"/>
      <c r="BR232" s="620"/>
      <c r="BS232" s="620"/>
    </row>
    <row r="233" spans="59:71" ht="11.45" customHeight="1" x14ac:dyDescent="0.2">
      <c r="BG233" s="620"/>
      <c r="BH233" s="620"/>
      <c r="BI233" s="620"/>
      <c r="BJ233" s="620"/>
      <c r="BK233" s="620"/>
      <c r="BL233" s="620"/>
      <c r="BM233" s="620"/>
      <c r="BN233" s="620"/>
      <c r="BO233" s="620"/>
      <c r="BP233" s="620"/>
      <c r="BQ233" s="620"/>
      <c r="BR233" s="620"/>
      <c r="BS233" s="620"/>
    </row>
    <row r="234" spans="59:71" ht="11.45" customHeight="1" x14ac:dyDescent="0.2">
      <c r="BG234" s="620"/>
      <c r="BH234" s="620"/>
      <c r="BI234" s="620"/>
      <c r="BJ234" s="620"/>
      <c r="BK234" s="620"/>
      <c r="BL234" s="620"/>
      <c r="BM234" s="620"/>
      <c r="BN234" s="620"/>
      <c r="BO234" s="620"/>
      <c r="BP234" s="620"/>
      <c r="BQ234" s="620"/>
      <c r="BR234" s="620"/>
      <c r="BS234" s="620"/>
    </row>
    <row r="235" spans="59:71" ht="11.45" customHeight="1" x14ac:dyDescent="0.2">
      <c r="BG235" s="620"/>
      <c r="BH235" s="620"/>
      <c r="BI235" s="620"/>
      <c r="BJ235" s="620"/>
      <c r="BK235" s="620"/>
      <c r="BL235" s="620"/>
      <c r="BM235" s="620"/>
      <c r="BN235" s="620"/>
      <c r="BO235" s="620"/>
      <c r="BP235" s="620"/>
      <c r="BQ235" s="620"/>
      <c r="BR235" s="620"/>
      <c r="BS235" s="620"/>
    </row>
    <row r="236" spans="59:71" ht="11.45" customHeight="1" x14ac:dyDescent="0.2">
      <c r="BG236" s="620"/>
      <c r="BH236" s="620"/>
      <c r="BI236" s="620"/>
      <c r="BJ236" s="620"/>
      <c r="BK236" s="620"/>
      <c r="BL236" s="620"/>
      <c r="BM236" s="620"/>
      <c r="BN236" s="620"/>
      <c r="BO236" s="620"/>
      <c r="BP236" s="620"/>
      <c r="BQ236" s="620"/>
      <c r="BR236" s="620"/>
      <c r="BS236" s="620"/>
    </row>
    <row r="237" spans="59:71" ht="11.45" customHeight="1" x14ac:dyDescent="0.2">
      <c r="BG237" s="620"/>
      <c r="BH237" s="620"/>
      <c r="BI237" s="620"/>
      <c r="BJ237" s="620"/>
      <c r="BK237" s="620"/>
      <c r="BL237" s="620"/>
      <c r="BM237" s="620"/>
      <c r="BN237" s="620"/>
      <c r="BO237" s="620"/>
      <c r="BP237" s="620"/>
      <c r="BQ237" s="620"/>
      <c r="BR237" s="620"/>
      <c r="BS237" s="620"/>
    </row>
    <row r="238" spans="59:71" ht="11.45" customHeight="1" x14ac:dyDescent="0.2">
      <c r="BG238" s="620"/>
      <c r="BH238" s="620"/>
      <c r="BI238" s="620"/>
      <c r="BJ238" s="620"/>
      <c r="BK238" s="620"/>
      <c r="BL238" s="620"/>
      <c r="BM238" s="620"/>
      <c r="BN238" s="620"/>
      <c r="BO238" s="620"/>
      <c r="BP238" s="620"/>
      <c r="BQ238" s="620"/>
      <c r="BR238" s="620"/>
      <c r="BS238" s="620"/>
    </row>
    <row r="239" spans="59:71" ht="11.45" customHeight="1" x14ac:dyDescent="0.2">
      <c r="BG239" s="620"/>
      <c r="BH239" s="620"/>
      <c r="BI239" s="620"/>
      <c r="BJ239" s="620"/>
      <c r="BK239" s="620"/>
      <c r="BL239" s="620"/>
      <c r="BM239" s="620"/>
      <c r="BN239" s="620"/>
      <c r="BO239" s="620"/>
      <c r="BP239" s="620"/>
      <c r="BQ239" s="620"/>
      <c r="BR239" s="620"/>
      <c r="BS239" s="620"/>
    </row>
    <row r="240" spans="59:71" ht="11.45" customHeight="1" x14ac:dyDescent="0.2">
      <c r="BG240" s="620"/>
      <c r="BH240" s="620"/>
      <c r="BI240" s="620"/>
      <c r="BJ240" s="620"/>
      <c r="BK240" s="620"/>
      <c r="BL240" s="620"/>
      <c r="BM240" s="620"/>
      <c r="BN240" s="620"/>
      <c r="BO240" s="620"/>
      <c r="BP240" s="620"/>
      <c r="BQ240" s="620"/>
      <c r="BR240" s="620"/>
      <c r="BS240" s="620"/>
    </row>
    <row r="241" spans="59:71" ht="11.45" customHeight="1" x14ac:dyDescent="0.2">
      <c r="BG241" s="620"/>
      <c r="BH241" s="620"/>
      <c r="BI241" s="620"/>
      <c r="BJ241" s="620"/>
      <c r="BK241" s="620"/>
      <c r="BL241" s="620"/>
      <c r="BM241" s="620"/>
      <c r="BN241" s="620"/>
      <c r="BO241" s="620"/>
      <c r="BP241" s="620"/>
      <c r="BQ241" s="620"/>
      <c r="BR241" s="620"/>
      <c r="BS241" s="620"/>
    </row>
    <row r="242" spans="59:71" ht="11.45" customHeight="1" x14ac:dyDescent="0.2">
      <c r="BG242" s="620"/>
      <c r="BH242" s="620"/>
      <c r="BI242" s="620"/>
      <c r="BJ242" s="620"/>
      <c r="BK242" s="620"/>
      <c r="BL242" s="620"/>
      <c r="BM242" s="620"/>
      <c r="BN242" s="620"/>
      <c r="BO242" s="620"/>
      <c r="BP242" s="620"/>
      <c r="BQ242" s="620"/>
      <c r="BR242" s="620"/>
      <c r="BS242" s="620"/>
    </row>
    <row r="243" spans="59:71" ht="11.45" customHeight="1" x14ac:dyDescent="0.2">
      <c r="BG243" s="620"/>
      <c r="BH243" s="620"/>
      <c r="BI243" s="620"/>
      <c r="BJ243" s="620"/>
      <c r="BK243" s="620"/>
      <c r="BL243" s="620"/>
      <c r="BM243" s="620"/>
      <c r="BN243" s="620"/>
      <c r="BO243" s="620"/>
      <c r="BP243" s="620"/>
      <c r="BQ243" s="620"/>
      <c r="BR243" s="620"/>
      <c r="BS243" s="620"/>
    </row>
    <row r="244" spans="59:71" ht="11.45" customHeight="1" x14ac:dyDescent="0.2">
      <c r="BG244" s="620"/>
      <c r="BH244" s="620"/>
      <c r="BI244" s="620"/>
      <c r="BJ244" s="620"/>
      <c r="BK244" s="620"/>
      <c r="BL244" s="620"/>
      <c r="BM244" s="620"/>
      <c r="BN244" s="620"/>
      <c r="BO244" s="620"/>
      <c r="BP244" s="620"/>
      <c r="BQ244" s="620"/>
      <c r="BR244" s="620"/>
      <c r="BS244" s="620"/>
    </row>
    <row r="245" spans="59:71" ht="11.45" customHeight="1" x14ac:dyDescent="0.2">
      <c r="BG245" s="620"/>
      <c r="BH245" s="620"/>
      <c r="BI245" s="620"/>
      <c r="BJ245" s="620"/>
      <c r="BK245" s="620"/>
      <c r="BL245" s="620"/>
      <c r="BM245" s="620"/>
      <c r="BN245" s="620"/>
      <c r="BO245" s="620"/>
      <c r="BP245" s="620"/>
      <c r="BQ245" s="620"/>
      <c r="BR245" s="620"/>
      <c r="BS245" s="620"/>
    </row>
    <row r="246" spans="59:71" ht="11.45" customHeight="1" x14ac:dyDescent="0.2">
      <c r="BG246" s="620"/>
      <c r="BH246" s="620"/>
      <c r="BI246" s="620"/>
      <c r="BJ246" s="620"/>
      <c r="BK246" s="620"/>
      <c r="BL246" s="620"/>
      <c r="BM246" s="620"/>
      <c r="BN246" s="620"/>
      <c r="BO246" s="620"/>
      <c r="BP246" s="620"/>
      <c r="BQ246" s="620"/>
      <c r="BR246" s="620"/>
      <c r="BS246" s="620"/>
    </row>
    <row r="247" spans="59:71" ht="11.45" customHeight="1" x14ac:dyDescent="0.2">
      <c r="BG247" s="620"/>
      <c r="BH247" s="620"/>
      <c r="BI247" s="620"/>
      <c r="BJ247" s="620"/>
      <c r="BK247" s="620"/>
      <c r="BL247" s="620"/>
      <c r="BM247" s="620"/>
      <c r="BN247" s="620"/>
      <c r="BO247" s="620"/>
      <c r="BP247" s="620"/>
      <c r="BQ247" s="620"/>
      <c r="BR247" s="620"/>
      <c r="BS247" s="620"/>
    </row>
    <row r="248" spans="59:71" ht="11.45" customHeight="1" x14ac:dyDescent="0.2">
      <c r="BG248" s="620"/>
      <c r="BH248" s="620"/>
      <c r="BI248" s="620"/>
      <c r="BJ248" s="620"/>
      <c r="BK248" s="620"/>
      <c r="BL248" s="620"/>
      <c r="BM248" s="620"/>
      <c r="BN248" s="620"/>
      <c r="BO248" s="620"/>
      <c r="BP248" s="620"/>
      <c r="BQ248" s="620"/>
      <c r="BR248" s="620"/>
      <c r="BS248" s="620"/>
    </row>
    <row r="249" spans="59:71" ht="11.45" customHeight="1" x14ac:dyDescent="0.2">
      <c r="BG249" s="620"/>
      <c r="BH249" s="620"/>
      <c r="BI249" s="620"/>
      <c r="BJ249" s="620"/>
      <c r="BK249" s="620"/>
      <c r="BL249" s="620"/>
      <c r="BM249" s="620"/>
      <c r="BN249" s="620"/>
      <c r="BO249" s="620"/>
      <c r="BP249" s="620"/>
      <c r="BQ249" s="620"/>
      <c r="BR249" s="620"/>
      <c r="BS249" s="620"/>
    </row>
    <row r="250" spans="59:71" ht="11.45" customHeight="1" x14ac:dyDescent="0.2">
      <c r="BG250" s="620"/>
      <c r="BH250" s="620"/>
      <c r="BI250" s="620"/>
      <c r="BJ250" s="620"/>
      <c r="BK250" s="620"/>
      <c r="BL250" s="620"/>
      <c r="BM250" s="620"/>
      <c r="BN250" s="620"/>
      <c r="BO250" s="620"/>
      <c r="BP250" s="620"/>
      <c r="BQ250" s="620"/>
      <c r="BR250" s="620"/>
      <c r="BS250" s="620"/>
    </row>
    <row r="251" spans="59:71" ht="11.45" customHeight="1" x14ac:dyDescent="0.2">
      <c r="BG251" s="620"/>
      <c r="BH251" s="620"/>
      <c r="BI251" s="620"/>
      <c r="BJ251" s="620"/>
      <c r="BK251" s="620"/>
      <c r="BL251" s="620"/>
      <c r="BM251" s="620"/>
      <c r="BN251" s="620"/>
      <c r="BO251" s="620"/>
      <c r="BP251" s="620"/>
      <c r="BQ251" s="620"/>
      <c r="BR251" s="620"/>
      <c r="BS251" s="620"/>
    </row>
    <row r="252" spans="59:71" ht="11.45" customHeight="1" x14ac:dyDescent="0.2">
      <c r="BG252" s="620"/>
      <c r="BH252" s="620"/>
      <c r="BI252" s="620"/>
      <c r="BJ252" s="620"/>
      <c r="BK252" s="620"/>
      <c r="BL252" s="620"/>
      <c r="BM252" s="620"/>
      <c r="BN252" s="620"/>
      <c r="BO252" s="620"/>
      <c r="BP252" s="620"/>
      <c r="BQ252" s="620"/>
      <c r="BR252" s="620"/>
      <c r="BS252" s="620"/>
    </row>
    <row r="253" spans="59:71" ht="11.45" customHeight="1" x14ac:dyDescent="0.2">
      <c r="BG253" s="620"/>
      <c r="BH253" s="620"/>
      <c r="BI253" s="620"/>
      <c r="BJ253" s="620"/>
      <c r="BK253" s="620"/>
      <c r="BL253" s="620"/>
      <c r="BM253" s="620"/>
      <c r="BN253" s="620"/>
      <c r="BO253" s="620"/>
      <c r="BP253" s="620"/>
      <c r="BQ253" s="620"/>
      <c r="BR253" s="620"/>
      <c r="BS253" s="620"/>
    </row>
    <row r="254" spans="59:71" ht="11.45" customHeight="1" x14ac:dyDescent="0.2">
      <c r="BG254" s="620"/>
      <c r="BH254" s="620"/>
      <c r="BI254" s="620"/>
      <c r="BJ254" s="620"/>
      <c r="BK254" s="620"/>
      <c r="BL254" s="620"/>
      <c r="BM254" s="620"/>
      <c r="BN254" s="620"/>
      <c r="BO254" s="620"/>
      <c r="BP254" s="620"/>
      <c r="BQ254" s="620"/>
      <c r="BR254" s="620"/>
      <c r="BS254" s="620"/>
    </row>
    <row r="255" spans="59:71" ht="11.45" customHeight="1" x14ac:dyDescent="0.2">
      <c r="BG255" s="620"/>
      <c r="BH255" s="620"/>
      <c r="BI255" s="620"/>
      <c r="BJ255" s="620"/>
      <c r="BK255" s="620"/>
      <c r="BL255" s="620"/>
      <c r="BM255" s="620"/>
      <c r="BN255" s="620"/>
      <c r="BO255" s="620"/>
      <c r="BP255" s="620"/>
      <c r="BQ255" s="620"/>
      <c r="BR255" s="620"/>
      <c r="BS255" s="620"/>
    </row>
    <row r="256" spans="59:71" ht="11.45" customHeight="1" x14ac:dyDescent="0.2">
      <c r="BG256" s="620"/>
      <c r="BH256" s="620"/>
      <c r="BI256" s="620"/>
      <c r="BJ256" s="620"/>
      <c r="BK256" s="620"/>
      <c r="BL256" s="620"/>
      <c r="BM256" s="620"/>
      <c r="BN256" s="620"/>
      <c r="BO256" s="620"/>
      <c r="BP256" s="620"/>
      <c r="BQ256" s="620"/>
      <c r="BR256" s="620"/>
      <c r="BS256" s="620"/>
    </row>
    <row r="257" spans="59:71" ht="11.45" customHeight="1" x14ac:dyDescent="0.2">
      <c r="BG257" s="620"/>
      <c r="BH257" s="620"/>
      <c r="BI257" s="620"/>
      <c r="BJ257" s="620"/>
      <c r="BK257" s="620"/>
      <c r="BL257" s="620"/>
      <c r="BM257" s="620"/>
      <c r="BN257" s="620"/>
      <c r="BO257" s="620"/>
      <c r="BP257" s="620"/>
      <c r="BQ257" s="620"/>
      <c r="BR257" s="620"/>
      <c r="BS257" s="620"/>
    </row>
    <row r="258" spans="59:71" ht="11.45" customHeight="1" x14ac:dyDescent="0.2">
      <c r="BG258" s="620"/>
      <c r="BH258" s="620"/>
      <c r="BI258" s="620"/>
      <c r="BJ258" s="620"/>
      <c r="BK258" s="620"/>
      <c r="BL258" s="620"/>
      <c r="BM258" s="620"/>
      <c r="BN258" s="620"/>
      <c r="BO258" s="620"/>
      <c r="BP258" s="620"/>
      <c r="BQ258" s="620"/>
      <c r="BR258" s="620"/>
      <c r="BS258" s="620"/>
    </row>
    <row r="259" spans="59:71" ht="11.45" customHeight="1" x14ac:dyDescent="0.2">
      <c r="BG259" s="620"/>
      <c r="BH259" s="620"/>
      <c r="BI259" s="620"/>
      <c r="BJ259" s="620"/>
      <c r="BK259" s="620"/>
      <c r="BL259" s="620"/>
      <c r="BM259" s="620"/>
      <c r="BN259" s="620"/>
      <c r="BO259" s="620"/>
      <c r="BP259" s="620"/>
      <c r="BQ259" s="620"/>
      <c r="BR259" s="620"/>
      <c r="BS259" s="620"/>
    </row>
    <row r="260" spans="59:71" ht="11.45" customHeight="1" x14ac:dyDescent="0.2">
      <c r="BG260" s="620"/>
      <c r="BH260" s="620"/>
      <c r="BI260" s="620"/>
      <c r="BJ260" s="620"/>
      <c r="BK260" s="620"/>
      <c r="BL260" s="620"/>
      <c r="BM260" s="620"/>
      <c r="BN260" s="620"/>
      <c r="BO260" s="620"/>
      <c r="BP260" s="620"/>
      <c r="BQ260" s="620"/>
      <c r="BR260" s="620"/>
      <c r="BS260" s="620"/>
    </row>
    <row r="261" spans="59:71" ht="11.45" customHeight="1" x14ac:dyDescent="0.2">
      <c r="BG261" s="620"/>
      <c r="BH261" s="620"/>
      <c r="BI261" s="620"/>
      <c r="BJ261" s="620"/>
      <c r="BK261" s="620"/>
      <c r="BL261" s="620"/>
      <c r="BM261" s="620"/>
      <c r="BN261" s="620"/>
      <c r="BO261" s="620"/>
      <c r="BP261" s="620"/>
      <c r="BQ261" s="620"/>
      <c r="BR261" s="620"/>
      <c r="BS261" s="620"/>
    </row>
    <row r="262" spans="59:71" ht="11.45" customHeight="1" x14ac:dyDescent="0.2">
      <c r="BG262" s="620"/>
      <c r="BH262" s="620"/>
      <c r="BI262" s="620"/>
      <c r="BJ262" s="620"/>
      <c r="BK262" s="620"/>
      <c r="BL262" s="620"/>
      <c r="BM262" s="620"/>
      <c r="BN262" s="620"/>
      <c r="BO262" s="620"/>
      <c r="BP262" s="620"/>
      <c r="BQ262" s="620"/>
      <c r="BR262" s="620"/>
      <c r="BS262" s="620"/>
    </row>
    <row r="263" spans="59:71" ht="11.45" customHeight="1" x14ac:dyDescent="0.2">
      <c r="BG263" s="620"/>
      <c r="BH263" s="620"/>
      <c r="BI263" s="620"/>
      <c r="BJ263" s="620"/>
      <c r="BK263" s="620"/>
      <c r="BL263" s="620"/>
      <c r="BM263" s="620"/>
      <c r="BN263" s="620"/>
      <c r="BO263" s="620"/>
      <c r="BP263" s="620"/>
      <c r="BQ263" s="620"/>
      <c r="BR263" s="620"/>
      <c r="BS263" s="620"/>
    </row>
    <row r="264" spans="59:71" ht="11.45" customHeight="1" x14ac:dyDescent="0.2">
      <c r="BG264" s="620"/>
      <c r="BH264" s="620"/>
      <c r="BI264" s="620"/>
      <c r="BJ264" s="620"/>
      <c r="BK264" s="620"/>
      <c r="BL264" s="620"/>
      <c r="BM264" s="620"/>
      <c r="BN264" s="620"/>
      <c r="BO264" s="620"/>
      <c r="BP264" s="620"/>
      <c r="BQ264" s="620"/>
      <c r="BR264" s="620"/>
      <c r="BS264" s="620"/>
    </row>
    <row r="265" spans="59:71" ht="11.45" customHeight="1" x14ac:dyDescent="0.2">
      <c r="BG265" s="620"/>
      <c r="BH265" s="620"/>
      <c r="BI265" s="620"/>
      <c r="BJ265" s="620"/>
      <c r="BK265" s="620"/>
      <c r="BL265" s="620"/>
      <c r="BM265" s="620"/>
      <c r="BN265" s="620"/>
      <c r="BO265" s="620"/>
      <c r="BP265" s="620"/>
      <c r="BQ265" s="620"/>
      <c r="BR265" s="620"/>
      <c r="BS265" s="620"/>
    </row>
    <row r="266" spans="59:71" ht="11.45" customHeight="1" x14ac:dyDescent="0.2">
      <c r="BG266" s="620"/>
      <c r="BH266" s="620"/>
      <c r="BI266" s="620"/>
      <c r="BJ266" s="620"/>
      <c r="BK266" s="620"/>
      <c r="BL266" s="620"/>
      <c r="BM266" s="620"/>
      <c r="BN266" s="620"/>
      <c r="BO266" s="620"/>
      <c r="BP266" s="620"/>
      <c r="BQ266" s="620"/>
      <c r="BR266" s="620"/>
      <c r="BS266" s="620"/>
    </row>
    <row r="267" spans="59:71" ht="11.45" customHeight="1" x14ac:dyDescent="0.2">
      <c r="BG267" s="620"/>
      <c r="BH267" s="620"/>
      <c r="BI267" s="620"/>
      <c r="BJ267" s="620"/>
      <c r="BK267" s="620"/>
      <c r="BL267" s="620"/>
      <c r="BM267" s="620"/>
      <c r="BN267" s="620"/>
      <c r="BO267" s="620"/>
      <c r="BP267" s="620"/>
      <c r="BQ267" s="620"/>
      <c r="BR267" s="620"/>
      <c r="BS267" s="620"/>
    </row>
    <row r="268" spans="59:71" ht="11.45" customHeight="1" x14ac:dyDescent="0.2">
      <c r="BG268" s="620"/>
      <c r="BH268" s="620"/>
      <c r="BI268" s="620"/>
      <c r="BJ268" s="620"/>
      <c r="BK268" s="620"/>
      <c r="BL268" s="620"/>
      <c r="BM268" s="620"/>
      <c r="BN268" s="620"/>
      <c r="BO268" s="620"/>
      <c r="BP268" s="620"/>
      <c r="BQ268" s="620"/>
      <c r="BR268" s="620"/>
      <c r="BS268" s="620"/>
    </row>
    <row r="269" spans="59:71" ht="11.45" customHeight="1" x14ac:dyDescent="0.2">
      <c r="BG269" s="620"/>
      <c r="BH269" s="620"/>
      <c r="BI269" s="620"/>
      <c r="BJ269" s="620"/>
      <c r="BK269" s="620"/>
      <c r="BL269" s="620"/>
      <c r="BM269" s="620"/>
      <c r="BN269" s="620"/>
      <c r="BO269" s="620"/>
      <c r="BP269" s="620"/>
      <c r="BQ269" s="620"/>
      <c r="BR269" s="620"/>
      <c r="BS269" s="620"/>
    </row>
    <row r="270" spans="59:71" ht="11.45" customHeight="1" x14ac:dyDescent="0.2">
      <c r="BG270" s="620"/>
      <c r="BH270" s="620"/>
      <c r="BI270" s="620"/>
      <c r="BJ270" s="620"/>
      <c r="BK270" s="620"/>
      <c r="BL270" s="620"/>
      <c r="BM270" s="620"/>
      <c r="BN270" s="620"/>
      <c r="BO270" s="620"/>
      <c r="BP270" s="620"/>
      <c r="BQ270" s="620"/>
      <c r="BR270" s="620"/>
      <c r="BS270" s="620"/>
    </row>
    <row r="271" spans="59:71" ht="11.45" customHeight="1" x14ac:dyDescent="0.2">
      <c r="BG271" s="620"/>
      <c r="BH271" s="620"/>
      <c r="BI271" s="620"/>
      <c r="BJ271" s="620"/>
      <c r="BK271" s="620"/>
      <c r="BL271" s="620"/>
      <c r="BM271" s="620"/>
      <c r="BN271" s="620"/>
      <c r="BO271" s="620"/>
      <c r="BP271" s="620"/>
      <c r="BQ271" s="620"/>
      <c r="BR271" s="620"/>
      <c r="BS271" s="620"/>
    </row>
    <row r="272" spans="59:71" ht="11.45" customHeight="1" x14ac:dyDescent="0.2">
      <c r="BG272" s="620"/>
      <c r="BH272" s="620"/>
      <c r="BI272" s="620"/>
      <c r="BJ272" s="620"/>
      <c r="BK272" s="620"/>
      <c r="BL272" s="620"/>
      <c r="BM272" s="620"/>
      <c r="BN272" s="620"/>
      <c r="BO272" s="620"/>
      <c r="BP272" s="620"/>
      <c r="BQ272" s="620"/>
      <c r="BR272" s="620"/>
      <c r="BS272" s="620"/>
    </row>
    <row r="273" spans="59:71" ht="11.45" customHeight="1" x14ac:dyDescent="0.2">
      <c r="BG273" s="620"/>
      <c r="BH273" s="620"/>
      <c r="BI273" s="620"/>
      <c r="BJ273" s="620"/>
      <c r="BK273" s="620"/>
      <c r="BL273" s="620"/>
      <c r="BM273" s="620"/>
      <c r="BN273" s="620"/>
      <c r="BO273" s="620"/>
      <c r="BP273" s="620"/>
      <c r="BQ273" s="620"/>
      <c r="BR273" s="620"/>
      <c r="BS273" s="620"/>
    </row>
    <row r="274" spans="59:71" ht="11.45" customHeight="1" x14ac:dyDescent="0.2">
      <c r="BG274" s="620"/>
      <c r="BH274" s="620"/>
      <c r="BI274" s="620"/>
      <c r="BJ274" s="620"/>
      <c r="BK274" s="620"/>
      <c r="BL274" s="620"/>
      <c r="BM274" s="620"/>
      <c r="BN274" s="620"/>
      <c r="BO274" s="620"/>
      <c r="BP274" s="620"/>
      <c r="BQ274" s="620"/>
      <c r="BR274" s="620"/>
      <c r="BS274" s="620"/>
    </row>
    <row r="275" spans="59:71" ht="11.45" customHeight="1" x14ac:dyDescent="0.2">
      <c r="BG275" s="620"/>
      <c r="BH275" s="620"/>
      <c r="BI275" s="620"/>
      <c r="BJ275" s="620"/>
      <c r="BK275" s="620"/>
      <c r="BL275" s="620"/>
      <c r="BM275" s="620"/>
      <c r="BN275" s="620"/>
      <c r="BO275" s="620"/>
      <c r="BP275" s="620"/>
      <c r="BQ275" s="620"/>
      <c r="BR275" s="620"/>
      <c r="BS275" s="620"/>
    </row>
    <row r="276" spans="59:71" ht="11.45" customHeight="1" x14ac:dyDescent="0.2">
      <c r="BG276" s="620"/>
      <c r="BH276" s="620"/>
      <c r="BI276" s="620"/>
      <c r="BJ276" s="620"/>
      <c r="BK276" s="620"/>
      <c r="BL276" s="620"/>
      <c r="BM276" s="620"/>
      <c r="BN276" s="620"/>
      <c r="BO276" s="620"/>
      <c r="BP276" s="620"/>
      <c r="BQ276" s="620"/>
      <c r="BR276" s="620"/>
      <c r="BS276" s="620"/>
    </row>
    <row r="277" spans="59:71" ht="11.45" customHeight="1" x14ac:dyDescent="0.2">
      <c r="BG277" s="620"/>
      <c r="BH277" s="620"/>
      <c r="BI277" s="620"/>
      <c r="BJ277" s="620"/>
      <c r="BK277" s="620"/>
      <c r="BL277" s="620"/>
      <c r="BM277" s="620"/>
      <c r="BN277" s="620"/>
      <c r="BO277" s="620"/>
      <c r="BP277" s="620"/>
      <c r="BQ277" s="620"/>
      <c r="BR277" s="620"/>
      <c r="BS277" s="620"/>
    </row>
    <row r="278" spans="59:71" ht="11.45" customHeight="1" x14ac:dyDescent="0.2">
      <c r="BG278" s="620"/>
      <c r="BH278" s="620"/>
      <c r="BI278" s="620"/>
      <c r="BJ278" s="620"/>
      <c r="BK278" s="620"/>
      <c r="BL278" s="620"/>
      <c r="BM278" s="620"/>
      <c r="BN278" s="620"/>
      <c r="BO278" s="620"/>
      <c r="BP278" s="620"/>
      <c r="BQ278" s="620"/>
      <c r="BR278" s="620"/>
      <c r="BS278" s="620"/>
    </row>
    <row r="279" spans="59:71" ht="11.45" customHeight="1" x14ac:dyDescent="0.2">
      <c r="BG279" s="620"/>
      <c r="BH279" s="620"/>
      <c r="BI279" s="620"/>
      <c r="BJ279" s="620"/>
      <c r="BK279" s="620"/>
      <c r="BL279" s="620"/>
      <c r="BM279" s="620"/>
      <c r="BN279" s="620"/>
      <c r="BO279" s="620"/>
      <c r="BP279" s="620"/>
      <c r="BQ279" s="620"/>
      <c r="BR279" s="620"/>
      <c r="BS279" s="620"/>
    </row>
    <row r="280" spans="59:71" ht="11.45" customHeight="1" x14ac:dyDescent="0.2">
      <c r="BG280" s="620"/>
      <c r="BH280" s="620"/>
      <c r="BI280" s="620"/>
      <c r="BJ280" s="620"/>
      <c r="BK280" s="620"/>
      <c r="BL280" s="620"/>
      <c r="BM280" s="620"/>
      <c r="BN280" s="620"/>
      <c r="BO280" s="620"/>
      <c r="BP280" s="620"/>
      <c r="BQ280" s="620"/>
      <c r="BR280" s="620"/>
      <c r="BS280" s="620"/>
    </row>
    <row r="281" spans="59:71" ht="11.45" customHeight="1" x14ac:dyDescent="0.2">
      <c r="BG281" s="620"/>
      <c r="BH281" s="620"/>
      <c r="BI281" s="620"/>
      <c r="BJ281" s="620"/>
      <c r="BK281" s="620"/>
      <c r="BL281" s="620"/>
      <c r="BM281" s="620"/>
      <c r="BN281" s="620"/>
      <c r="BO281" s="620"/>
      <c r="BP281" s="620"/>
      <c r="BQ281" s="620"/>
      <c r="BR281" s="620"/>
      <c r="BS281" s="620"/>
    </row>
    <row r="282" spans="59:71" ht="11.45" customHeight="1" x14ac:dyDescent="0.2">
      <c r="BG282" s="620"/>
      <c r="BH282" s="620"/>
      <c r="BI282" s="620"/>
      <c r="BJ282" s="620"/>
      <c r="BK282" s="620"/>
      <c r="BL282" s="620"/>
      <c r="BM282" s="620"/>
      <c r="BN282" s="620"/>
      <c r="BO282" s="620"/>
      <c r="BP282" s="620"/>
      <c r="BQ282" s="620"/>
      <c r="BR282" s="620"/>
      <c r="BS282" s="620"/>
    </row>
    <row r="283" spans="59:71" ht="11.45" customHeight="1" x14ac:dyDescent="0.2">
      <c r="BG283" s="620"/>
      <c r="BH283" s="620"/>
      <c r="BI283" s="620"/>
      <c r="BJ283" s="620"/>
      <c r="BK283" s="620"/>
      <c r="BL283" s="620"/>
      <c r="BM283" s="620"/>
      <c r="BN283" s="620"/>
      <c r="BO283" s="620"/>
      <c r="BP283" s="620"/>
      <c r="BQ283" s="620"/>
      <c r="BR283" s="620"/>
      <c r="BS283" s="620"/>
    </row>
    <row r="284" spans="59:71" ht="11.45" customHeight="1" x14ac:dyDescent="0.2">
      <c r="BG284" s="620"/>
      <c r="BH284" s="620"/>
      <c r="BI284" s="620"/>
      <c r="BJ284" s="620"/>
      <c r="BK284" s="620"/>
      <c r="BL284" s="620"/>
      <c r="BM284" s="620"/>
      <c r="BN284" s="620"/>
      <c r="BO284" s="620"/>
      <c r="BP284" s="620"/>
      <c r="BQ284" s="620"/>
      <c r="BR284" s="620"/>
      <c r="BS284" s="620"/>
    </row>
    <row r="285" spans="59:71" ht="11.45" customHeight="1" x14ac:dyDescent="0.2">
      <c r="BG285" s="620"/>
      <c r="BH285" s="620"/>
      <c r="BI285" s="620"/>
      <c r="BJ285" s="620"/>
      <c r="BK285" s="620"/>
      <c r="BL285" s="620"/>
      <c r="BM285" s="620"/>
      <c r="BN285" s="620"/>
      <c r="BO285" s="620"/>
      <c r="BP285" s="620"/>
      <c r="BQ285" s="620"/>
      <c r="BR285" s="620"/>
      <c r="BS285" s="620"/>
    </row>
    <row r="286" spans="59:71" ht="11.45" customHeight="1" x14ac:dyDescent="0.2">
      <c r="BG286" s="620"/>
      <c r="BH286" s="620"/>
      <c r="BI286" s="620"/>
      <c r="BJ286" s="620"/>
      <c r="BK286" s="620"/>
      <c r="BL286" s="620"/>
      <c r="BM286" s="620"/>
      <c r="BN286" s="620"/>
      <c r="BO286" s="620"/>
      <c r="BP286" s="620"/>
      <c r="BQ286" s="620"/>
      <c r="BR286" s="620"/>
      <c r="BS286" s="620"/>
    </row>
    <row r="287" spans="59:71" ht="11.45" customHeight="1" x14ac:dyDescent="0.2">
      <c r="BG287" s="620"/>
      <c r="BH287" s="620"/>
      <c r="BI287" s="620"/>
      <c r="BJ287" s="620"/>
      <c r="BK287" s="620"/>
      <c r="BL287" s="620"/>
      <c r="BM287" s="620"/>
      <c r="BN287" s="620"/>
      <c r="BO287" s="620"/>
      <c r="BP287" s="620"/>
      <c r="BQ287" s="620"/>
      <c r="BR287" s="620"/>
      <c r="BS287" s="620"/>
    </row>
    <row r="288" spans="59:71" ht="11.45" customHeight="1" x14ac:dyDescent="0.2">
      <c r="BG288" s="620"/>
      <c r="BH288" s="620"/>
      <c r="BI288" s="620"/>
      <c r="BJ288" s="620"/>
      <c r="BK288" s="620"/>
      <c r="BL288" s="620"/>
      <c r="BM288" s="620"/>
      <c r="BN288" s="620"/>
      <c r="BO288" s="620"/>
      <c r="BP288" s="620"/>
      <c r="BQ288" s="620"/>
      <c r="BR288" s="620"/>
      <c r="BS288" s="620"/>
    </row>
    <row r="289" spans="59:71" ht="11.45" customHeight="1" x14ac:dyDescent="0.2">
      <c r="BG289" s="620"/>
      <c r="BH289" s="620"/>
      <c r="BI289" s="620"/>
      <c r="BJ289" s="620"/>
      <c r="BK289" s="620"/>
      <c r="BL289" s="620"/>
      <c r="BM289" s="620"/>
      <c r="BN289" s="620"/>
      <c r="BO289" s="620"/>
      <c r="BP289" s="620"/>
      <c r="BQ289" s="620"/>
      <c r="BR289" s="620"/>
      <c r="BS289" s="620"/>
    </row>
    <row r="290" spans="59:71" ht="11.45" customHeight="1" x14ac:dyDescent="0.2">
      <c r="BG290" s="620"/>
      <c r="BH290" s="620"/>
      <c r="BI290" s="620"/>
      <c r="BJ290" s="620"/>
      <c r="BK290" s="620"/>
      <c r="BL290" s="620"/>
      <c r="BM290" s="620"/>
      <c r="BN290" s="620"/>
      <c r="BO290" s="620"/>
      <c r="BP290" s="620"/>
      <c r="BQ290" s="620"/>
      <c r="BR290" s="620"/>
      <c r="BS290" s="620"/>
    </row>
    <row r="291" spans="59:71" ht="11.45" customHeight="1" x14ac:dyDescent="0.2">
      <c r="BG291" s="620"/>
      <c r="BH291" s="620"/>
      <c r="BI291" s="620"/>
      <c r="BJ291" s="620"/>
      <c r="BK291" s="620"/>
      <c r="BL291" s="620"/>
      <c r="BM291" s="620"/>
      <c r="BN291" s="620"/>
      <c r="BO291" s="620"/>
      <c r="BP291" s="620"/>
      <c r="BQ291" s="620"/>
      <c r="BR291" s="620"/>
      <c r="BS291" s="620"/>
    </row>
    <row r="292" spans="59:71" ht="11.45" customHeight="1" x14ac:dyDescent="0.2">
      <c r="BG292" s="620"/>
      <c r="BH292" s="620"/>
      <c r="BI292" s="620"/>
      <c r="BJ292" s="620"/>
      <c r="BK292" s="620"/>
      <c r="BL292" s="620"/>
      <c r="BM292" s="620"/>
      <c r="BN292" s="620"/>
      <c r="BO292" s="620"/>
      <c r="BP292" s="620"/>
      <c r="BQ292" s="620"/>
      <c r="BR292" s="620"/>
      <c r="BS292" s="620"/>
    </row>
    <row r="293" spans="59:71" ht="11.45" customHeight="1" x14ac:dyDescent="0.2">
      <c r="BG293" s="620"/>
      <c r="BH293" s="620"/>
      <c r="BI293" s="620"/>
      <c r="BJ293" s="620"/>
      <c r="BK293" s="620"/>
      <c r="BL293" s="620"/>
      <c r="BM293" s="620"/>
      <c r="BN293" s="620"/>
      <c r="BO293" s="620"/>
      <c r="BP293" s="620"/>
      <c r="BQ293" s="620"/>
      <c r="BR293" s="620"/>
      <c r="BS293" s="620"/>
    </row>
    <row r="294" spans="59:71" ht="11.45" customHeight="1" x14ac:dyDescent="0.2">
      <c r="BG294" s="620"/>
      <c r="BH294" s="620"/>
      <c r="BI294" s="620"/>
      <c r="BJ294" s="620"/>
      <c r="BK294" s="620"/>
      <c r="BL294" s="620"/>
      <c r="BM294" s="620"/>
      <c r="BN294" s="620"/>
      <c r="BO294" s="620"/>
      <c r="BP294" s="620"/>
      <c r="BQ294" s="620"/>
      <c r="BR294" s="620"/>
      <c r="BS294" s="620"/>
    </row>
    <row r="295" spans="59:71" ht="11.45" customHeight="1" x14ac:dyDescent="0.2">
      <c r="BG295" s="620"/>
      <c r="BH295" s="620"/>
      <c r="BI295" s="620"/>
      <c r="BJ295" s="620"/>
      <c r="BK295" s="620"/>
      <c r="BL295" s="620"/>
      <c r="BM295" s="620"/>
      <c r="BN295" s="620"/>
      <c r="BO295" s="620"/>
      <c r="BP295" s="620"/>
      <c r="BQ295" s="620"/>
      <c r="BR295" s="620"/>
      <c r="BS295" s="620"/>
    </row>
    <row r="296" spans="59:71" ht="11.45" customHeight="1" x14ac:dyDescent="0.2">
      <c r="BG296" s="620"/>
      <c r="BH296" s="620"/>
      <c r="BI296" s="620"/>
      <c r="BJ296" s="620"/>
      <c r="BK296" s="620"/>
      <c r="BL296" s="620"/>
      <c r="BM296" s="620"/>
      <c r="BN296" s="620"/>
      <c r="BO296" s="620"/>
      <c r="BP296" s="620"/>
      <c r="BQ296" s="620"/>
      <c r="BR296" s="620"/>
      <c r="BS296" s="620"/>
    </row>
    <row r="297" spans="59:71" ht="11.45" customHeight="1" x14ac:dyDescent="0.2">
      <c r="BG297" s="620"/>
      <c r="BH297" s="620"/>
      <c r="BI297" s="620"/>
      <c r="BJ297" s="620"/>
      <c r="BK297" s="620"/>
      <c r="BL297" s="620"/>
      <c r="BM297" s="620"/>
      <c r="BN297" s="620"/>
      <c r="BO297" s="620"/>
      <c r="BP297" s="620"/>
      <c r="BQ297" s="620"/>
      <c r="BR297" s="620"/>
      <c r="BS297" s="620"/>
    </row>
    <row r="298" spans="59:71" ht="11.45" customHeight="1" x14ac:dyDescent="0.2">
      <c r="BG298" s="620"/>
      <c r="BH298" s="620"/>
      <c r="BI298" s="620"/>
      <c r="BJ298" s="620"/>
      <c r="BK298" s="620"/>
      <c r="BL298" s="620"/>
      <c r="BM298" s="620"/>
      <c r="BN298" s="620"/>
      <c r="BO298" s="620"/>
      <c r="BP298" s="620"/>
      <c r="BQ298" s="620"/>
      <c r="BR298" s="620"/>
      <c r="BS298" s="620"/>
    </row>
    <row r="299" spans="59:71" ht="11.45" customHeight="1" x14ac:dyDescent="0.2">
      <c r="BG299" s="620"/>
      <c r="BH299" s="620"/>
      <c r="BI299" s="620"/>
      <c r="BJ299" s="620"/>
      <c r="BK299" s="620"/>
      <c r="BL299" s="620"/>
      <c r="BM299" s="620"/>
      <c r="BN299" s="620"/>
      <c r="BO299" s="620"/>
      <c r="BP299" s="620"/>
      <c r="BQ299" s="620"/>
      <c r="BR299" s="620"/>
      <c r="BS299" s="620"/>
    </row>
    <row r="300" spans="59:71" ht="11.45" customHeight="1" x14ac:dyDescent="0.2">
      <c r="BG300" s="620"/>
      <c r="BH300" s="620"/>
      <c r="BI300" s="620"/>
      <c r="BJ300" s="620"/>
      <c r="BK300" s="620"/>
      <c r="BL300" s="620"/>
      <c r="BM300" s="620"/>
      <c r="BN300" s="620"/>
      <c r="BO300" s="620"/>
      <c r="BP300" s="620"/>
      <c r="BQ300" s="620"/>
      <c r="BR300" s="620"/>
      <c r="BS300" s="620"/>
    </row>
    <row r="301" spans="59:71" ht="11.45" customHeight="1" x14ac:dyDescent="0.2">
      <c r="BG301" s="620"/>
      <c r="BH301" s="620"/>
      <c r="BI301" s="620"/>
      <c r="BJ301" s="620"/>
      <c r="BK301" s="620"/>
      <c r="BL301" s="620"/>
      <c r="BM301" s="620"/>
      <c r="BN301" s="620"/>
      <c r="BO301" s="620"/>
      <c r="BP301" s="620"/>
      <c r="BQ301" s="620"/>
      <c r="BR301" s="620"/>
      <c r="BS301" s="620"/>
    </row>
    <row r="302" spans="59:71" ht="11.45" customHeight="1" x14ac:dyDescent="0.2">
      <c r="BG302" s="620"/>
      <c r="BH302" s="620"/>
      <c r="BI302" s="620"/>
      <c r="BJ302" s="620"/>
      <c r="BK302" s="620"/>
      <c r="BL302" s="620"/>
      <c r="BM302" s="620"/>
      <c r="BN302" s="620"/>
      <c r="BO302" s="620"/>
      <c r="BP302" s="620"/>
      <c r="BQ302" s="620"/>
      <c r="BR302" s="620"/>
      <c r="BS302" s="620"/>
    </row>
    <row r="303" spans="59:71" ht="11.45" customHeight="1" x14ac:dyDescent="0.2">
      <c r="BG303" s="620"/>
      <c r="BH303" s="620"/>
      <c r="BI303" s="620"/>
      <c r="BJ303" s="620"/>
      <c r="BK303" s="620"/>
      <c r="BL303" s="620"/>
      <c r="BM303" s="620"/>
      <c r="BN303" s="620"/>
      <c r="BO303" s="620"/>
      <c r="BP303" s="620"/>
      <c r="BQ303" s="620"/>
      <c r="BR303" s="620"/>
      <c r="BS303" s="620"/>
    </row>
    <row r="304" spans="59:71" ht="11.45" customHeight="1" x14ac:dyDescent="0.2">
      <c r="BG304" s="620"/>
      <c r="BH304" s="620"/>
      <c r="BI304" s="620"/>
      <c r="BJ304" s="620"/>
      <c r="BK304" s="620"/>
      <c r="BL304" s="620"/>
      <c r="BM304" s="620"/>
      <c r="BN304" s="620"/>
      <c r="BO304" s="620"/>
      <c r="BP304" s="620"/>
      <c r="BQ304" s="620"/>
      <c r="BR304" s="620"/>
      <c r="BS304" s="620"/>
    </row>
    <row r="305" spans="59:71" ht="11.45" customHeight="1" x14ac:dyDescent="0.2">
      <c r="BG305" s="620"/>
      <c r="BH305" s="620"/>
      <c r="BI305" s="620"/>
      <c r="BJ305" s="620"/>
      <c r="BK305" s="620"/>
      <c r="BL305" s="620"/>
      <c r="BM305" s="620"/>
      <c r="BN305" s="620"/>
      <c r="BO305" s="620"/>
      <c r="BP305" s="620"/>
      <c r="BQ305" s="620"/>
      <c r="BR305" s="620"/>
      <c r="BS305" s="620"/>
    </row>
    <row r="306" spans="59:71" ht="11.45" customHeight="1" x14ac:dyDescent="0.2">
      <c r="BG306" s="620"/>
      <c r="BH306" s="620"/>
      <c r="BI306" s="620"/>
      <c r="BJ306" s="620"/>
      <c r="BK306" s="620"/>
      <c r="BL306" s="620"/>
      <c r="BM306" s="620"/>
      <c r="BN306" s="620"/>
      <c r="BO306" s="620"/>
      <c r="BP306" s="620"/>
      <c r="BQ306" s="620"/>
      <c r="BR306" s="620"/>
      <c r="BS306" s="620"/>
    </row>
    <row r="307" spans="59:71" ht="11.45" customHeight="1" x14ac:dyDescent="0.2">
      <c r="BG307" s="620"/>
      <c r="BH307" s="620"/>
      <c r="BI307" s="620"/>
      <c r="BJ307" s="620"/>
      <c r="BK307" s="620"/>
      <c r="BL307" s="620"/>
      <c r="BM307" s="620"/>
      <c r="BN307" s="620"/>
      <c r="BO307" s="620"/>
      <c r="BP307" s="620"/>
      <c r="BQ307" s="620"/>
      <c r="BR307" s="620"/>
      <c r="BS307" s="620"/>
    </row>
    <row r="308" spans="59:71" ht="11.45" customHeight="1" x14ac:dyDescent="0.2">
      <c r="BG308" s="620"/>
      <c r="BH308" s="620"/>
      <c r="BI308" s="620"/>
      <c r="BJ308" s="620"/>
      <c r="BK308" s="620"/>
      <c r="BL308" s="620"/>
      <c r="BM308" s="620"/>
      <c r="BN308" s="620"/>
      <c r="BO308" s="620"/>
      <c r="BP308" s="620"/>
      <c r="BQ308" s="620"/>
      <c r="BR308" s="620"/>
      <c r="BS308" s="620"/>
    </row>
    <row r="309" spans="59:71" ht="11.45" customHeight="1" x14ac:dyDescent="0.2">
      <c r="BG309" s="620"/>
      <c r="BH309" s="620"/>
      <c r="BI309" s="620"/>
      <c r="BJ309" s="620"/>
      <c r="BK309" s="620"/>
      <c r="BL309" s="620"/>
      <c r="BM309" s="620"/>
      <c r="BN309" s="620"/>
      <c r="BO309" s="620"/>
      <c r="BP309" s="620"/>
      <c r="BQ309" s="620"/>
      <c r="BR309" s="620"/>
      <c r="BS309" s="620"/>
    </row>
    <row r="310" spans="59:71" ht="11.45" customHeight="1" x14ac:dyDescent="0.2">
      <c r="BG310" s="620"/>
      <c r="BH310" s="620"/>
      <c r="BI310" s="620"/>
      <c r="BJ310" s="620"/>
      <c r="BK310" s="620"/>
      <c r="BL310" s="620"/>
      <c r="BM310" s="620"/>
      <c r="BN310" s="620"/>
      <c r="BO310" s="620"/>
      <c r="BP310" s="620"/>
      <c r="BQ310" s="620"/>
      <c r="BR310" s="620"/>
      <c r="BS310" s="620"/>
    </row>
    <row r="311" spans="59:71" ht="11.45" customHeight="1" x14ac:dyDescent="0.2">
      <c r="BG311" s="620"/>
      <c r="BH311" s="620"/>
      <c r="BI311" s="620"/>
      <c r="BJ311" s="620"/>
      <c r="BK311" s="620"/>
      <c r="BL311" s="620"/>
      <c r="BM311" s="620"/>
      <c r="BN311" s="620"/>
      <c r="BO311" s="620"/>
      <c r="BP311" s="620"/>
      <c r="BQ311" s="620"/>
      <c r="BR311" s="620"/>
      <c r="BS311" s="620"/>
    </row>
    <row r="312" spans="59:71" ht="11.45" customHeight="1" x14ac:dyDescent="0.2">
      <c r="BG312" s="620"/>
      <c r="BH312" s="620"/>
      <c r="BI312" s="620"/>
      <c r="BJ312" s="620"/>
      <c r="BK312" s="620"/>
      <c r="BL312" s="620"/>
      <c r="BM312" s="620"/>
      <c r="BN312" s="620"/>
      <c r="BO312" s="620"/>
      <c r="BP312" s="620"/>
      <c r="BQ312" s="620"/>
      <c r="BR312" s="620"/>
      <c r="BS312" s="620"/>
    </row>
    <row r="313" spans="59:71" ht="11.45" customHeight="1" x14ac:dyDescent="0.2">
      <c r="BG313" s="620"/>
      <c r="BH313" s="620"/>
      <c r="BI313" s="620"/>
      <c r="BJ313" s="620"/>
      <c r="BK313" s="620"/>
      <c r="BL313" s="620"/>
      <c r="BM313" s="620"/>
      <c r="BN313" s="620"/>
      <c r="BO313" s="620"/>
      <c r="BP313" s="620"/>
      <c r="BQ313" s="620"/>
      <c r="BR313" s="620"/>
      <c r="BS313" s="620"/>
    </row>
    <row r="314" spans="59:71" ht="11.45" customHeight="1" x14ac:dyDescent="0.2">
      <c r="BG314" s="620"/>
      <c r="BH314" s="620"/>
      <c r="BI314" s="620"/>
      <c r="BJ314" s="620"/>
      <c r="BK314" s="620"/>
      <c r="BL314" s="620"/>
      <c r="BM314" s="620"/>
      <c r="BN314" s="620"/>
      <c r="BO314" s="620"/>
      <c r="BP314" s="620"/>
      <c r="BQ314" s="620"/>
      <c r="BR314" s="620"/>
      <c r="BS314" s="620"/>
    </row>
    <row r="315" spans="59:71" ht="11.45" customHeight="1" x14ac:dyDescent="0.2">
      <c r="BG315" s="620"/>
      <c r="BH315" s="620"/>
      <c r="BI315" s="620"/>
      <c r="BJ315" s="620"/>
      <c r="BK315" s="620"/>
      <c r="BL315" s="620"/>
      <c r="BM315" s="620"/>
      <c r="BN315" s="620"/>
      <c r="BO315" s="620"/>
      <c r="BP315" s="620"/>
      <c r="BQ315" s="620"/>
      <c r="BR315" s="620"/>
      <c r="BS315" s="620"/>
    </row>
    <row r="316" spans="59:71" ht="11.45" customHeight="1" x14ac:dyDescent="0.2">
      <c r="BG316" s="620"/>
      <c r="BH316" s="620"/>
      <c r="BI316" s="620"/>
      <c r="BJ316" s="620"/>
      <c r="BK316" s="620"/>
      <c r="BL316" s="620"/>
      <c r="BM316" s="620"/>
      <c r="BN316" s="620"/>
      <c r="BO316" s="620"/>
      <c r="BP316" s="620"/>
      <c r="BQ316" s="620"/>
      <c r="BR316" s="620"/>
      <c r="BS316" s="620"/>
    </row>
    <row r="317" spans="59:71" ht="11.45" customHeight="1" x14ac:dyDescent="0.2">
      <c r="BG317" s="620"/>
      <c r="BH317" s="620"/>
      <c r="BI317" s="620"/>
      <c r="BJ317" s="620"/>
      <c r="BK317" s="620"/>
      <c r="BL317" s="620"/>
      <c r="BM317" s="620"/>
      <c r="BN317" s="620"/>
      <c r="BO317" s="620"/>
      <c r="BP317" s="620"/>
      <c r="BQ317" s="620"/>
      <c r="BR317" s="620"/>
      <c r="BS317" s="620"/>
    </row>
    <row r="318" spans="59:71" ht="11.45" customHeight="1" x14ac:dyDescent="0.2">
      <c r="BG318" s="620"/>
      <c r="BH318" s="620"/>
      <c r="BI318" s="620"/>
      <c r="BJ318" s="620"/>
      <c r="BK318" s="620"/>
      <c r="BL318" s="620"/>
      <c r="BM318" s="620"/>
      <c r="BN318" s="620"/>
      <c r="BO318" s="620"/>
      <c r="BP318" s="620"/>
      <c r="BQ318" s="620"/>
      <c r="BR318" s="620"/>
      <c r="BS318" s="620"/>
    </row>
    <row r="319" spans="59:71" ht="11.45" customHeight="1" x14ac:dyDescent="0.2">
      <c r="BG319" s="620"/>
      <c r="BH319" s="620"/>
      <c r="BI319" s="620"/>
      <c r="BJ319" s="620"/>
      <c r="BK319" s="620"/>
      <c r="BL319" s="620"/>
      <c r="BM319" s="620"/>
      <c r="BN319" s="620"/>
      <c r="BO319" s="620"/>
      <c r="BP319" s="620"/>
      <c r="BQ319" s="620"/>
      <c r="BR319" s="620"/>
      <c r="BS319" s="620"/>
    </row>
    <row r="320" spans="59:71" ht="11.45" customHeight="1" x14ac:dyDescent="0.2">
      <c r="BG320" s="620"/>
      <c r="BH320" s="620"/>
      <c r="BI320" s="620"/>
      <c r="BJ320" s="620"/>
      <c r="BK320" s="620"/>
      <c r="BL320" s="620"/>
      <c r="BM320" s="620"/>
      <c r="BN320" s="620"/>
      <c r="BO320" s="620"/>
      <c r="BP320" s="620"/>
      <c r="BQ320" s="620"/>
      <c r="BR320" s="620"/>
      <c r="BS320" s="620"/>
    </row>
    <row r="321" spans="59:71" ht="11.45" customHeight="1" x14ac:dyDescent="0.2">
      <c r="BG321" s="620"/>
      <c r="BH321" s="620"/>
      <c r="BI321" s="620"/>
      <c r="BJ321" s="620"/>
      <c r="BK321" s="620"/>
      <c r="BL321" s="620"/>
      <c r="BM321" s="620"/>
      <c r="BN321" s="620"/>
      <c r="BO321" s="620"/>
      <c r="BP321" s="620"/>
      <c r="BQ321" s="620"/>
      <c r="BR321" s="620"/>
      <c r="BS321" s="620"/>
    </row>
    <row r="322" spans="59:71" ht="11.45" customHeight="1" x14ac:dyDescent="0.2">
      <c r="BG322" s="620"/>
      <c r="BH322" s="620"/>
      <c r="BI322" s="620"/>
      <c r="BJ322" s="620"/>
      <c r="BK322" s="620"/>
      <c r="BL322" s="620"/>
      <c r="BM322" s="620"/>
      <c r="BN322" s="620"/>
      <c r="BO322" s="620"/>
      <c r="BP322" s="620"/>
      <c r="BQ322" s="620"/>
      <c r="BR322" s="620"/>
      <c r="BS322" s="620"/>
    </row>
    <row r="323" spans="59:71" ht="11.45" customHeight="1" x14ac:dyDescent="0.2">
      <c r="BG323" s="620"/>
      <c r="BH323" s="620"/>
      <c r="BI323" s="620"/>
      <c r="BJ323" s="620"/>
      <c r="BK323" s="620"/>
      <c r="BL323" s="620"/>
      <c r="BM323" s="620"/>
      <c r="BN323" s="620"/>
      <c r="BO323" s="620"/>
      <c r="BP323" s="620"/>
      <c r="BQ323" s="620"/>
      <c r="BR323" s="620"/>
      <c r="BS323" s="620"/>
    </row>
    <row r="324" spans="59:71" ht="11.45" customHeight="1" x14ac:dyDescent="0.2">
      <c r="BG324" s="620"/>
      <c r="BH324" s="620"/>
      <c r="BI324" s="620"/>
      <c r="BJ324" s="620"/>
      <c r="BK324" s="620"/>
      <c r="BL324" s="620"/>
      <c r="BM324" s="620"/>
      <c r="BN324" s="620"/>
      <c r="BO324" s="620"/>
      <c r="BP324" s="620"/>
      <c r="BQ324" s="620"/>
      <c r="BR324" s="620"/>
      <c r="BS324" s="620"/>
    </row>
    <row r="325" spans="59:71" ht="11.45" customHeight="1" x14ac:dyDescent="0.2">
      <c r="BG325" s="620"/>
      <c r="BH325" s="620"/>
      <c r="BI325" s="620"/>
      <c r="BJ325" s="620"/>
      <c r="BK325" s="620"/>
      <c r="BL325" s="620"/>
      <c r="BM325" s="620"/>
      <c r="BN325" s="620"/>
      <c r="BO325" s="620"/>
      <c r="BP325" s="620"/>
      <c r="BQ325" s="620"/>
      <c r="BR325" s="620"/>
      <c r="BS325" s="620"/>
    </row>
    <row r="326" spans="59:71" ht="11.45" customHeight="1" x14ac:dyDescent="0.2">
      <c r="BG326" s="620"/>
      <c r="BH326" s="620"/>
      <c r="BI326" s="620"/>
      <c r="BJ326" s="620"/>
      <c r="BK326" s="620"/>
      <c r="BL326" s="620"/>
      <c r="BM326" s="620"/>
      <c r="BN326" s="620"/>
      <c r="BO326" s="620"/>
      <c r="BP326" s="620"/>
      <c r="BQ326" s="620"/>
      <c r="BR326" s="620"/>
      <c r="BS326" s="620"/>
    </row>
    <row r="327" spans="59:71" ht="11.45" customHeight="1" x14ac:dyDescent="0.2">
      <c r="BG327" s="620"/>
      <c r="BH327" s="620"/>
      <c r="BI327" s="620"/>
      <c r="BJ327" s="620"/>
      <c r="BK327" s="620"/>
      <c r="BL327" s="620"/>
      <c r="BM327" s="620"/>
      <c r="BN327" s="620"/>
      <c r="BO327" s="620"/>
      <c r="BP327" s="620"/>
      <c r="BQ327" s="620"/>
      <c r="BR327" s="620"/>
      <c r="BS327" s="620"/>
    </row>
    <row r="328" spans="59:71" ht="11.45" customHeight="1" x14ac:dyDescent="0.2">
      <c r="BG328" s="620"/>
      <c r="BH328" s="620"/>
      <c r="BI328" s="620"/>
      <c r="BJ328" s="620"/>
      <c r="BK328" s="620"/>
      <c r="BL328" s="620"/>
      <c r="BM328" s="620"/>
      <c r="BN328" s="620"/>
      <c r="BO328" s="620"/>
      <c r="BP328" s="620"/>
      <c r="BQ328" s="620"/>
      <c r="BR328" s="620"/>
      <c r="BS328" s="620"/>
    </row>
    <row r="329" spans="59:71" ht="11.45" customHeight="1" x14ac:dyDescent="0.2">
      <c r="BG329" s="620"/>
      <c r="BH329" s="620"/>
      <c r="BI329" s="620"/>
      <c r="BJ329" s="620"/>
      <c r="BK329" s="620"/>
      <c r="BL329" s="620"/>
      <c r="BM329" s="620"/>
      <c r="BN329" s="620"/>
      <c r="BO329" s="620"/>
      <c r="BP329" s="620"/>
      <c r="BQ329" s="620"/>
      <c r="BR329" s="620"/>
      <c r="BS329" s="620"/>
    </row>
    <row r="330" spans="59:71" ht="11.45" customHeight="1" x14ac:dyDescent="0.2">
      <c r="BG330" s="620"/>
      <c r="BH330" s="620"/>
      <c r="BI330" s="620"/>
      <c r="BJ330" s="620"/>
      <c r="BK330" s="620"/>
      <c r="BL330" s="620"/>
      <c r="BM330" s="620"/>
      <c r="BN330" s="620"/>
      <c r="BO330" s="620"/>
      <c r="BP330" s="620"/>
      <c r="BQ330" s="620"/>
      <c r="BR330" s="620"/>
      <c r="BS330" s="620"/>
    </row>
    <row r="331" spans="59:71" ht="11.45" customHeight="1" x14ac:dyDescent="0.2">
      <c r="BG331" s="620"/>
      <c r="BH331" s="620"/>
      <c r="BI331" s="620"/>
      <c r="BJ331" s="620"/>
      <c r="BK331" s="620"/>
      <c r="BL331" s="620"/>
      <c r="BM331" s="620"/>
      <c r="BN331" s="620"/>
      <c r="BO331" s="620"/>
      <c r="BP331" s="620"/>
      <c r="BQ331" s="620"/>
      <c r="BR331" s="620"/>
      <c r="BS331" s="620"/>
    </row>
    <row r="332" spans="59:71" ht="11.45" customHeight="1" x14ac:dyDescent="0.2">
      <c r="BG332" s="620"/>
      <c r="BH332" s="620"/>
      <c r="BI332" s="620"/>
      <c r="BJ332" s="620"/>
      <c r="BK332" s="620"/>
      <c r="BL332" s="620"/>
      <c r="BM332" s="620"/>
      <c r="BN332" s="620"/>
      <c r="BO332" s="620"/>
      <c r="BP332" s="620"/>
      <c r="BQ332" s="620"/>
      <c r="BR332" s="620"/>
      <c r="BS332" s="620"/>
    </row>
    <row r="333" spans="59:71" ht="11.45" customHeight="1" x14ac:dyDescent="0.2">
      <c r="BG333" s="620"/>
      <c r="BH333" s="620"/>
      <c r="BI333" s="620"/>
      <c r="BJ333" s="620"/>
      <c r="BK333" s="620"/>
      <c r="BL333" s="620"/>
      <c r="BM333" s="620"/>
      <c r="BN333" s="620"/>
      <c r="BO333" s="620"/>
      <c r="BP333" s="620"/>
      <c r="BQ333" s="620"/>
      <c r="BR333" s="620"/>
      <c r="BS333" s="620"/>
    </row>
    <row r="334" spans="59:71" ht="11.45" customHeight="1" x14ac:dyDescent="0.2">
      <c r="BG334" s="620"/>
      <c r="BH334" s="620"/>
      <c r="BI334" s="620"/>
      <c r="BJ334" s="620"/>
      <c r="BK334" s="620"/>
      <c r="BL334" s="620"/>
      <c r="BM334" s="620"/>
      <c r="BN334" s="620"/>
      <c r="BO334" s="620"/>
      <c r="BP334" s="620"/>
      <c r="BQ334" s="620"/>
      <c r="BR334" s="620"/>
      <c r="BS334" s="620"/>
    </row>
    <row r="335" spans="59:71" ht="11.45" customHeight="1" x14ac:dyDescent="0.2">
      <c r="BG335" s="620"/>
      <c r="BH335" s="620"/>
      <c r="BI335" s="620"/>
      <c r="BJ335" s="620"/>
      <c r="BK335" s="620"/>
      <c r="BL335" s="620"/>
      <c r="BM335" s="620"/>
      <c r="BN335" s="620"/>
      <c r="BO335" s="620"/>
      <c r="BP335" s="620"/>
      <c r="BQ335" s="620"/>
      <c r="BR335" s="620"/>
      <c r="BS335" s="620"/>
    </row>
    <row r="336" spans="59:71" ht="11.45" customHeight="1" x14ac:dyDescent="0.2">
      <c r="BG336" s="620"/>
      <c r="BH336" s="620"/>
      <c r="BI336" s="620"/>
      <c r="BJ336" s="620"/>
      <c r="BK336" s="620"/>
      <c r="BL336" s="620"/>
      <c r="BM336" s="620"/>
      <c r="BN336" s="620"/>
      <c r="BO336" s="620"/>
      <c r="BP336" s="620"/>
      <c r="BQ336" s="620"/>
      <c r="BR336" s="620"/>
      <c r="BS336" s="620"/>
    </row>
    <row r="337" spans="59:71" ht="11.45" customHeight="1" x14ac:dyDescent="0.2">
      <c r="BG337" s="620"/>
      <c r="BH337" s="620"/>
      <c r="BI337" s="620"/>
      <c r="BJ337" s="620"/>
      <c r="BK337" s="620"/>
      <c r="BL337" s="620"/>
      <c r="BM337" s="620"/>
      <c r="BN337" s="620"/>
      <c r="BO337" s="620"/>
      <c r="BP337" s="620"/>
      <c r="BQ337" s="620"/>
      <c r="BR337" s="620"/>
      <c r="BS337" s="620"/>
    </row>
    <row r="338" spans="59:71" ht="11.45" customHeight="1" x14ac:dyDescent="0.2">
      <c r="BG338" s="620"/>
      <c r="BH338" s="620"/>
      <c r="BI338" s="620"/>
      <c r="BJ338" s="620"/>
      <c r="BK338" s="620"/>
      <c r="BL338" s="620"/>
      <c r="BM338" s="620"/>
      <c r="BN338" s="620"/>
      <c r="BO338" s="620"/>
      <c r="BP338" s="620"/>
      <c r="BQ338" s="620"/>
      <c r="BR338" s="620"/>
      <c r="BS338" s="620"/>
    </row>
    <row r="339" spans="59:71" ht="11.45" customHeight="1" x14ac:dyDescent="0.2">
      <c r="BG339" s="620"/>
      <c r="BH339" s="620"/>
      <c r="BI339" s="620"/>
      <c r="BJ339" s="620"/>
      <c r="BK339" s="620"/>
      <c r="BL339" s="620"/>
      <c r="BM339" s="620"/>
      <c r="BN339" s="620"/>
      <c r="BO339" s="620"/>
      <c r="BP339" s="620"/>
      <c r="BQ339" s="620"/>
      <c r="BR339" s="620"/>
      <c r="BS339" s="620"/>
    </row>
    <row r="340" spans="59:71" ht="11.45" customHeight="1" x14ac:dyDescent="0.2">
      <c r="BG340" s="620"/>
      <c r="BH340" s="620"/>
      <c r="BI340" s="620"/>
      <c r="BJ340" s="620"/>
      <c r="BK340" s="620"/>
      <c r="BL340" s="620"/>
      <c r="BM340" s="620"/>
      <c r="BN340" s="620"/>
      <c r="BO340" s="620"/>
      <c r="BP340" s="620"/>
      <c r="BQ340" s="620"/>
      <c r="BR340" s="620"/>
      <c r="BS340" s="620"/>
    </row>
    <row r="341" spans="59:71" ht="11.45" customHeight="1" x14ac:dyDescent="0.2">
      <c r="BG341" s="620"/>
      <c r="BH341" s="620"/>
      <c r="BI341" s="620"/>
      <c r="BJ341" s="620"/>
      <c r="BK341" s="620"/>
      <c r="BL341" s="620"/>
      <c r="BM341" s="620"/>
      <c r="BN341" s="620"/>
      <c r="BO341" s="620"/>
      <c r="BP341" s="620"/>
      <c r="BQ341" s="620"/>
      <c r="BR341" s="620"/>
      <c r="BS341" s="620"/>
    </row>
    <row r="342" spans="59:71" ht="11.45" customHeight="1" x14ac:dyDescent="0.2">
      <c r="BG342" s="620"/>
      <c r="BH342" s="620"/>
      <c r="BI342" s="620"/>
      <c r="BJ342" s="620"/>
      <c r="BK342" s="620"/>
      <c r="BL342" s="620"/>
      <c r="BM342" s="620"/>
      <c r="BN342" s="620"/>
      <c r="BO342" s="620"/>
      <c r="BP342" s="620"/>
      <c r="BQ342" s="620"/>
      <c r="BR342" s="620"/>
      <c r="BS342" s="620"/>
    </row>
    <row r="343" spans="59:71" ht="11.45" customHeight="1" x14ac:dyDescent="0.2">
      <c r="BG343" s="620"/>
      <c r="BH343" s="620"/>
      <c r="BI343" s="620"/>
      <c r="BJ343" s="620"/>
      <c r="BK343" s="620"/>
      <c r="BL343" s="620"/>
      <c r="BM343" s="620"/>
      <c r="BN343" s="620"/>
      <c r="BO343" s="620"/>
      <c r="BP343" s="620"/>
      <c r="BQ343" s="620"/>
      <c r="BR343" s="620"/>
      <c r="BS343" s="620"/>
    </row>
    <row r="344" spans="59:71" ht="11.45" customHeight="1" x14ac:dyDescent="0.2">
      <c r="BG344" s="620"/>
      <c r="BH344" s="620"/>
      <c r="BI344" s="620"/>
      <c r="BJ344" s="620"/>
      <c r="BK344" s="620"/>
      <c r="BL344" s="620"/>
      <c r="BM344" s="620"/>
      <c r="BN344" s="620"/>
      <c r="BO344" s="620"/>
      <c r="BP344" s="620"/>
      <c r="BQ344" s="620"/>
      <c r="BR344" s="620"/>
      <c r="BS344" s="620"/>
    </row>
    <row r="345" spans="59:71" ht="11.45" customHeight="1" x14ac:dyDescent="0.2">
      <c r="BG345" s="620"/>
      <c r="BH345" s="620"/>
      <c r="BI345" s="620"/>
      <c r="BJ345" s="620"/>
      <c r="BK345" s="620"/>
      <c r="BL345" s="620"/>
      <c r="BM345" s="620"/>
      <c r="BN345" s="620"/>
      <c r="BO345" s="620"/>
      <c r="BP345" s="620"/>
      <c r="BQ345" s="620"/>
      <c r="BR345" s="620"/>
      <c r="BS345" s="620"/>
    </row>
    <row r="346" spans="59:71" ht="11.45" customHeight="1" x14ac:dyDescent="0.2">
      <c r="BG346" s="620"/>
      <c r="BH346" s="620"/>
      <c r="BI346" s="620"/>
      <c r="BJ346" s="620"/>
      <c r="BK346" s="620"/>
      <c r="BL346" s="620"/>
      <c r="BM346" s="620"/>
      <c r="BN346" s="620"/>
      <c r="BO346" s="620"/>
      <c r="BP346" s="620"/>
      <c r="BQ346" s="620"/>
      <c r="BR346" s="620"/>
      <c r="BS346" s="620"/>
    </row>
    <row r="347" spans="59:71" ht="11.45" customHeight="1" x14ac:dyDescent="0.2">
      <c r="BG347" s="620"/>
      <c r="BH347" s="620"/>
      <c r="BI347" s="620"/>
      <c r="BJ347" s="620"/>
      <c r="BK347" s="620"/>
      <c r="BL347" s="620"/>
      <c r="BM347" s="620"/>
      <c r="BN347" s="620"/>
      <c r="BO347" s="620"/>
      <c r="BP347" s="620"/>
      <c r="BQ347" s="620"/>
      <c r="BR347" s="620"/>
      <c r="BS347" s="620"/>
    </row>
    <row r="348" spans="59:71" ht="11.45" customHeight="1" x14ac:dyDescent="0.2">
      <c r="BG348" s="620"/>
      <c r="BH348" s="620"/>
      <c r="BI348" s="620"/>
      <c r="BJ348" s="620"/>
      <c r="BK348" s="620"/>
      <c r="BL348" s="620"/>
      <c r="BM348" s="620"/>
      <c r="BN348" s="620"/>
      <c r="BO348" s="620"/>
      <c r="BP348" s="620"/>
      <c r="BQ348" s="620"/>
      <c r="BR348" s="620"/>
      <c r="BS348" s="620"/>
    </row>
    <row r="349" spans="59:71" ht="11.45" customHeight="1" x14ac:dyDescent="0.2">
      <c r="BG349" s="620"/>
      <c r="BH349" s="620"/>
      <c r="BI349" s="620"/>
      <c r="BJ349" s="620"/>
      <c r="BK349" s="620"/>
      <c r="BL349" s="620"/>
      <c r="BM349" s="620"/>
      <c r="BN349" s="620"/>
      <c r="BO349" s="620"/>
      <c r="BP349" s="620"/>
      <c r="BQ349" s="620"/>
      <c r="BR349" s="620"/>
      <c r="BS349" s="620"/>
    </row>
    <row r="350" spans="59:71" ht="11.45" customHeight="1" x14ac:dyDescent="0.2">
      <c r="BG350" s="620"/>
      <c r="BH350" s="620"/>
      <c r="BI350" s="620"/>
      <c r="BJ350" s="620"/>
      <c r="BK350" s="620"/>
      <c r="BL350" s="620"/>
      <c r="BM350" s="620"/>
      <c r="BN350" s="620"/>
      <c r="BO350" s="620"/>
      <c r="BP350" s="620"/>
      <c r="BQ350" s="620"/>
      <c r="BR350" s="620"/>
      <c r="BS350" s="620"/>
    </row>
    <row r="351" spans="59:71" ht="11.45" customHeight="1" x14ac:dyDescent="0.2">
      <c r="BG351" s="620"/>
      <c r="BH351" s="620"/>
      <c r="BI351" s="620"/>
      <c r="BJ351" s="620"/>
      <c r="BK351" s="620"/>
      <c r="BL351" s="620"/>
      <c r="BM351" s="620"/>
      <c r="BN351" s="620"/>
      <c r="BO351" s="620"/>
      <c r="BP351" s="620"/>
      <c r="BQ351" s="620"/>
      <c r="BR351" s="620"/>
      <c r="BS351" s="620"/>
    </row>
    <row r="352" spans="59:71" ht="11.45" customHeight="1" x14ac:dyDescent="0.2">
      <c r="BG352" s="620"/>
      <c r="BH352" s="620"/>
      <c r="BI352" s="620"/>
      <c r="BJ352" s="620"/>
      <c r="BK352" s="620"/>
      <c r="BL352" s="620"/>
      <c r="BM352" s="620"/>
      <c r="BN352" s="620"/>
      <c r="BO352" s="620"/>
      <c r="BP352" s="620"/>
      <c r="BQ352" s="620"/>
      <c r="BR352" s="620"/>
      <c r="BS352" s="620"/>
    </row>
    <row r="353" spans="59:71" ht="11.45" customHeight="1" x14ac:dyDescent="0.2">
      <c r="BG353" s="620"/>
      <c r="BH353" s="620"/>
      <c r="BI353" s="620"/>
      <c r="BJ353" s="620"/>
      <c r="BK353" s="620"/>
      <c r="BL353" s="620"/>
      <c r="BM353" s="620"/>
      <c r="BN353" s="620"/>
      <c r="BO353" s="620"/>
      <c r="BP353" s="620"/>
      <c r="BQ353" s="620"/>
      <c r="BR353" s="620"/>
      <c r="BS353" s="620"/>
    </row>
    <row r="354" spans="59:71" ht="11.45" customHeight="1" x14ac:dyDescent="0.2">
      <c r="BG354" s="620"/>
      <c r="BH354" s="620"/>
      <c r="BI354" s="620"/>
      <c r="BJ354" s="620"/>
      <c r="BK354" s="620"/>
      <c r="BL354" s="620"/>
      <c r="BM354" s="620"/>
      <c r="BN354" s="620"/>
      <c r="BO354" s="620"/>
      <c r="BP354" s="620"/>
      <c r="BQ354" s="620"/>
      <c r="BR354" s="620"/>
      <c r="BS354" s="620"/>
    </row>
    <row r="355" spans="59:71" ht="11.45" customHeight="1" x14ac:dyDescent="0.2">
      <c r="BG355" s="620"/>
      <c r="BH355" s="620"/>
      <c r="BI355" s="620"/>
      <c r="BJ355" s="620"/>
      <c r="BK355" s="620"/>
      <c r="BL355" s="620"/>
      <c r="BM355" s="620"/>
      <c r="BN355" s="620"/>
      <c r="BO355" s="620"/>
      <c r="BP355" s="620"/>
      <c r="BQ355" s="620"/>
      <c r="BR355" s="620"/>
      <c r="BS355" s="620"/>
    </row>
    <row r="356" spans="59:71" ht="11.45" customHeight="1" x14ac:dyDescent="0.2">
      <c r="BG356" s="620"/>
      <c r="BH356" s="620"/>
      <c r="BI356" s="620"/>
      <c r="BJ356" s="620"/>
      <c r="BK356" s="620"/>
      <c r="BL356" s="620"/>
      <c r="BM356" s="620"/>
      <c r="BN356" s="620"/>
      <c r="BO356" s="620"/>
      <c r="BP356" s="620"/>
      <c r="BQ356" s="620"/>
      <c r="BR356" s="620"/>
      <c r="BS356" s="620"/>
    </row>
    <row r="357" spans="59:71" ht="11.45" customHeight="1" x14ac:dyDescent="0.2">
      <c r="BG357" s="620"/>
      <c r="BH357" s="620"/>
      <c r="BI357" s="620"/>
      <c r="BJ357" s="620"/>
      <c r="BK357" s="620"/>
      <c r="BL357" s="620"/>
      <c r="BM357" s="620"/>
      <c r="BN357" s="620"/>
      <c r="BO357" s="620"/>
      <c r="BP357" s="620"/>
      <c r="BQ357" s="620"/>
      <c r="BR357" s="620"/>
      <c r="BS357" s="620"/>
    </row>
    <row r="358" spans="59:71" ht="11.45" customHeight="1" x14ac:dyDescent="0.2">
      <c r="BG358" s="620"/>
      <c r="BH358" s="620"/>
      <c r="BI358" s="620"/>
      <c r="BJ358" s="620"/>
      <c r="BK358" s="620"/>
      <c r="BL358" s="620"/>
      <c r="BM358" s="620"/>
      <c r="BN358" s="620"/>
      <c r="BO358" s="620"/>
      <c r="BP358" s="620"/>
      <c r="BQ358" s="620"/>
      <c r="BR358" s="620"/>
      <c r="BS358" s="620"/>
    </row>
    <row r="359" spans="59:71" ht="11.45" customHeight="1" x14ac:dyDescent="0.2">
      <c r="BG359" s="620"/>
      <c r="BH359" s="620"/>
      <c r="BI359" s="620"/>
      <c r="BJ359" s="620"/>
      <c r="BK359" s="620"/>
      <c r="BL359" s="620"/>
      <c r="BM359" s="620"/>
      <c r="BN359" s="620"/>
      <c r="BO359" s="620"/>
      <c r="BP359" s="620"/>
      <c r="BQ359" s="620"/>
      <c r="BR359" s="620"/>
      <c r="BS359" s="620"/>
    </row>
    <row r="360" spans="59:71" ht="11.45" customHeight="1" x14ac:dyDescent="0.2">
      <c r="BG360" s="620"/>
      <c r="BH360" s="620"/>
      <c r="BI360" s="620"/>
      <c r="BJ360" s="620"/>
      <c r="BK360" s="620"/>
      <c r="BL360" s="620"/>
      <c r="BM360" s="620"/>
      <c r="BN360" s="620"/>
      <c r="BO360" s="620"/>
      <c r="BP360" s="620"/>
      <c r="BQ360" s="620"/>
      <c r="BR360" s="620"/>
      <c r="BS360" s="620"/>
    </row>
    <row r="361" spans="59:71" ht="11.45" customHeight="1" x14ac:dyDescent="0.2">
      <c r="BG361" s="620"/>
      <c r="BH361" s="620"/>
      <c r="BI361" s="620"/>
      <c r="BJ361" s="620"/>
      <c r="BK361" s="620"/>
      <c r="BL361" s="620"/>
      <c r="BM361" s="620"/>
      <c r="BN361" s="620"/>
      <c r="BO361" s="620"/>
      <c r="BP361" s="620"/>
      <c r="BQ361" s="620"/>
      <c r="BR361" s="620"/>
      <c r="BS361" s="620"/>
    </row>
    <row r="362" spans="59:71" ht="11.45" customHeight="1" x14ac:dyDescent="0.2">
      <c r="BG362" s="620"/>
      <c r="BH362" s="620"/>
      <c r="BI362" s="620"/>
      <c r="BJ362" s="620"/>
      <c r="BK362" s="620"/>
      <c r="BL362" s="620"/>
      <c r="BM362" s="620"/>
      <c r="BN362" s="620"/>
      <c r="BO362" s="620"/>
      <c r="BP362" s="620"/>
      <c r="BQ362" s="620"/>
      <c r="BR362" s="620"/>
      <c r="BS362" s="620"/>
    </row>
    <row r="363" spans="59:71" ht="11.45" customHeight="1" x14ac:dyDescent="0.2">
      <c r="BG363" s="620"/>
      <c r="BH363" s="620"/>
      <c r="BI363" s="620"/>
      <c r="BJ363" s="620"/>
      <c r="BK363" s="620"/>
      <c r="BL363" s="620"/>
      <c r="BM363" s="620"/>
      <c r="BN363" s="620"/>
      <c r="BO363" s="620"/>
      <c r="BP363" s="620"/>
      <c r="BQ363" s="620"/>
      <c r="BR363" s="620"/>
      <c r="BS363" s="620"/>
    </row>
    <row r="364" spans="59:71" ht="11.45" customHeight="1" x14ac:dyDescent="0.2">
      <c r="BG364" s="620"/>
      <c r="BH364" s="620"/>
      <c r="BI364" s="620"/>
      <c r="BJ364" s="620"/>
      <c r="BK364" s="620"/>
      <c r="BL364" s="620"/>
      <c r="BM364" s="620"/>
      <c r="BN364" s="620"/>
      <c r="BO364" s="620"/>
      <c r="BP364" s="620"/>
      <c r="BQ364" s="620"/>
      <c r="BR364" s="620"/>
      <c r="BS364" s="620"/>
    </row>
    <row r="365" spans="59:71" ht="11.45" customHeight="1" x14ac:dyDescent="0.2">
      <c r="BG365" s="620"/>
      <c r="BH365" s="620"/>
      <c r="BI365" s="620"/>
      <c r="BJ365" s="620"/>
      <c r="BK365" s="620"/>
      <c r="BL365" s="620"/>
      <c r="BM365" s="620"/>
      <c r="BN365" s="620"/>
      <c r="BO365" s="620"/>
      <c r="BP365" s="620"/>
      <c r="BQ365" s="620"/>
      <c r="BR365" s="620"/>
      <c r="BS365" s="620"/>
    </row>
    <row r="366" spans="59:71" ht="11.45" customHeight="1" x14ac:dyDescent="0.2">
      <c r="BG366" s="620"/>
      <c r="BH366" s="620"/>
      <c r="BI366" s="620"/>
      <c r="BJ366" s="620"/>
      <c r="BK366" s="620"/>
      <c r="BL366" s="620"/>
      <c r="BM366" s="620"/>
      <c r="BN366" s="620"/>
      <c r="BO366" s="620"/>
      <c r="BP366" s="620"/>
      <c r="BQ366" s="620"/>
      <c r="BR366" s="620"/>
      <c r="BS366" s="620"/>
    </row>
    <row r="367" spans="59:71" ht="11.45" customHeight="1" x14ac:dyDescent="0.2">
      <c r="BG367" s="620"/>
      <c r="BH367" s="620"/>
      <c r="BI367" s="620"/>
      <c r="BJ367" s="620"/>
      <c r="BK367" s="620"/>
      <c r="BL367" s="620"/>
      <c r="BM367" s="620"/>
      <c r="BN367" s="620"/>
      <c r="BO367" s="620"/>
      <c r="BP367" s="620"/>
      <c r="BQ367" s="620"/>
      <c r="BR367" s="620"/>
      <c r="BS367" s="620"/>
    </row>
    <row r="368" spans="59:71" ht="11.45" customHeight="1" x14ac:dyDescent="0.2">
      <c r="BG368" s="620"/>
      <c r="BH368" s="620"/>
      <c r="BI368" s="620"/>
      <c r="BJ368" s="620"/>
      <c r="BK368" s="620"/>
      <c r="BL368" s="620"/>
      <c r="BM368" s="620"/>
      <c r="BN368" s="620"/>
      <c r="BO368" s="620"/>
      <c r="BP368" s="620"/>
      <c r="BQ368" s="620"/>
      <c r="BR368" s="620"/>
      <c r="BS368" s="620"/>
    </row>
  </sheetData>
  <mergeCells count="319">
    <mergeCell ref="P2:BE2"/>
    <mergeCell ref="P3:BE3"/>
    <mergeCell ref="P4:BE4"/>
    <mergeCell ref="W9:AC9"/>
    <mergeCell ref="AD9:AJ9"/>
    <mergeCell ref="AR9:AX9"/>
    <mergeCell ref="AY9:BE9"/>
    <mergeCell ref="W8:AJ8"/>
    <mergeCell ref="AK8:AQ9"/>
    <mergeCell ref="AR8:BE8"/>
    <mergeCell ref="A5:BE5"/>
    <mergeCell ref="A6:O9"/>
    <mergeCell ref="P6:BE6"/>
    <mergeCell ref="P7:AJ7"/>
    <mergeCell ref="AK7:BE7"/>
    <mergeCell ref="P8:V9"/>
    <mergeCell ref="AY13:BE13"/>
    <mergeCell ref="A13:K13"/>
    <mergeCell ref="L13:O13"/>
    <mergeCell ref="P13:V13"/>
    <mergeCell ref="W13:AC13"/>
    <mergeCell ref="AD13:AJ13"/>
    <mergeCell ref="AY14:BE14"/>
    <mergeCell ref="AK10:AQ10"/>
    <mergeCell ref="AR10:AX10"/>
    <mergeCell ref="AY10:BE10"/>
    <mergeCell ref="A10:O10"/>
    <mergeCell ref="P10:V10"/>
    <mergeCell ref="W10:AC10"/>
    <mergeCell ref="AD10:AJ10"/>
    <mergeCell ref="AK12:AQ12"/>
    <mergeCell ref="AR12:AX12"/>
    <mergeCell ref="AY12:BE12"/>
    <mergeCell ref="W12:AC12"/>
    <mergeCell ref="AD12:AJ12"/>
    <mergeCell ref="A11:O11"/>
    <mergeCell ref="A12:K12"/>
    <mergeCell ref="L12:O12"/>
    <mergeCell ref="P12:V12"/>
    <mergeCell ref="AY11:BE11"/>
    <mergeCell ref="AK14:AQ14"/>
    <mergeCell ref="AR14:AX14"/>
    <mergeCell ref="A14:K14"/>
    <mergeCell ref="L14:O14"/>
    <mergeCell ref="P14:V14"/>
    <mergeCell ref="W14:AC14"/>
    <mergeCell ref="AD14:AJ14"/>
    <mergeCell ref="AK13:AQ13"/>
    <mergeCell ref="AR13:AX13"/>
    <mergeCell ref="AK16:AQ16"/>
    <mergeCell ref="AR16:AX16"/>
    <mergeCell ref="AY16:BE16"/>
    <mergeCell ref="W16:AC16"/>
    <mergeCell ref="AD16:AJ16"/>
    <mergeCell ref="AR15:AX15"/>
    <mergeCell ref="AY15:BE15"/>
    <mergeCell ref="A16:K16"/>
    <mergeCell ref="L16:O16"/>
    <mergeCell ref="P16:V16"/>
    <mergeCell ref="AD15:AJ15"/>
    <mergeCell ref="AK15:AQ15"/>
    <mergeCell ref="A15:K15"/>
    <mergeCell ref="L15:O15"/>
    <mergeCell ref="P15:V15"/>
    <mergeCell ref="W15:AC15"/>
    <mergeCell ref="AR17:AX17"/>
    <mergeCell ref="AY17:BE17"/>
    <mergeCell ref="AD17:AJ17"/>
    <mergeCell ref="AK17:AQ17"/>
    <mergeCell ref="A17:K17"/>
    <mergeCell ref="L17:O17"/>
    <mergeCell ref="P17:V17"/>
    <mergeCell ref="W17:AC17"/>
    <mergeCell ref="AK18:AQ18"/>
    <mergeCell ref="AR18:AX18"/>
    <mergeCell ref="AY18:BE18"/>
    <mergeCell ref="W18:AC18"/>
    <mergeCell ref="AD18:AJ18"/>
    <mergeCell ref="A18:K18"/>
    <mergeCell ref="L18:O18"/>
    <mergeCell ref="P18:V18"/>
    <mergeCell ref="AK20:AQ20"/>
    <mergeCell ref="AR20:AX20"/>
    <mergeCell ref="AY20:BE20"/>
    <mergeCell ref="W20:AC20"/>
    <mergeCell ref="AD20:AJ20"/>
    <mergeCell ref="AR19:AX19"/>
    <mergeCell ref="AY19:BE19"/>
    <mergeCell ref="A20:K20"/>
    <mergeCell ref="L20:O20"/>
    <mergeCell ref="P20:V20"/>
    <mergeCell ref="AD19:AJ19"/>
    <mergeCell ref="AK19:AQ19"/>
    <mergeCell ref="A19:K19"/>
    <mergeCell ref="L19:O19"/>
    <mergeCell ref="P19:V19"/>
    <mergeCell ref="W19:AC19"/>
    <mergeCell ref="AR21:AX21"/>
    <mergeCell ref="AY21:BE21"/>
    <mergeCell ref="A22:K22"/>
    <mergeCell ref="L22:O22"/>
    <mergeCell ref="P22:V22"/>
    <mergeCell ref="AD21:AJ21"/>
    <mergeCell ref="AK21:AQ21"/>
    <mergeCell ref="A21:K21"/>
    <mergeCell ref="L21:O21"/>
    <mergeCell ref="P21:V21"/>
    <mergeCell ref="W21:AC21"/>
    <mergeCell ref="AK23:AQ23"/>
    <mergeCell ref="A23:K23"/>
    <mergeCell ref="L23:O23"/>
    <mergeCell ref="P23:V23"/>
    <mergeCell ref="W23:AC23"/>
    <mergeCell ref="AK22:AQ22"/>
    <mergeCell ref="AR22:AX22"/>
    <mergeCell ref="AY22:BE22"/>
    <mergeCell ref="W22:AC22"/>
    <mergeCell ref="AD22:AJ22"/>
    <mergeCell ref="A25:K25"/>
    <mergeCell ref="L25:O25"/>
    <mergeCell ref="P25:V25"/>
    <mergeCell ref="W25:AC25"/>
    <mergeCell ref="AK24:AQ24"/>
    <mergeCell ref="AR24:AX24"/>
    <mergeCell ref="AY24:BE24"/>
    <mergeCell ref="W24:AC24"/>
    <mergeCell ref="AD24:AJ24"/>
    <mergeCell ref="A24:K24"/>
    <mergeCell ref="L24:O24"/>
    <mergeCell ref="P24:V24"/>
    <mergeCell ref="AK31:AQ31"/>
    <mergeCell ref="AR31:AX31"/>
    <mergeCell ref="AY31:BE31"/>
    <mergeCell ref="W31:AC31"/>
    <mergeCell ref="AD31:AJ31"/>
    <mergeCell ref="AR26:AX26"/>
    <mergeCell ref="AY26:BE26"/>
    <mergeCell ref="A31:K31"/>
    <mergeCell ref="L31:O31"/>
    <mergeCell ref="P31:V31"/>
    <mergeCell ref="AD26:AJ26"/>
    <mergeCell ref="AK26:AQ26"/>
    <mergeCell ref="A26:K26"/>
    <mergeCell ref="L26:O26"/>
    <mergeCell ref="P26:V26"/>
    <mergeCell ref="W26:AC26"/>
    <mergeCell ref="A28:K28"/>
    <mergeCell ref="L28:O28"/>
    <mergeCell ref="P28:V28"/>
    <mergeCell ref="AD27:AJ27"/>
    <mergeCell ref="AK27:AQ27"/>
    <mergeCell ref="A27:K27"/>
    <mergeCell ref="L27:O27"/>
    <mergeCell ref="P27:V27"/>
    <mergeCell ref="AK33:AQ33"/>
    <mergeCell ref="AR33:AX33"/>
    <mergeCell ref="AY33:BE33"/>
    <mergeCell ref="W33:AC33"/>
    <mergeCell ref="AD33:AJ33"/>
    <mergeCell ref="AR32:AX32"/>
    <mergeCell ref="AY32:BE32"/>
    <mergeCell ref="A33:K33"/>
    <mergeCell ref="L33:O33"/>
    <mergeCell ref="P33:V33"/>
    <mergeCell ref="AD32:AJ32"/>
    <mergeCell ref="AK32:AQ32"/>
    <mergeCell ref="A32:K32"/>
    <mergeCell ref="L32:O32"/>
    <mergeCell ref="P32:V32"/>
    <mergeCell ref="W32:AC32"/>
    <mergeCell ref="AR34:AX34"/>
    <mergeCell ref="AY34:BE34"/>
    <mergeCell ref="AD34:AJ34"/>
    <mergeCell ref="AK34:AQ34"/>
    <mergeCell ref="A34:K34"/>
    <mergeCell ref="L34:O34"/>
    <mergeCell ref="P34:V34"/>
    <mergeCell ref="W34:AC34"/>
    <mergeCell ref="AK36:AQ36"/>
    <mergeCell ref="AR36:AX36"/>
    <mergeCell ref="AY36:BE36"/>
    <mergeCell ref="W36:AC36"/>
    <mergeCell ref="AD36:AJ36"/>
    <mergeCell ref="AR35:AX35"/>
    <mergeCell ref="AY35:BE35"/>
    <mergeCell ref="A36:K36"/>
    <mergeCell ref="L36:O36"/>
    <mergeCell ref="P36:V36"/>
    <mergeCell ref="AD35:AJ35"/>
    <mergeCell ref="AK35:AQ35"/>
    <mergeCell ref="A35:K35"/>
    <mergeCell ref="L35:O35"/>
    <mergeCell ref="P35:V35"/>
    <mergeCell ref="W35:AC35"/>
    <mergeCell ref="AK38:AQ38"/>
    <mergeCell ref="AR38:AX38"/>
    <mergeCell ref="AY38:BE38"/>
    <mergeCell ref="W38:AC38"/>
    <mergeCell ref="AD38:AJ38"/>
    <mergeCell ref="AR37:AX37"/>
    <mergeCell ref="AY37:BE37"/>
    <mergeCell ref="A38:K38"/>
    <mergeCell ref="L38:O38"/>
    <mergeCell ref="P38:V38"/>
    <mergeCell ref="AD37:AJ37"/>
    <mergeCell ref="AK37:AQ37"/>
    <mergeCell ref="A37:K37"/>
    <mergeCell ref="L37:O37"/>
    <mergeCell ref="P37:V37"/>
    <mergeCell ref="W37:AC37"/>
    <mergeCell ref="AR39:AX39"/>
    <mergeCell ref="AY39:BE39"/>
    <mergeCell ref="A40:K40"/>
    <mergeCell ref="L40:O40"/>
    <mergeCell ref="P40:V40"/>
    <mergeCell ref="AD39:AJ39"/>
    <mergeCell ref="AK39:AQ39"/>
    <mergeCell ref="A39:K39"/>
    <mergeCell ref="L39:O39"/>
    <mergeCell ref="P39:V39"/>
    <mergeCell ref="W39:AC39"/>
    <mergeCell ref="AR41:AX41"/>
    <mergeCell ref="AY41:BE41"/>
    <mergeCell ref="AD41:AJ41"/>
    <mergeCell ref="AK41:AQ41"/>
    <mergeCell ref="A41:K41"/>
    <mergeCell ref="L41:O41"/>
    <mergeCell ref="P41:V41"/>
    <mergeCell ref="W41:AC41"/>
    <mergeCell ref="AK40:AQ40"/>
    <mergeCell ref="AR40:AX40"/>
    <mergeCell ref="AY40:BE40"/>
    <mergeCell ref="W40:AC40"/>
    <mergeCell ref="AD40:AJ40"/>
    <mergeCell ref="AK43:AQ43"/>
    <mergeCell ref="AR43:AX43"/>
    <mergeCell ref="AY43:BE43"/>
    <mergeCell ref="W43:AC43"/>
    <mergeCell ref="AD43:AJ43"/>
    <mergeCell ref="AR29:AX29"/>
    <mergeCell ref="AY29:BE29"/>
    <mergeCell ref="A43:K43"/>
    <mergeCell ref="L43:O43"/>
    <mergeCell ref="P43:V43"/>
    <mergeCell ref="AD29:AJ29"/>
    <mergeCell ref="AK29:AQ29"/>
    <mergeCell ref="A29:K29"/>
    <mergeCell ref="L29:O29"/>
    <mergeCell ref="P29:V29"/>
    <mergeCell ref="W29:AC29"/>
    <mergeCell ref="AK42:AQ42"/>
    <mergeCell ref="AR42:AX42"/>
    <mergeCell ref="AY42:BE42"/>
    <mergeCell ref="W42:AC42"/>
    <mergeCell ref="AD42:AJ42"/>
    <mergeCell ref="A42:K42"/>
    <mergeCell ref="L42:O42"/>
    <mergeCell ref="P42:V42"/>
    <mergeCell ref="W45:AC45"/>
    <mergeCell ref="AD45:AJ45"/>
    <mergeCell ref="AR44:AX44"/>
    <mergeCell ref="AY44:BE44"/>
    <mergeCell ref="A45:K45"/>
    <mergeCell ref="L45:O45"/>
    <mergeCell ref="P45:V45"/>
    <mergeCell ref="AD44:AJ44"/>
    <mergeCell ref="AK44:AQ44"/>
    <mergeCell ref="A44:K44"/>
    <mergeCell ref="L44:O44"/>
    <mergeCell ref="P44:V44"/>
    <mergeCell ref="W44:AC44"/>
    <mergeCell ref="AY50:BE50"/>
    <mergeCell ref="A30:O30"/>
    <mergeCell ref="P30:V30"/>
    <mergeCell ref="W30:AC30"/>
    <mergeCell ref="AD30:AJ30"/>
    <mergeCell ref="AK50:AQ50"/>
    <mergeCell ref="AR50:AX50"/>
    <mergeCell ref="AY49:BE49"/>
    <mergeCell ref="A50:O50"/>
    <mergeCell ref="P50:V50"/>
    <mergeCell ref="W50:AC50"/>
    <mergeCell ref="AD50:AJ50"/>
    <mergeCell ref="AK49:AQ49"/>
    <mergeCell ref="AR49:AX49"/>
    <mergeCell ref="A49:O49"/>
    <mergeCell ref="P49:V49"/>
    <mergeCell ref="W49:AC49"/>
    <mergeCell ref="AD49:AJ49"/>
    <mergeCell ref="A46:O46"/>
    <mergeCell ref="A47:O47"/>
    <mergeCell ref="A48:O48"/>
    <mergeCell ref="AK45:AQ45"/>
    <mergeCell ref="AR45:AX45"/>
    <mergeCell ref="AY45:BE45"/>
    <mergeCell ref="P1:BE1"/>
    <mergeCell ref="AK30:AQ30"/>
    <mergeCell ref="AR30:AX30"/>
    <mergeCell ref="AY30:BE30"/>
    <mergeCell ref="P11:V11"/>
    <mergeCell ref="W11:AC11"/>
    <mergeCell ref="AD11:AJ11"/>
    <mergeCell ref="AK11:AQ11"/>
    <mergeCell ref="AR11:AX11"/>
    <mergeCell ref="AK28:AQ28"/>
    <mergeCell ref="AR28:AX28"/>
    <mergeCell ref="AY28:BE28"/>
    <mergeCell ref="W28:AC28"/>
    <mergeCell ref="AD28:AJ28"/>
    <mergeCell ref="AR27:AX27"/>
    <mergeCell ref="AY27:BE27"/>
    <mergeCell ref="AR25:AX25"/>
    <mergeCell ref="AY25:BE25"/>
    <mergeCell ref="AD25:AJ25"/>
    <mergeCell ref="AK25:AQ25"/>
    <mergeCell ref="AR23:AX23"/>
    <mergeCell ref="W27:AC27"/>
    <mergeCell ref="AY23:BE23"/>
    <mergeCell ref="AD23:AJ23"/>
  </mergeCells>
  <pageMargins left="0.39370078740157483" right="0.39370078740157483" top="0.39370078740157483" bottom="0.39370078740157483" header="0" footer="0"/>
  <pageSetup paperSize="9" scale="68" pageOrder="overThenDown" orientation="portrait" r:id="rId1"/>
  <rowBreaks count="1" manualBreakCount="1">
    <brk id="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BM34"/>
  <sheetViews>
    <sheetView view="pageBreakPreview" zoomScale="95" zoomScaleSheetLayoutView="95" workbookViewId="0">
      <selection activeCell="A27" sqref="A27:F27"/>
    </sheetView>
  </sheetViews>
  <sheetFormatPr defaultColWidth="9" defaultRowHeight="11.45" customHeight="1" outlineLevelCol="1" x14ac:dyDescent="0.2"/>
  <cols>
    <col min="1" max="2" width="2" style="617" customWidth="1"/>
    <col min="3" max="3" width="1" style="617" customWidth="1"/>
    <col min="4" max="5" width="2" style="617" customWidth="1"/>
    <col min="6" max="6" width="7.5703125" style="617" customWidth="1"/>
    <col min="7" max="7" width="3" style="617" customWidth="1"/>
    <col min="8" max="8" width="2" style="617" customWidth="1"/>
    <col min="9" max="9" width="5.5703125" style="617" customWidth="1"/>
    <col min="10" max="16" width="2" style="617" customWidth="1"/>
    <col min="17" max="30" width="2" style="617" customWidth="1" outlineLevel="1"/>
    <col min="31" max="65" width="2" style="617" customWidth="1"/>
    <col min="66" max="16384" width="9" style="616"/>
  </cols>
  <sheetData>
    <row r="1" spans="1:65" ht="11.45" customHeight="1" x14ac:dyDescent="0.2">
      <c r="J1" s="816" t="s">
        <v>1354</v>
      </c>
      <c r="K1" s="816"/>
      <c r="L1" s="816"/>
      <c r="M1" s="816"/>
      <c r="N1" s="816"/>
      <c r="O1" s="816"/>
      <c r="P1" s="816"/>
      <c r="Q1" s="816"/>
      <c r="R1" s="816"/>
      <c r="S1" s="816"/>
      <c r="T1" s="816"/>
      <c r="U1" s="816"/>
      <c r="V1" s="816"/>
      <c r="W1" s="816"/>
      <c r="X1" s="816"/>
      <c r="Y1" s="816"/>
      <c r="Z1" s="816"/>
      <c r="AA1" s="816"/>
      <c r="AB1" s="816"/>
      <c r="AC1" s="816"/>
      <c r="AD1" s="816"/>
      <c r="AE1" s="816"/>
      <c r="AF1" s="816"/>
      <c r="AG1" s="816"/>
      <c r="AH1" s="816"/>
      <c r="AI1" s="816"/>
      <c r="AJ1" s="816"/>
      <c r="AK1" s="816"/>
      <c r="AL1" s="816"/>
      <c r="AM1" s="816"/>
      <c r="AN1" s="816"/>
      <c r="AO1" s="816"/>
      <c r="AP1" s="816"/>
      <c r="AQ1" s="816"/>
      <c r="AR1" s="816"/>
      <c r="AS1" s="816"/>
      <c r="AT1" s="816"/>
      <c r="AU1" s="816"/>
      <c r="AV1" s="816"/>
      <c r="AW1" s="816"/>
      <c r="AX1" s="816"/>
      <c r="AY1" s="816"/>
      <c r="AZ1" s="816"/>
      <c r="BA1" s="816"/>
      <c r="BB1" s="816"/>
      <c r="BC1" s="816"/>
      <c r="BD1" s="816"/>
      <c r="BE1" s="816"/>
      <c r="BF1" s="816"/>
      <c r="BG1" s="816"/>
      <c r="BH1" s="816"/>
      <c r="BI1" s="816"/>
      <c r="BJ1" s="816"/>
      <c r="BK1" s="816"/>
      <c r="BL1" s="816"/>
      <c r="BM1" s="816"/>
    </row>
    <row r="2" spans="1:65" ht="11.45" customHeight="1" x14ac:dyDescent="0.2">
      <c r="J2" s="816" t="s">
        <v>1355</v>
      </c>
      <c r="K2" s="816"/>
      <c r="L2" s="816"/>
      <c r="M2" s="816"/>
      <c r="N2" s="816"/>
      <c r="O2" s="816"/>
      <c r="P2" s="816"/>
      <c r="Q2" s="816"/>
      <c r="R2" s="816"/>
      <c r="S2" s="816"/>
      <c r="T2" s="816"/>
      <c r="U2" s="816"/>
      <c r="V2" s="816"/>
      <c r="W2" s="816"/>
      <c r="X2" s="816"/>
      <c r="Y2" s="816"/>
      <c r="Z2" s="816"/>
      <c r="AA2" s="816"/>
      <c r="AB2" s="816"/>
      <c r="AC2" s="816"/>
      <c r="AD2" s="816"/>
      <c r="AE2" s="816"/>
      <c r="AF2" s="816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816"/>
      <c r="AS2" s="816"/>
      <c r="AT2" s="816"/>
      <c r="AU2" s="816"/>
      <c r="AV2" s="816"/>
      <c r="AW2" s="816"/>
      <c r="AX2" s="816"/>
      <c r="AY2" s="816"/>
      <c r="AZ2" s="816"/>
      <c r="BA2" s="816"/>
      <c r="BB2" s="816"/>
      <c r="BC2" s="816"/>
      <c r="BD2" s="816"/>
      <c r="BE2" s="816"/>
      <c r="BF2" s="816"/>
      <c r="BG2" s="816"/>
      <c r="BH2" s="816"/>
      <c r="BI2" s="816"/>
      <c r="BJ2" s="816"/>
      <c r="BK2" s="816"/>
      <c r="BL2" s="816"/>
      <c r="BM2" s="816"/>
    </row>
    <row r="3" spans="1:65" ht="11.45" customHeight="1" x14ac:dyDescent="0.2">
      <c r="J3" s="816" t="s">
        <v>836</v>
      </c>
      <c r="K3" s="816"/>
      <c r="L3" s="816"/>
      <c r="M3" s="816"/>
      <c r="N3" s="816"/>
      <c r="O3" s="816"/>
      <c r="P3" s="816"/>
      <c r="Q3" s="816"/>
      <c r="R3" s="816"/>
      <c r="S3" s="816"/>
      <c r="T3" s="816"/>
      <c r="U3" s="816"/>
      <c r="V3" s="816"/>
      <c r="W3" s="816"/>
      <c r="X3" s="816"/>
      <c r="Y3" s="816"/>
      <c r="Z3" s="816"/>
      <c r="AA3" s="816"/>
      <c r="AB3" s="816"/>
      <c r="AC3" s="816"/>
      <c r="AD3" s="816"/>
      <c r="AE3" s="816"/>
      <c r="AF3" s="816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816"/>
      <c r="AS3" s="816"/>
      <c r="AT3" s="816"/>
      <c r="AU3" s="816"/>
      <c r="AV3" s="816"/>
      <c r="AW3" s="816"/>
      <c r="AX3" s="816"/>
      <c r="AY3" s="816"/>
      <c r="AZ3" s="816"/>
      <c r="BA3" s="816"/>
      <c r="BB3" s="816"/>
      <c r="BC3" s="816"/>
      <c r="BD3" s="816"/>
      <c r="BE3" s="816"/>
      <c r="BF3" s="816"/>
      <c r="BG3" s="816"/>
      <c r="BH3" s="816"/>
      <c r="BI3" s="816"/>
      <c r="BJ3" s="816"/>
      <c r="BK3" s="816"/>
      <c r="BL3" s="816"/>
      <c r="BM3" s="816"/>
    </row>
    <row r="4" spans="1:65" ht="11.45" customHeight="1" x14ac:dyDescent="0.2">
      <c r="G4" s="615"/>
      <c r="J4" s="816" t="s">
        <v>1406</v>
      </c>
      <c r="K4" s="816"/>
      <c r="L4" s="816"/>
      <c r="M4" s="816"/>
      <c r="N4" s="816"/>
      <c r="O4" s="816"/>
      <c r="P4" s="816"/>
      <c r="Q4" s="816"/>
      <c r="R4" s="816"/>
      <c r="S4" s="816"/>
      <c r="T4" s="816"/>
      <c r="U4" s="816"/>
      <c r="V4" s="816"/>
      <c r="W4" s="816"/>
      <c r="X4" s="816"/>
      <c r="Y4" s="816"/>
      <c r="Z4" s="816"/>
      <c r="AA4" s="816"/>
      <c r="AB4" s="816"/>
      <c r="AC4" s="816"/>
      <c r="AD4" s="816"/>
      <c r="AE4" s="816"/>
      <c r="AF4" s="816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816"/>
      <c r="AS4" s="816"/>
      <c r="AT4" s="816"/>
      <c r="AU4" s="816"/>
      <c r="AV4" s="816"/>
      <c r="AW4" s="816"/>
      <c r="AX4" s="816"/>
      <c r="AY4" s="816"/>
      <c r="AZ4" s="816"/>
      <c r="BA4" s="816"/>
      <c r="BB4" s="816"/>
      <c r="BC4" s="816"/>
      <c r="BD4" s="816"/>
      <c r="BE4" s="816"/>
      <c r="BF4" s="816"/>
      <c r="BG4" s="816"/>
      <c r="BH4" s="816"/>
      <c r="BI4" s="816"/>
      <c r="BJ4" s="816"/>
      <c r="BK4" s="816"/>
      <c r="BL4" s="816"/>
      <c r="BM4" s="816"/>
    </row>
    <row r="5" spans="1:65" s="615" customFormat="1" ht="11.1" customHeight="1" x14ac:dyDescent="0.2">
      <c r="A5" s="874"/>
      <c r="B5" s="874"/>
      <c r="C5" s="874"/>
      <c r="D5" s="874"/>
      <c r="E5" s="874"/>
      <c r="F5" s="874"/>
      <c r="G5" s="875"/>
      <c r="H5" s="875"/>
      <c r="I5" s="875"/>
      <c r="J5" s="875"/>
      <c r="K5" s="875"/>
      <c r="L5" s="875"/>
      <c r="M5" s="875"/>
      <c r="N5" s="875"/>
      <c r="O5" s="875"/>
      <c r="P5" s="875"/>
      <c r="Q5" s="875"/>
      <c r="R5" s="875"/>
      <c r="S5" s="875"/>
      <c r="T5" s="875"/>
      <c r="U5" s="875"/>
      <c r="V5" s="875"/>
      <c r="W5" s="875"/>
      <c r="X5" s="875"/>
      <c r="Y5" s="875"/>
      <c r="Z5" s="875"/>
      <c r="AA5" s="875"/>
      <c r="AB5" s="875"/>
      <c r="AC5" s="875"/>
      <c r="AD5" s="875"/>
      <c r="AE5" s="875"/>
      <c r="AF5" s="875"/>
      <c r="AG5" s="875"/>
      <c r="AH5" s="875"/>
      <c r="AI5" s="875"/>
      <c r="AJ5" s="875"/>
      <c r="AK5" s="875"/>
      <c r="AL5" s="875"/>
      <c r="AM5" s="875"/>
      <c r="AN5" s="875"/>
      <c r="AO5" s="875"/>
      <c r="AP5" s="875"/>
      <c r="AQ5" s="875"/>
      <c r="AR5" s="875"/>
      <c r="AS5" s="614"/>
      <c r="AT5" s="614"/>
      <c r="AU5" s="614"/>
      <c r="AV5" s="614"/>
      <c r="AW5" s="614"/>
      <c r="AX5" s="614"/>
      <c r="AY5" s="614"/>
      <c r="AZ5" s="614"/>
      <c r="BA5" s="614"/>
      <c r="BB5" s="614"/>
      <c r="BC5" s="614"/>
      <c r="BD5" s="614"/>
      <c r="BE5" s="614"/>
      <c r="BF5" s="614"/>
      <c r="BG5" s="614"/>
      <c r="BH5" s="614"/>
      <c r="BI5" s="614"/>
      <c r="BJ5" s="614"/>
      <c r="BK5" s="614"/>
      <c r="BL5" s="614"/>
      <c r="BM5" s="614"/>
    </row>
    <row r="6" spans="1:65" ht="12" customHeight="1" x14ac:dyDescent="0.2">
      <c r="A6" s="881" t="s">
        <v>1506</v>
      </c>
      <c r="B6" s="881"/>
      <c r="C6" s="881"/>
      <c r="D6" s="881"/>
      <c r="E6" s="881"/>
      <c r="F6" s="881"/>
      <c r="G6" s="881"/>
      <c r="H6" s="881"/>
      <c r="I6" s="881"/>
      <c r="J6" s="881"/>
      <c r="K6" s="881"/>
      <c r="L6" s="881"/>
      <c r="M6" s="881"/>
      <c r="N6" s="881"/>
      <c r="O6" s="881"/>
      <c r="P6" s="881"/>
      <c r="Q6" s="881"/>
      <c r="R6" s="881"/>
      <c r="S6" s="881"/>
      <c r="T6" s="881"/>
      <c r="U6" s="881"/>
      <c r="V6" s="881"/>
      <c r="W6" s="881"/>
      <c r="X6" s="881"/>
      <c r="Y6" s="881"/>
      <c r="Z6" s="881"/>
      <c r="AA6" s="881"/>
      <c r="AB6" s="881"/>
      <c r="AC6" s="881"/>
      <c r="AD6" s="881"/>
      <c r="AE6" s="881"/>
      <c r="AF6" s="881"/>
      <c r="AG6" s="881"/>
      <c r="AH6" s="881"/>
      <c r="AI6" s="881"/>
      <c r="AJ6" s="881"/>
      <c r="AK6" s="881"/>
      <c r="AL6" s="881"/>
      <c r="AM6" s="881"/>
      <c r="AN6" s="881"/>
      <c r="AO6" s="881"/>
      <c r="AP6" s="881"/>
      <c r="AQ6" s="881"/>
      <c r="AR6" s="881"/>
      <c r="AS6" s="881"/>
      <c r="AT6" s="881"/>
      <c r="AU6" s="881"/>
      <c r="AV6" s="881"/>
      <c r="AW6" s="881"/>
      <c r="AX6" s="881"/>
      <c r="AY6" s="881"/>
      <c r="AZ6" s="881"/>
      <c r="BA6" s="881"/>
      <c r="BB6" s="881"/>
      <c r="BC6" s="881"/>
      <c r="BD6" s="881"/>
      <c r="BE6" s="881"/>
      <c r="BF6" s="881"/>
      <c r="BG6" s="881"/>
      <c r="BH6" s="881"/>
      <c r="BI6" s="881"/>
      <c r="BJ6" s="881"/>
      <c r="BK6" s="881"/>
      <c r="BL6" s="881"/>
      <c r="BM6" s="881"/>
    </row>
    <row r="7" spans="1:65" ht="11.1" customHeight="1" x14ac:dyDescent="0.2">
      <c r="A7" s="882" t="s">
        <v>1413</v>
      </c>
      <c r="B7" s="882"/>
      <c r="C7" s="882"/>
      <c r="D7" s="882"/>
      <c r="E7" s="882"/>
      <c r="F7" s="882"/>
      <c r="G7" s="882"/>
      <c r="H7" s="882"/>
      <c r="I7" s="882"/>
      <c r="J7" s="887" t="s">
        <v>1414</v>
      </c>
      <c r="K7" s="887"/>
      <c r="L7" s="887"/>
      <c r="M7" s="887"/>
      <c r="N7" s="887"/>
      <c r="O7" s="887"/>
      <c r="P7" s="887"/>
      <c r="Q7" s="887"/>
      <c r="R7" s="887"/>
      <c r="S7" s="887"/>
      <c r="T7" s="887"/>
      <c r="U7" s="887"/>
      <c r="V7" s="887"/>
      <c r="W7" s="887"/>
      <c r="X7" s="887"/>
      <c r="Y7" s="887"/>
      <c r="Z7" s="887"/>
      <c r="AA7" s="887"/>
      <c r="AB7" s="887"/>
      <c r="AC7" s="887"/>
      <c r="AD7" s="887"/>
      <c r="AE7" s="887"/>
      <c r="AF7" s="887"/>
      <c r="AG7" s="887"/>
      <c r="AH7" s="887"/>
      <c r="AI7" s="887"/>
      <c r="AJ7" s="887"/>
      <c r="AK7" s="887"/>
      <c r="AL7" s="887"/>
      <c r="AM7" s="887"/>
      <c r="AN7" s="887"/>
      <c r="AO7" s="887"/>
      <c r="AP7" s="887"/>
      <c r="AQ7" s="887"/>
      <c r="AR7" s="887"/>
      <c r="AS7" s="887"/>
      <c r="AT7" s="887"/>
      <c r="AU7" s="887"/>
      <c r="AV7" s="887"/>
      <c r="AW7" s="887"/>
      <c r="AX7" s="887"/>
      <c r="AY7" s="887"/>
      <c r="AZ7" s="887"/>
      <c r="BA7" s="887"/>
      <c r="BB7" s="887"/>
      <c r="BC7" s="887"/>
      <c r="BD7" s="887"/>
      <c r="BE7" s="887"/>
      <c r="BF7" s="887"/>
      <c r="BG7" s="887"/>
      <c r="BH7" s="887"/>
      <c r="BI7" s="887"/>
      <c r="BJ7" s="887"/>
      <c r="BK7" s="887"/>
      <c r="BL7" s="887"/>
      <c r="BM7" s="887"/>
    </row>
    <row r="8" spans="1:65" ht="23.1" customHeight="1" x14ac:dyDescent="0.2">
      <c r="A8" s="883"/>
      <c r="B8" s="884"/>
      <c r="C8" s="884"/>
      <c r="D8" s="884"/>
      <c r="E8" s="884"/>
      <c r="F8" s="884"/>
      <c r="G8" s="884"/>
      <c r="H8" s="884"/>
      <c r="I8" s="884"/>
      <c r="J8" s="888" t="s">
        <v>1415</v>
      </c>
      <c r="K8" s="888"/>
      <c r="L8" s="888"/>
      <c r="M8" s="888"/>
      <c r="N8" s="888"/>
      <c r="O8" s="888"/>
      <c r="P8" s="888"/>
      <c r="Q8" s="888"/>
      <c r="R8" s="888"/>
      <c r="S8" s="888"/>
      <c r="T8" s="888"/>
      <c r="U8" s="888"/>
      <c r="V8" s="888"/>
      <c r="W8" s="888"/>
      <c r="X8" s="888"/>
      <c r="Y8" s="888"/>
      <c r="Z8" s="888"/>
      <c r="AA8" s="888"/>
      <c r="AB8" s="888"/>
      <c r="AC8" s="888"/>
      <c r="AD8" s="888"/>
      <c r="AE8" s="888"/>
      <c r="AF8" s="888"/>
      <c r="AG8" s="888"/>
      <c r="AH8" s="888"/>
      <c r="AI8" s="888"/>
      <c r="AJ8" s="888"/>
      <c r="AK8" s="888"/>
      <c r="AL8" s="888"/>
      <c r="AM8" s="888"/>
      <c r="AN8" s="888"/>
      <c r="AO8" s="888"/>
      <c r="AP8" s="888"/>
      <c r="AQ8" s="888"/>
      <c r="AR8" s="888"/>
      <c r="AS8" s="888" t="s">
        <v>1416</v>
      </c>
      <c r="AT8" s="888"/>
      <c r="AU8" s="888"/>
      <c r="AV8" s="888"/>
      <c r="AW8" s="888"/>
      <c r="AX8" s="888"/>
      <c r="AY8" s="888"/>
      <c r="AZ8" s="888"/>
      <c r="BA8" s="888"/>
      <c r="BB8" s="888"/>
      <c r="BC8" s="888"/>
      <c r="BD8" s="888"/>
      <c r="BE8" s="888"/>
      <c r="BF8" s="888"/>
      <c r="BG8" s="888"/>
      <c r="BH8" s="888"/>
      <c r="BI8" s="888"/>
      <c r="BJ8" s="888"/>
      <c r="BK8" s="888"/>
      <c r="BL8" s="888"/>
      <c r="BM8" s="888"/>
    </row>
    <row r="9" spans="1:65" ht="11.1" customHeight="1" x14ac:dyDescent="0.2">
      <c r="A9" s="883"/>
      <c r="B9" s="884"/>
      <c r="C9" s="884"/>
      <c r="D9" s="884"/>
      <c r="E9" s="884"/>
      <c r="F9" s="884"/>
      <c r="G9" s="884"/>
      <c r="H9" s="884"/>
      <c r="I9" s="884"/>
      <c r="J9" s="877" t="s">
        <v>1417</v>
      </c>
      <c r="K9" s="877"/>
      <c r="L9" s="877"/>
      <c r="M9" s="877"/>
      <c r="N9" s="877"/>
      <c r="O9" s="877"/>
      <c r="P9" s="877"/>
      <c r="Q9" s="889" t="s">
        <v>1418</v>
      </c>
      <c r="R9" s="889"/>
      <c r="S9" s="889"/>
      <c r="T9" s="889"/>
      <c r="U9" s="889"/>
      <c r="V9" s="889"/>
      <c r="W9" s="889"/>
      <c r="X9" s="889" t="s">
        <v>1419</v>
      </c>
      <c r="Y9" s="889"/>
      <c r="Z9" s="889"/>
      <c r="AA9" s="889"/>
      <c r="AB9" s="889"/>
      <c r="AC9" s="889"/>
      <c r="AD9" s="889"/>
      <c r="AE9" s="876" t="s">
        <v>1420</v>
      </c>
      <c r="AF9" s="876"/>
      <c r="AG9" s="876"/>
      <c r="AH9" s="876"/>
      <c r="AI9" s="876"/>
      <c r="AJ9" s="876"/>
      <c r="AK9" s="876"/>
      <c r="AL9" s="876"/>
      <c r="AM9" s="876"/>
      <c r="AN9" s="876"/>
      <c r="AO9" s="876"/>
      <c r="AP9" s="876"/>
      <c r="AQ9" s="876"/>
      <c r="AR9" s="876"/>
      <c r="AS9" s="877" t="s">
        <v>1417</v>
      </c>
      <c r="AT9" s="877"/>
      <c r="AU9" s="877"/>
      <c r="AV9" s="877"/>
      <c r="AW9" s="877"/>
      <c r="AX9" s="877"/>
      <c r="AY9" s="877"/>
      <c r="AZ9" s="876" t="s">
        <v>1420</v>
      </c>
      <c r="BA9" s="876"/>
      <c r="BB9" s="876"/>
      <c r="BC9" s="876"/>
      <c r="BD9" s="876"/>
      <c r="BE9" s="876"/>
      <c r="BF9" s="876"/>
      <c r="BG9" s="876"/>
      <c r="BH9" s="876"/>
      <c r="BI9" s="876"/>
      <c r="BJ9" s="876"/>
      <c r="BK9" s="876"/>
      <c r="BL9" s="876"/>
      <c r="BM9" s="876"/>
    </row>
    <row r="10" spans="1:65" ht="35.1" customHeight="1" x14ac:dyDescent="0.2">
      <c r="A10" s="885"/>
      <c r="B10" s="886"/>
      <c r="C10" s="886"/>
      <c r="D10" s="886"/>
      <c r="E10" s="886"/>
      <c r="F10" s="886"/>
      <c r="G10" s="886"/>
      <c r="H10" s="886"/>
      <c r="I10" s="886"/>
      <c r="J10" s="878"/>
      <c r="K10" s="879"/>
      <c r="L10" s="879"/>
      <c r="M10" s="879"/>
      <c r="N10" s="879"/>
      <c r="O10" s="879"/>
      <c r="P10" s="880"/>
      <c r="Q10" s="890"/>
      <c r="R10" s="891"/>
      <c r="S10" s="891"/>
      <c r="T10" s="891"/>
      <c r="U10" s="891"/>
      <c r="V10" s="891"/>
      <c r="W10" s="892"/>
      <c r="X10" s="890"/>
      <c r="Y10" s="891"/>
      <c r="Z10" s="891"/>
      <c r="AA10" s="891"/>
      <c r="AB10" s="891"/>
      <c r="AC10" s="891"/>
      <c r="AD10" s="892"/>
      <c r="AE10" s="876" t="s">
        <v>1421</v>
      </c>
      <c r="AF10" s="876"/>
      <c r="AG10" s="876"/>
      <c r="AH10" s="876"/>
      <c r="AI10" s="876"/>
      <c r="AJ10" s="876"/>
      <c r="AK10" s="876"/>
      <c r="AL10" s="876" t="s">
        <v>1422</v>
      </c>
      <c r="AM10" s="876"/>
      <c r="AN10" s="876"/>
      <c r="AO10" s="876"/>
      <c r="AP10" s="876"/>
      <c r="AQ10" s="876"/>
      <c r="AR10" s="876"/>
      <c r="AS10" s="878"/>
      <c r="AT10" s="879"/>
      <c r="AU10" s="879"/>
      <c r="AV10" s="879"/>
      <c r="AW10" s="879"/>
      <c r="AX10" s="879"/>
      <c r="AY10" s="880"/>
      <c r="AZ10" s="876" t="s">
        <v>1421</v>
      </c>
      <c r="BA10" s="876"/>
      <c r="BB10" s="876"/>
      <c r="BC10" s="876"/>
      <c r="BD10" s="876"/>
      <c r="BE10" s="876"/>
      <c r="BF10" s="876"/>
      <c r="BG10" s="876" t="s">
        <v>1422</v>
      </c>
      <c r="BH10" s="876"/>
      <c r="BI10" s="876"/>
      <c r="BJ10" s="876"/>
      <c r="BK10" s="876"/>
      <c r="BL10" s="876"/>
      <c r="BM10" s="876"/>
    </row>
    <row r="11" spans="1:65" ht="11.1" customHeight="1" thickBot="1" x14ac:dyDescent="0.25">
      <c r="A11" s="872" t="s">
        <v>894</v>
      </c>
      <c r="B11" s="872"/>
      <c r="C11" s="872"/>
      <c r="D11" s="872"/>
      <c r="E11" s="872"/>
      <c r="F11" s="872"/>
      <c r="G11" s="872"/>
      <c r="H11" s="872"/>
      <c r="I11" s="872"/>
      <c r="J11" s="871" t="s">
        <v>895</v>
      </c>
      <c r="K11" s="871"/>
      <c r="L11" s="871"/>
      <c r="M11" s="871"/>
      <c r="N11" s="871"/>
      <c r="O11" s="871"/>
      <c r="P11" s="871"/>
      <c r="Q11" s="873" t="s">
        <v>1423</v>
      </c>
      <c r="R11" s="873"/>
      <c r="S11" s="873"/>
      <c r="T11" s="873"/>
      <c r="U11" s="873"/>
      <c r="V11" s="873"/>
      <c r="W11" s="873"/>
      <c r="X11" s="873" t="s">
        <v>1424</v>
      </c>
      <c r="Y11" s="873"/>
      <c r="Z11" s="873"/>
      <c r="AA11" s="873"/>
      <c r="AB11" s="873"/>
      <c r="AC11" s="873"/>
      <c r="AD11" s="873"/>
      <c r="AE11" s="871" t="s">
        <v>1401</v>
      </c>
      <c r="AF11" s="871"/>
      <c r="AG11" s="871"/>
      <c r="AH11" s="871"/>
      <c r="AI11" s="871"/>
      <c r="AJ11" s="871"/>
      <c r="AK11" s="871"/>
      <c r="AL11" s="871" t="s">
        <v>1402</v>
      </c>
      <c r="AM11" s="871"/>
      <c r="AN11" s="871"/>
      <c r="AO11" s="871"/>
      <c r="AP11" s="871"/>
      <c r="AQ11" s="871"/>
      <c r="AR11" s="871"/>
      <c r="AS11" s="871" t="s">
        <v>1403</v>
      </c>
      <c r="AT11" s="871"/>
      <c r="AU11" s="871"/>
      <c r="AV11" s="871"/>
      <c r="AW11" s="871"/>
      <c r="AX11" s="871"/>
      <c r="AY11" s="871"/>
      <c r="AZ11" s="871" t="s">
        <v>1404</v>
      </c>
      <c r="BA11" s="871"/>
      <c r="BB11" s="871"/>
      <c r="BC11" s="871"/>
      <c r="BD11" s="871"/>
      <c r="BE11" s="871"/>
      <c r="BF11" s="871"/>
      <c r="BG11" s="871" t="s">
        <v>1405</v>
      </c>
      <c r="BH11" s="871"/>
      <c r="BI11" s="871"/>
      <c r="BJ11" s="871"/>
      <c r="BK11" s="871"/>
      <c r="BL11" s="871"/>
      <c r="BM11" s="871"/>
    </row>
    <row r="12" spans="1:65" s="618" customFormat="1" ht="11.1" customHeight="1" x14ac:dyDescent="0.2">
      <c r="A12" s="858" t="s">
        <v>1425</v>
      </c>
      <c r="B12" s="859"/>
      <c r="C12" s="859"/>
      <c r="D12" s="859"/>
      <c r="E12" s="859"/>
      <c r="F12" s="859"/>
      <c r="G12" s="859"/>
      <c r="H12" s="859"/>
      <c r="I12" s="860"/>
      <c r="J12" s="870">
        <f>SUM(J13:P22)</f>
        <v>765558.02</v>
      </c>
      <c r="K12" s="870"/>
      <c r="L12" s="870"/>
      <c r="M12" s="870"/>
      <c r="N12" s="870"/>
      <c r="O12" s="870"/>
      <c r="P12" s="870"/>
      <c r="Q12" s="870">
        <f t="shared" ref="Q12" si="0">SUM(Q13:W22)</f>
        <v>675092.78</v>
      </c>
      <c r="R12" s="870"/>
      <c r="S12" s="870"/>
      <c r="T12" s="870"/>
      <c r="U12" s="870"/>
      <c r="V12" s="870"/>
      <c r="W12" s="870"/>
      <c r="X12" s="870">
        <f t="shared" ref="X12" si="1">SUM(X13:AD22)</f>
        <v>90465.239999999991</v>
      </c>
      <c r="Y12" s="870"/>
      <c r="Z12" s="870"/>
      <c r="AA12" s="870"/>
      <c r="AB12" s="870"/>
      <c r="AC12" s="870"/>
      <c r="AD12" s="870"/>
      <c r="AE12" s="870">
        <f t="shared" ref="AE12" si="2">SUM(AE13:AK22)</f>
        <v>0</v>
      </c>
      <c r="AF12" s="870"/>
      <c r="AG12" s="870"/>
      <c r="AH12" s="870"/>
      <c r="AI12" s="870"/>
      <c r="AJ12" s="870"/>
      <c r="AK12" s="870"/>
      <c r="AL12" s="870">
        <f t="shared" ref="AL12" si="3">SUM(AL13:AR22)</f>
        <v>0</v>
      </c>
      <c r="AM12" s="870"/>
      <c r="AN12" s="870"/>
      <c r="AO12" s="870"/>
      <c r="AP12" s="870"/>
      <c r="AQ12" s="870"/>
      <c r="AR12" s="870"/>
      <c r="AS12" s="870">
        <f t="shared" ref="AS12" si="4">SUM(AS13:AY22)</f>
        <v>620248.34999999986</v>
      </c>
      <c r="AT12" s="870"/>
      <c r="AU12" s="870"/>
      <c r="AV12" s="870"/>
      <c r="AW12" s="870"/>
      <c r="AX12" s="870"/>
      <c r="AY12" s="870"/>
      <c r="AZ12" s="870">
        <f t="shared" ref="AZ12" si="5">SUM(AZ13:BF22)</f>
        <v>0</v>
      </c>
      <c r="BA12" s="870"/>
      <c r="BB12" s="870"/>
      <c r="BC12" s="870"/>
      <c r="BD12" s="870"/>
      <c r="BE12" s="870"/>
      <c r="BF12" s="870"/>
      <c r="BG12" s="870">
        <f t="shared" ref="BG12" si="6">SUM(BG13:BM22)</f>
        <v>0</v>
      </c>
      <c r="BH12" s="870"/>
      <c r="BI12" s="870"/>
      <c r="BJ12" s="870"/>
      <c r="BK12" s="870"/>
      <c r="BL12" s="870"/>
      <c r="BM12" s="870"/>
    </row>
    <row r="13" spans="1:65" s="617" customFormat="1" ht="25.5" customHeight="1" x14ac:dyDescent="0.2">
      <c r="A13" s="866" t="s">
        <v>1467</v>
      </c>
      <c r="B13" s="866"/>
      <c r="C13" s="866"/>
      <c r="D13" s="866"/>
      <c r="E13" s="866"/>
      <c r="F13" s="866"/>
      <c r="G13" s="867" t="s">
        <v>1427</v>
      </c>
      <c r="H13" s="867"/>
      <c r="I13" s="867"/>
      <c r="J13" s="868">
        <v>353614.59</v>
      </c>
      <c r="K13" s="868"/>
      <c r="L13" s="868"/>
      <c r="M13" s="868"/>
      <c r="N13" s="868"/>
      <c r="O13" s="868"/>
      <c r="P13" s="868"/>
      <c r="Q13" s="868">
        <v>353614.59</v>
      </c>
      <c r="R13" s="868"/>
      <c r="S13" s="868"/>
      <c r="T13" s="868"/>
      <c r="U13" s="868"/>
      <c r="V13" s="868"/>
      <c r="W13" s="868"/>
      <c r="X13" s="865">
        <v>0</v>
      </c>
      <c r="Y13" s="865"/>
      <c r="Z13" s="865"/>
      <c r="AA13" s="865"/>
      <c r="AB13" s="865"/>
      <c r="AC13" s="865"/>
      <c r="AD13" s="865"/>
      <c r="AE13" s="865">
        <v>0</v>
      </c>
      <c r="AF13" s="865"/>
      <c r="AG13" s="865"/>
      <c r="AH13" s="865"/>
      <c r="AI13" s="865"/>
      <c r="AJ13" s="865"/>
      <c r="AK13" s="865"/>
      <c r="AL13" s="865">
        <v>0</v>
      </c>
      <c r="AM13" s="865"/>
      <c r="AN13" s="865"/>
      <c r="AO13" s="865"/>
      <c r="AP13" s="865"/>
      <c r="AQ13" s="865"/>
      <c r="AR13" s="865"/>
      <c r="AS13" s="868">
        <v>280744.53000000003</v>
      </c>
      <c r="AT13" s="868"/>
      <c r="AU13" s="868"/>
      <c r="AV13" s="868"/>
      <c r="AW13" s="868"/>
      <c r="AX13" s="868"/>
      <c r="AY13" s="868"/>
      <c r="AZ13" s="865">
        <v>0</v>
      </c>
      <c r="BA13" s="865"/>
      <c r="BB13" s="865"/>
      <c r="BC13" s="865"/>
      <c r="BD13" s="865"/>
      <c r="BE13" s="865"/>
      <c r="BF13" s="865"/>
      <c r="BG13" s="865">
        <v>0</v>
      </c>
      <c r="BH13" s="865"/>
      <c r="BI13" s="865"/>
      <c r="BJ13" s="865"/>
      <c r="BK13" s="865"/>
      <c r="BL13" s="865"/>
      <c r="BM13" s="865"/>
    </row>
    <row r="14" spans="1:65" s="617" customFormat="1" ht="23.25" customHeight="1" x14ac:dyDescent="0.2">
      <c r="A14" s="866" t="s">
        <v>1468</v>
      </c>
      <c r="B14" s="866"/>
      <c r="C14" s="866"/>
      <c r="D14" s="866"/>
      <c r="E14" s="866"/>
      <c r="F14" s="866"/>
      <c r="G14" s="867" t="s">
        <v>1428</v>
      </c>
      <c r="H14" s="867"/>
      <c r="I14" s="867"/>
      <c r="J14" s="865">
        <v>0</v>
      </c>
      <c r="K14" s="865"/>
      <c r="L14" s="865"/>
      <c r="M14" s="865"/>
      <c r="N14" s="865"/>
      <c r="O14" s="865"/>
      <c r="P14" s="865"/>
      <c r="Q14" s="865">
        <v>0</v>
      </c>
      <c r="R14" s="865"/>
      <c r="S14" s="865"/>
      <c r="T14" s="865"/>
      <c r="U14" s="865"/>
      <c r="V14" s="865"/>
      <c r="W14" s="865"/>
      <c r="X14" s="865">
        <v>0</v>
      </c>
      <c r="Y14" s="865"/>
      <c r="Z14" s="865"/>
      <c r="AA14" s="865"/>
      <c r="AB14" s="865"/>
      <c r="AC14" s="865"/>
      <c r="AD14" s="865"/>
      <c r="AE14" s="865">
        <v>0</v>
      </c>
      <c r="AF14" s="865"/>
      <c r="AG14" s="865"/>
      <c r="AH14" s="865"/>
      <c r="AI14" s="865"/>
      <c r="AJ14" s="865"/>
      <c r="AK14" s="865"/>
      <c r="AL14" s="865">
        <v>0</v>
      </c>
      <c r="AM14" s="865"/>
      <c r="AN14" s="865"/>
      <c r="AO14" s="865"/>
      <c r="AP14" s="865"/>
      <c r="AQ14" s="865"/>
      <c r="AR14" s="865"/>
      <c r="AS14" s="868">
        <v>10784.05</v>
      </c>
      <c r="AT14" s="868"/>
      <c r="AU14" s="868"/>
      <c r="AV14" s="868"/>
      <c r="AW14" s="868"/>
      <c r="AX14" s="868"/>
      <c r="AY14" s="868"/>
      <c r="AZ14" s="865">
        <v>0</v>
      </c>
      <c r="BA14" s="865"/>
      <c r="BB14" s="865"/>
      <c r="BC14" s="865"/>
      <c r="BD14" s="865"/>
      <c r="BE14" s="865"/>
      <c r="BF14" s="865"/>
      <c r="BG14" s="865">
        <v>0</v>
      </c>
      <c r="BH14" s="865"/>
      <c r="BI14" s="865"/>
      <c r="BJ14" s="865"/>
      <c r="BK14" s="865"/>
      <c r="BL14" s="865"/>
      <c r="BM14" s="865"/>
    </row>
    <row r="15" spans="1:65" s="617" customFormat="1" ht="57" customHeight="1" x14ac:dyDescent="0.2">
      <c r="A15" s="866" t="s">
        <v>1469</v>
      </c>
      <c r="B15" s="866"/>
      <c r="C15" s="866"/>
      <c r="D15" s="866"/>
      <c r="E15" s="866"/>
      <c r="F15" s="866"/>
      <c r="G15" s="867" t="s">
        <v>1429</v>
      </c>
      <c r="H15" s="867"/>
      <c r="I15" s="867"/>
      <c r="J15" s="868">
        <v>129956.2</v>
      </c>
      <c r="K15" s="868"/>
      <c r="L15" s="868"/>
      <c r="M15" s="868"/>
      <c r="N15" s="868"/>
      <c r="O15" s="868"/>
      <c r="P15" s="868"/>
      <c r="Q15" s="868">
        <v>130490.97</v>
      </c>
      <c r="R15" s="868"/>
      <c r="S15" s="868"/>
      <c r="T15" s="868"/>
      <c r="U15" s="868"/>
      <c r="V15" s="868"/>
      <c r="W15" s="868"/>
      <c r="X15" s="869">
        <v>-534.77</v>
      </c>
      <c r="Y15" s="869"/>
      <c r="Z15" s="869"/>
      <c r="AA15" s="869"/>
      <c r="AB15" s="869"/>
      <c r="AC15" s="869"/>
      <c r="AD15" s="869"/>
      <c r="AE15" s="865">
        <v>0</v>
      </c>
      <c r="AF15" s="865"/>
      <c r="AG15" s="865"/>
      <c r="AH15" s="865"/>
      <c r="AI15" s="865"/>
      <c r="AJ15" s="865"/>
      <c r="AK15" s="865"/>
      <c r="AL15" s="865">
        <v>0</v>
      </c>
      <c r="AM15" s="865"/>
      <c r="AN15" s="865"/>
      <c r="AO15" s="865"/>
      <c r="AP15" s="865"/>
      <c r="AQ15" s="865"/>
      <c r="AR15" s="865"/>
      <c r="AS15" s="868">
        <v>108856.69</v>
      </c>
      <c r="AT15" s="868"/>
      <c r="AU15" s="868"/>
      <c r="AV15" s="868"/>
      <c r="AW15" s="868"/>
      <c r="AX15" s="868"/>
      <c r="AY15" s="868"/>
      <c r="AZ15" s="865">
        <v>0</v>
      </c>
      <c r="BA15" s="865"/>
      <c r="BB15" s="865"/>
      <c r="BC15" s="865"/>
      <c r="BD15" s="865"/>
      <c r="BE15" s="865"/>
      <c r="BF15" s="865"/>
      <c r="BG15" s="865">
        <v>0</v>
      </c>
      <c r="BH15" s="865"/>
      <c r="BI15" s="865"/>
      <c r="BJ15" s="865"/>
      <c r="BK15" s="865"/>
      <c r="BL15" s="865"/>
      <c r="BM15" s="865"/>
    </row>
    <row r="16" spans="1:65" s="617" customFormat="1" ht="37.5" customHeight="1" x14ac:dyDescent="0.2">
      <c r="A16" s="866" t="s">
        <v>1470</v>
      </c>
      <c r="B16" s="866"/>
      <c r="C16" s="866"/>
      <c r="D16" s="866"/>
      <c r="E16" s="866"/>
      <c r="F16" s="866"/>
      <c r="G16" s="867" t="s">
        <v>1430</v>
      </c>
      <c r="H16" s="867"/>
      <c r="I16" s="867"/>
      <c r="J16" s="868">
        <v>59204.53</v>
      </c>
      <c r="K16" s="868"/>
      <c r="L16" s="868"/>
      <c r="M16" s="868"/>
      <c r="N16" s="868"/>
      <c r="O16" s="868"/>
      <c r="P16" s="868"/>
      <c r="Q16" s="868">
        <v>59204.53</v>
      </c>
      <c r="R16" s="868"/>
      <c r="S16" s="868"/>
      <c r="T16" s="868"/>
      <c r="U16" s="868"/>
      <c r="V16" s="868"/>
      <c r="W16" s="868"/>
      <c r="X16" s="865">
        <v>0</v>
      </c>
      <c r="Y16" s="865"/>
      <c r="Z16" s="865"/>
      <c r="AA16" s="865"/>
      <c r="AB16" s="865"/>
      <c r="AC16" s="865"/>
      <c r="AD16" s="865"/>
      <c r="AE16" s="865">
        <v>0</v>
      </c>
      <c r="AF16" s="865"/>
      <c r="AG16" s="865"/>
      <c r="AH16" s="865"/>
      <c r="AI16" s="865"/>
      <c r="AJ16" s="865"/>
      <c r="AK16" s="865"/>
      <c r="AL16" s="865">
        <v>0</v>
      </c>
      <c r="AM16" s="865"/>
      <c r="AN16" s="865"/>
      <c r="AO16" s="865"/>
      <c r="AP16" s="865"/>
      <c r="AQ16" s="865"/>
      <c r="AR16" s="865"/>
      <c r="AS16" s="868">
        <v>93429.99</v>
      </c>
      <c r="AT16" s="868"/>
      <c r="AU16" s="868"/>
      <c r="AV16" s="868"/>
      <c r="AW16" s="868"/>
      <c r="AX16" s="868"/>
      <c r="AY16" s="868"/>
      <c r="AZ16" s="865">
        <v>0</v>
      </c>
      <c r="BA16" s="865"/>
      <c r="BB16" s="865"/>
      <c r="BC16" s="865"/>
      <c r="BD16" s="865"/>
      <c r="BE16" s="865"/>
      <c r="BF16" s="865"/>
      <c r="BG16" s="865">
        <v>0</v>
      </c>
      <c r="BH16" s="865"/>
      <c r="BI16" s="865"/>
      <c r="BJ16" s="865"/>
      <c r="BK16" s="865"/>
      <c r="BL16" s="865"/>
      <c r="BM16" s="865"/>
    </row>
    <row r="17" spans="1:65" s="617" customFormat="1" ht="36.75" customHeight="1" x14ac:dyDescent="0.2">
      <c r="A17" s="866" t="s">
        <v>1471</v>
      </c>
      <c r="B17" s="866"/>
      <c r="C17" s="866"/>
      <c r="D17" s="866"/>
      <c r="E17" s="866"/>
      <c r="F17" s="866"/>
      <c r="G17" s="867" t="s">
        <v>1431</v>
      </c>
      <c r="H17" s="867"/>
      <c r="I17" s="867"/>
      <c r="J17" s="868">
        <v>31555.78</v>
      </c>
      <c r="K17" s="868"/>
      <c r="L17" s="868"/>
      <c r="M17" s="868"/>
      <c r="N17" s="868"/>
      <c r="O17" s="868"/>
      <c r="P17" s="868"/>
      <c r="Q17" s="868">
        <v>31555.78</v>
      </c>
      <c r="R17" s="868"/>
      <c r="S17" s="868"/>
      <c r="T17" s="868"/>
      <c r="U17" s="868"/>
      <c r="V17" s="868"/>
      <c r="W17" s="868"/>
      <c r="X17" s="865">
        <v>0</v>
      </c>
      <c r="Y17" s="865"/>
      <c r="Z17" s="865"/>
      <c r="AA17" s="865"/>
      <c r="AB17" s="865"/>
      <c r="AC17" s="865"/>
      <c r="AD17" s="865"/>
      <c r="AE17" s="865">
        <v>0</v>
      </c>
      <c r="AF17" s="865"/>
      <c r="AG17" s="865"/>
      <c r="AH17" s="865"/>
      <c r="AI17" s="865"/>
      <c r="AJ17" s="865"/>
      <c r="AK17" s="865"/>
      <c r="AL17" s="865">
        <v>0</v>
      </c>
      <c r="AM17" s="865"/>
      <c r="AN17" s="865"/>
      <c r="AO17" s="865"/>
      <c r="AP17" s="865"/>
      <c r="AQ17" s="865"/>
      <c r="AR17" s="865"/>
      <c r="AS17" s="868">
        <v>32176.97</v>
      </c>
      <c r="AT17" s="868"/>
      <c r="AU17" s="868"/>
      <c r="AV17" s="868"/>
      <c r="AW17" s="868"/>
      <c r="AX17" s="868"/>
      <c r="AY17" s="868"/>
      <c r="AZ17" s="865">
        <v>0</v>
      </c>
      <c r="BA17" s="865"/>
      <c r="BB17" s="865"/>
      <c r="BC17" s="865"/>
      <c r="BD17" s="865"/>
      <c r="BE17" s="865"/>
      <c r="BF17" s="865"/>
      <c r="BG17" s="865">
        <v>0</v>
      </c>
      <c r="BH17" s="865"/>
      <c r="BI17" s="865"/>
      <c r="BJ17" s="865"/>
      <c r="BK17" s="865"/>
      <c r="BL17" s="865"/>
      <c r="BM17" s="865"/>
    </row>
    <row r="18" spans="1:65" s="617" customFormat="1" ht="33.75" customHeight="1" x14ac:dyDescent="0.2">
      <c r="A18" s="866" t="s">
        <v>1472</v>
      </c>
      <c r="B18" s="866"/>
      <c r="C18" s="866"/>
      <c r="D18" s="866"/>
      <c r="E18" s="866"/>
      <c r="F18" s="866"/>
      <c r="G18" s="867" t="s">
        <v>1432</v>
      </c>
      <c r="H18" s="867"/>
      <c r="I18" s="867"/>
      <c r="J18" s="868">
        <v>78934.19</v>
      </c>
      <c r="K18" s="868"/>
      <c r="L18" s="868"/>
      <c r="M18" s="868"/>
      <c r="N18" s="868"/>
      <c r="O18" s="868"/>
      <c r="P18" s="868"/>
      <c r="Q18" s="868">
        <v>78934.19</v>
      </c>
      <c r="R18" s="868"/>
      <c r="S18" s="868"/>
      <c r="T18" s="868"/>
      <c r="U18" s="868"/>
      <c r="V18" s="868"/>
      <c r="W18" s="868"/>
      <c r="X18" s="865">
        <v>0</v>
      </c>
      <c r="Y18" s="865"/>
      <c r="Z18" s="865"/>
      <c r="AA18" s="865"/>
      <c r="AB18" s="865"/>
      <c r="AC18" s="865"/>
      <c r="AD18" s="865"/>
      <c r="AE18" s="865">
        <v>0</v>
      </c>
      <c r="AF18" s="865"/>
      <c r="AG18" s="865"/>
      <c r="AH18" s="865"/>
      <c r="AI18" s="865"/>
      <c r="AJ18" s="865"/>
      <c r="AK18" s="865"/>
      <c r="AL18" s="865">
        <v>0</v>
      </c>
      <c r="AM18" s="865"/>
      <c r="AN18" s="865"/>
      <c r="AO18" s="865"/>
      <c r="AP18" s="865"/>
      <c r="AQ18" s="865"/>
      <c r="AR18" s="865"/>
      <c r="AS18" s="868">
        <v>86287.2</v>
      </c>
      <c r="AT18" s="868"/>
      <c r="AU18" s="868"/>
      <c r="AV18" s="868"/>
      <c r="AW18" s="868"/>
      <c r="AX18" s="868"/>
      <c r="AY18" s="868"/>
      <c r="AZ18" s="865">
        <v>0</v>
      </c>
      <c r="BA18" s="865"/>
      <c r="BB18" s="865"/>
      <c r="BC18" s="865"/>
      <c r="BD18" s="865"/>
      <c r="BE18" s="865"/>
      <c r="BF18" s="865"/>
      <c r="BG18" s="865">
        <v>0</v>
      </c>
      <c r="BH18" s="865"/>
      <c r="BI18" s="865"/>
      <c r="BJ18" s="865"/>
      <c r="BK18" s="865"/>
      <c r="BL18" s="865"/>
      <c r="BM18" s="865"/>
    </row>
    <row r="19" spans="1:65" s="617" customFormat="1" ht="113.25" customHeight="1" x14ac:dyDescent="0.2">
      <c r="A19" s="866" t="s">
        <v>1473</v>
      </c>
      <c r="B19" s="866"/>
      <c r="C19" s="866"/>
      <c r="D19" s="866"/>
      <c r="E19" s="866"/>
      <c r="F19" s="866"/>
      <c r="G19" s="867" t="s">
        <v>1435</v>
      </c>
      <c r="H19" s="867"/>
      <c r="I19" s="867"/>
      <c r="J19" s="868">
        <v>91000</v>
      </c>
      <c r="K19" s="868"/>
      <c r="L19" s="868"/>
      <c r="M19" s="868"/>
      <c r="N19" s="868"/>
      <c r="O19" s="868"/>
      <c r="P19" s="868"/>
      <c r="Q19" s="865">
        <v>0</v>
      </c>
      <c r="R19" s="865"/>
      <c r="S19" s="865"/>
      <c r="T19" s="865"/>
      <c r="U19" s="865"/>
      <c r="V19" s="865"/>
      <c r="W19" s="865"/>
      <c r="X19" s="868">
        <v>91000</v>
      </c>
      <c r="Y19" s="868"/>
      <c r="Z19" s="868"/>
      <c r="AA19" s="868"/>
      <c r="AB19" s="868"/>
      <c r="AC19" s="868"/>
      <c r="AD19" s="868"/>
      <c r="AE19" s="865">
        <v>0</v>
      </c>
      <c r="AF19" s="865"/>
      <c r="AG19" s="865"/>
      <c r="AH19" s="865"/>
      <c r="AI19" s="865"/>
      <c r="AJ19" s="865"/>
      <c r="AK19" s="865"/>
      <c r="AL19" s="865">
        <v>0</v>
      </c>
      <c r="AM19" s="865"/>
      <c r="AN19" s="865"/>
      <c r="AO19" s="865"/>
      <c r="AP19" s="865"/>
      <c r="AQ19" s="865"/>
      <c r="AR19" s="865"/>
      <c r="AS19" s="865">
        <v>0</v>
      </c>
      <c r="AT19" s="865"/>
      <c r="AU19" s="865"/>
      <c r="AV19" s="865"/>
      <c r="AW19" s="865"/>
      <c r="AX19" s="865"/>
      <c r="AY19" s="865"/>
      <c r="AZ19" s="865">
        <v>0</v>
      </c>
      <c r="BA19" s="865"/>
      <c r="BB19" s="865"/>
      <c r="BC19" s="865"/>
      <c r="BD19" s="865"/>
      <c r="BE19" s="865"/>
      <c r="BF19" s="865"/>
      <c r="BG19" s="865">
        <v>0</v>
      </c>
      <c r="BH19" s="865"/>
      <c r="BI19" s="865"/>
      <c r="BJ19" s="865"/>
      <c r="BK19" s="865"/>
      <c r="BL19" s="865"/>
      <c r="BM19" s="865"/>
    </row>
    <row r="20" spans="1:65" s="617" customFormat="1" ht="45" customHeight="1" x14ac:dyDescent="0.2">
      <c r="A20" s="866" t="s">
        <v>1482</v>
      </c>
      <c r="B20" s="866"/>
      <c r="C20" s="866"/>
      <c r="D20" s="866"/>
      <c r="E20" s="866"/>
      <c r="F20" s="866"/>
      <c r="G20" s="867" t="s">
        <v>1439</v>
      </c>
      <c r="H20" s="867"/>
      <c r="I20" s="867"/>
      <c r="J20" s="868">
        <v>18922.900000000001</v>
      </c>
      <c r="K20" s="868"/>
      <c r="L20" s="868"/>
      <c r="M20" s="868"/>
      <c r="N20" s="868"/>
      <c r="O20" s="868"/>
      <c r="P20" s="868"/>
      <c r="Q20" s="868">
        <v>18922.89</v>
      </c>
      <c r="R20" s="868"/>
      <c r="S20" s="868"/>
      <c r="T20" s="868"/>
      <c r="U20" s="868"/>
      <c r="V20" s="868"/>
      <c r="W20" s="868"/>
      <c r="X20" s="869">
        <v>0.01</v>
      </c>
      <c r="Y20" s="869"/>
      <c r="Z20" s="869"/>
      <c r="AA20" s="869"/>
      <c r="AB20" s="869"/>
      <c r="AC20" s="869"/>
      <c r="AD20" s="869"/>
      <c r="AE20" s="865">
        <v>0</v>
      </c>
      <c r="AF20" s="865"/>
      <c r="AG20" s="865"/>
      <c r="AH20" s="865"/>
      <c r="AI20" s="865"/>
      <c r="AJ20" s="865"/>
      <c r="AK20" s="865"/>
      <c r="AL20" s="865">
        <v>0</v>
      </c>
      <c r="AM20" s="865"/>
      <c r="AN20" s="865"/>
      <c r="AO20" s="865"/>
      <c r="AP20" s="865"/>
      <c r="AQ20" s="865"/>
      <c r="AR20" s="865"/>
      <c r="AS20" s="869">
        <v>522.89</v>
      </c>
      <c r="AT20" s="869"/>
      <c r="AU20" s="869"/>
      <c r="AV20" s="869"/>
      <c r="AW20" s="869"/>
      <c r="AX20" s="869"/>
      <c r="AY20" s="869"/>
      <c r="AZ20" s="865">
        <v>0</v>
      </c>
      <c r="BA20" s="865"/>
      <c r="BB20" s="865"/>
      <c r="BC20" s="865"/>
      <c r="BD20" s="865"/>
      <c r="BE20" s="865"/>
      <c r="BF20" s="865"/>
      <c r="BG20" s="865">
        <v>0</v>
      </c>
      <c r="BH20" s="865"/>
      <c r="BI20" s="865"/>
      <c r="BJ20" s="865"/>
      <c r="BK20" s="865"/>
      <c r="BL20" s="865"/>
      <c r="BM20" s="865"/>
    </row>
    <row r="21" spans="1:65" s="617" customFormat="1" ht="35.25" customHeight="1" x14ac:dyDescent="0.2">
      <c r="A21" s="866" t="s">
        <v>1483</v>
      </c>
      <c r="B21" s="866"/>
      <c r="C21" s="866"/>
      <c r="D21" s="866"/>
      <c r="E21" s="866"/>
      <c r="F21" s="866"/>
      <c r="G21" s="867" t="s">
        <v>1441</v>
      </c>
      <c r="H21" s="867"/>
      <c r="I21" s="867"/>
      <c r="J21" s="868">
        <v>2369.83</v>
      </c>
      <c r="K21" s="868"/>
      <c r="L21" s="868"/>
      <c r="M21" s="868"/>
      <c r="N21" s="868"/>
      <c r="O21" s="868"/>
      <c r="P21" s="868"/>
      <c r="Q21" s="868">
        <v>2369.83</v>
      </c>
      <c r="R21" s="868"/>
      <c r="S21" s="868"/>
      <c r="T21" s="868"/>
      <c r="U21" s="868"/>
      <c r="V21" s="868"/>
      <c r="W21" s="868"/>
      <c r="X21" s="865">
        <v>0</v>
      </c>
      <c r="Y21" s="865"/>
      <c r="Z21" s="865"/>
      <c r="AA21" s="865"/>
      <c r="AB21" s="865"/>
      <c r="AC21" s="865"/>
      <c r="AD21" s="865"/>
      <c r="AE21" s="865">
        <v>0</v>
      </c>
      <c r="AF21" s="865"/>
      <c r="AG21" s="865"/>
      <c r="AH21" s="865"/>
      <c r="AI21" s="865"/>
      <c r="AJ21" s="865"/>
      <c r="AK21" s="865"/>
      <c r="AL21" s="865">
        <v>0</v>
      </c>
      <c r="AM21" s="865"/>
      <c r="AN21" s="865"/>
      <c r="AO21" s="865"/>
      <c r="AP21" s="865"/>
      <c r="AQ21" s="865"/>
      <c r="AR21" s="865"/>
      <c r="AS21" s="868">
        <v>3352.32</v>
      </c>
      <c r="AT21" s="868"/>
      <c r="AU21" s="868"/>
      <c r="AV21" s="868"/>
      <c r="AW21" s="868"/>
      <c r="AX21" s="868"/>
      <c r="AY21" s="868"/>
      <c r="AZ21" s="865">
        <v>0</v>
      </c>
      <c r="BA21" s="865"/>
      <c r="BB21" s="865"/>
      <c r="BC21" s="865"/>
      <c r="BD21" s="865"/>
      <c r="BE21" s="865"/>
      <c r="BF21" s="865"/>
      <c r="BG21" s="865">
        <v>0</v>
      </c>
      <c r="BH21" s="865"/>
      <c r="BI21" s="865"/>
      <c r="BJ21" s="865"/>
      <c r="BK21" s="865"/>
      <c r="BL21" s="865"/>
      <c r="BM21" s="865"/>
    </row>
    <row r="22" spans="1:65" s="617" customFormat="1" ht="24" customHeight="1" x14ac:dyDescent="0.2">
      <c r="A22" s="866" t="s">
        <v>1492</v>
      </c>
      <c r="B22" s="866"/>
      <c r="C22" s="866"/>
      <c r="D22" s="866"/>
      <c r="E22" s="866"/>
      <c r="F22" s="866"/>
      <c r="G22" s="867" t="s">
        <v>1442</v>
      </c>
      <c r="H22" s="867"/>
      <c r="I22" s="867"/>
      <c r="J22" s="865">
        <v>0</v>
      </c>
      <c r="K22" s="865"/>
      <c r="L22" s="865"/>
      <c r="M22" s="865"/>
      <c r="N22" s="865"/>
      <c r="O22" s="865"/>
      <c r="P22" s="865"/>
      <c r="Q22" s="865">
        <v>0</v>
      </c>
      <c r="R22" s="865"/>
      <c r="S22" s="865"/>
      <c r="T22" s="865"/>
      <c r="U22" s="865"/>
      <c r="V22" s="865"/>
      <c r="W22" s="865"/>
      <c r="X22" s="865">
        <v>0</v>
      </c>
      <c r="Y22" s="865"/>
      <c r="Z22" s="865"/>
      <c r="AA22" s="865"/>
      <c r="AB22" s="865"/>
      <c r="AC22" s="865"/>
      <c r="AD22" s="865"/>
      <c r="AE22" s="865">
        <v>0</v>
      </c>
      <c r="AF22" s="865"/>
      <c r="AG22" s="865"/>
      <c r="AH22" s="865"/>
      <c r="AI22" s="865"/>
      <c r="AJ22" s="865"/>
      <c r="AK22" s="865"/>
      <c r="AL22" s="865">
        <v>0</v>
      </c>
      <c r="AM22" s="865"/>
      <c r="AN22" s="865"/>
      <c r="AO22" s="865"/>
      <c r="AP22" s="865"/>
      <c r="AQ22" s="865"/>
      <c r="AR22" s="865"/>
      <c r="AS22" s="868">
        <v>4093.71</v>
      </c>
      <c r="AT22" s="868"/>
      <c r="AU22" s="868"/>
      <c r="AV22" s="868"/>
      <c r="AW22" s="868"/>
      <c r="AX22" s="868"/>
      <c r="AY22" s="868"/>
      <c r="AZ22" s="865">
        <v>0</v>
      </c>
      <c r="BA22" s="865"/>
      <c r="BB22" s="865"/>
      <c r="BC22" s="865"/>
      <c r="BD22" s="865"/>
      <c r="BE22" s="865"/>
      <c r="BF22" s="865"/>
      <c r="BG22" s="865">
        <v>0</v>
      </c>
      <c r="BH22" s="865"/>
      <c r="BI22" s="865"/>
      <c r="BJ22" s="865"/>
      <c r="BK22" s="865"/>
      <c r="BL22" s="865"/>
      <c r="BM22" s="865"/>
    </row>
    <row r="23" spans="1:65" s="618" customFormat="1" ht="11.25" x14ac:dyDescent="0.2">
      <c r="A23" s="858" t="s">
        <v>1426</v>
      </c>
      <c r="B23" s="859"/>
      <c r="C23" s="859"/>
      <c r="D23" s="859"/>
      <c r="E23" s="859"/>
      <c r="F23" s="859"/>
      <c r="G23" s="859"/>
      <c r="H23" s="859"/>
      <c r="I23" s="860"/>
      <c r="J23" s="870">
        <f>SUM(J24:P31)</f>
        <v>22363393.949999999</v>
      </c>
      <c r="K23" s="870"/>
      <c r="L23" s="870"/>
      <c r="M23" s="870"/>
      <c r="N23" s="870"/>
      <c r="O23" s="870"/>
      <c r="P23" s="870"/>
      <c r="Q23" s="870">
        <f t="shared" ref="Q23" si="7">SUM(Q24:W31)</f>
        <v>22339204.129999999</v>
      </c>
      <c r="R23" s="870"/>
      <c r="S23" s="870"/>
      <c r="T23" s="870"/>
      <c r="U23" s="870"/>
      <c r="V23" s="870"/>
      <c r="W23" s="870"/>
      <c r="X23" s="870">
        <f t="shared" ref="X23" si="8">SUM(X24:AD31)</f>
        <v>24189.82</v>
      </c>
      <c r="Y23" s="870"/>
      <c r="Z23" s="870"/>
      <c r="AA23" s="870"/>
      <c r="AB23" s="870"/>
      <c r="AC23" s="870"/>
      <c r="AD23" s="870"/>
      <c r="AE23" s="870">
        <f t="shared" ref="AE23" si="9">SUM(AE24:AK31)</f>
        <v>0</v>
      </c>
      <c r="AF23" s="870"/>
      <c r="AG23" s="870"/>
      <c r="AH23" s="870"/>
      <c r="AI23" s="870"/>
      <c r="AJ23" s="870"/>
      <c r="AK23" s="870"/>
      <c r="AL23" s="870">
        <f t="shared" ref="AL23" si="10">SUM(AL24:AR31)</f>
        <v>0</v>
      </c>
      <c r="AM23" s="870"/>
      <c r="AN23" s="870"/>
      <c r="AO23" s="870"/>
      <c r="AP23" s="870"/>
      <c r="AQ23" s="870"/>
      <c r="AR23" s="870"/>
      <c r="AS23" s="870">
        <f t="shared" ref="AS23" si="11">SUM(AS24:AY31)</f>
        <v>14354690.130000001</v>
      </c>
      <c r="AT23" s="870"/>
      <c r="AU23" s="870"/>
      <c r="AV23" s="870"/>
      <c r="AW23" s="870"/>
      <c r="AX23" s="870"/>
      <c r="AY23" s="870"/>
      <c r="AZ23" s="870">
        <f t="shared" ref="AZ23" si="12">SUM(AZ24:BF31)</f>
        <v>0</v>
      </c>
      <c r="BA23" s="870"/>
      <c r="BB23" s="870"/>
      <c r="BC23" s="870"/>
      <c r="BD23" s="870"/>
      <c r="BE23" s="870"/>
      <c r="BF23" s="870"/>
      <c r="BG23" s="870">
        <f t="shared" ref="BG23" si="13">SUM(BG24:BM31)</f>
        <v>0</v>
      </c>
      <c r="BH23" s="870"/>
      <c r="BI23" s="870"/>
      <c r="BJ23" s="870"/>
      <c r="BK23" s="870"/>
      <c r="BL23" s="870"/>
      <c r="BM23" s="870"/>
    </row>
    <row r="24" spans="1:65" s="617" customFormat="1" ht="43.5" customHeight="1" x14ac:dyDescent="0.2">
      <c r="A24" s="866" t="s">
        <v>1474</v>
      </c>
      <c r="B24" s="866"/>
      <c r="C24" s="866"/>
      <c r="D24" s="866"/>
      <c r="E24" s="866"/>
      <c r="F24" s="866"/>
      <c r="G24" s="867" t="s">
        <v>1449</v>
      </c>
      <c r="H24" s="867"/>
      <c r="I24" s="867"/>
      <c r="J24" s="869">
        <v>863.6</v>
      </c>
      <c r="K24" s="869"/>
      <c r="L24" s="869"/>
      <c r="M24" s="869"/>
      <c r="N24" s="869"/>
      <c r="O24" s="869"/>
      <c r="P24" s="869"/>
      <c r="Q24" s="869">
        <v>863.6</v>
      </c>
      <c r="R24" s="869"/>
      <c r="S24" s="869"/>
      <c r="T24" s="869"/>
      <c r="U24" s="869"/>
      <c r="V24" s="869"/>
      <c r="W24" s="869"/>
      <c r="X24" s="865">
        <v>0</v>
      </c>
      <c r="Y24" s="865"/>
      <c r="Z24" s="865"/>
      <c r="AA24" s="865"/>
      <c r="AB24" s="865"/>
      <c r="AC24" s="865"/>
      <c r="AD24" s="865"/>
      <c r="AE24" s="865">
        <v>0</v>
      </c>
      <c r="AF24" s="865"/>
      <c r="AG24" s="865"/>
      <c r="AH24" s="865"/>
      <c r="AI24" s="865"/>
      <c r="AJ24" s="865"/>
      <c r="AK24" s="865"/>
      <c r="AL24" s="865">
        <v>0</v>
      </c>
      <c r="AM24" s="865"/>
      <c r="AN24" s="865"/>
      <c r="AO24" s="865"/>
      <c r="AP24" s="865"/>
      <c r="AQ24" s="865"/>
      <c r="AR24" s="865"/>
      <c r="AS24" s="865">
        <v>0</v>
      </c>
      <c r="AT24" s="865"/>
      <c r="AU24" s="865"/>
      <c r="AV24" s="865"/>
      <c r="AW24" s="865"/>
      <c r="AX24" s="865"/>
      <c r="AY24" s="865"/>
      <c r="AZ24" s="865">
        <v>0</v>
      </c>
      <c r="BA24" s="865"/>
      <c r="BB24" s="865"/>
      <c r="BC24" s="865"/>
      <c r="BD24" s="865"/>
      <c r="BE24" s="865"/>
      <c r="BF24" s="865"/>
      <c r="BG24" s="865">
        <v>0</v>
      </c>
      <c r="BH24" s="865"/>
      <c r="BI24" s="865"/>
      <c r="BJ24" s="865"/>
      <c r="BK24" s="865"/>
      <c r="BL24" s="865"/>
      <c r="BM24" s="865"/>
    </row>
    <row r="25" spans="1:65" s="617" customFormat="1" ht="66.75" customHeight="1" x14ac:dyDescent="0.2">
      <c r="A25" s="866" t="s">
        <v>1475</v>
      </c>
      <c r="B25" s="866"/>
      <c r="C25" s="866"/>
      <c r="D25" s="866"/>
      <c r="E25" s="866"/>
      <c r="F25" s="866"/>
      <c r="G25" s="867" t="s">
        <v>1453</v>
      </c>
      <c r="H25" s="867"/>
      <c r="I25" s="867"/>
      <c r="J25" s="869">
        <v>240</v>
      </c>
      <c r="K25" s="869"/>
      <c r="L25" s="869"/>
      <c r="M25" s="869"/>
      <c r="N25" s="869"/>
      <c r="O25" s="869"/>
      <c r="P25" s="869"/>
      <c r="Q25" s="869">
        <v>240</v>
      </c>
      <c r="R25" s="869"/>
      <c r="S25" s="869"/>
      <c r="T25" s="869"/>
      <c r="U25" s="869"/>
      <c r="V25" s="869"/>
      <c r="W25" s="869"/>
      <c r="X25" s="865">
        <v>0</v>
      </c>
      <c r="Y25" s="865"/>
      <c r="Z25" s="865"/>
      <c r="AA25" s="865"/>
      <c r="AB25" s="865"/>
      <c r="AC25" s="865"/>
      <c r="AD25" s="865"/>
      <c r="AE25" s="865">
        <v>0</v>
      </c>
      <c r="AF25" s="865"/>
      <c r="AG25" s="865"/>
      <c r="AH25" s="865"/>
      <c r="AI25" s="865"/>
      <c r="AJ25" s="865"/>
      <c r="AK25" s="865"/>
      <c r="AL25" s="865">
        <v>0</v>
      </c>
      <c r="AM25" s="865"/>
      <c r="AN25" s="865"/>
      <c r="AO25" s="865"/>
      <c r="AP25" s="865"/>
      <c r="AQ25" s="865"/>
      <c r="AR25" s="865"/>
      <c r="AS25" s="865">
        <v>0</v>
      </c>
      <c r="AT25" s="865"/>
      <c r="AU25" s="865"/>
      <c r="AV25" s="865"/>
      <c r="AW25" s="865"/>
      <c r="AX25" s="865"/>
      <c r="AY25" s="865"/>
      <c r="AZ25" s="865">
        <v>0</v>
      </c>
      <c r="BA25" s="865"/>
      <c r="BB25" s="865"/>
      <c r="BC25" s="865"/>
      <c r="BD25" s="865"/>
      <c r="BE25" s="865"/>
      <c r="BF25" s="865"/>
      <c r="BG25" s="865">
        <v>0</v>
      </c>
      <c r="BH25" s="865"/>
      <c r="BI25" s="865"/>
      <c r="BJ25" s="865"/>
      <c r="BK25" s="865"/>
      <c r="BL25" s="865"/>
      <c r="BM25" s="865"/>
    </row>
    <row r="26" spans="1:65" s="617" customFormat="1" ht="25.5" customHeight="1" x14ac:dyDescent="0.2">
      <c r="A26" s="866" t="s">
        <v>1504</v>
      </c>
      <c r="B26" s="866"/>
      <c r="C26" s="866"/>
      <c r="D26" s="866"/>
      <c r="E26" s="866"/>
      <c r="F26" s="866"/>
      <c r="G26" s="867" t="s">
        <v>1463</v>
      </c>
      <c r="H26" s="867"/>
      <c r="I26" s="867"/>
      <c r="J26" s="868">
        <v>1065</v>
      </c>
      <c r="K26" s="868"/>
      <c r="L26" s="868"/>
      <c r="M26" s="868"/>
      <c r="N26" s="868"/>
      <c r="O26" s="868"/>
      <c r="P26" s="868"/>
      <c r="Q26" s="865">
        <v>0</v>
      </c>
      <c r="R26" s="865"/>
      <c r="S26" s="865"/>
      <c r="T26" s="865"/>
      <c r="U26" s="865"/>
      <c r="V26" s="865"/>
      <c r="W26" s="865"/>
      <c r="X26" s="868">
        <v>1065</v>
      </c>
      <c r="Y26" s="868"/>
      <c r="Z26" s="868"/>
      <c r="AA26" s="868"/>
      <c r="AB26" s="868"/>
      <c r="AC26" s="868"/>
      <c r="AD26" s="868"/>
      <c r="AE26" s="865">
        <v>0</v>
      </c>
      <c r="AF26" s="865"/>
      <c r="AG26" s="865"/>
      <c r="AH26" s="865"/>
      <c r="AI26" s="865"/>
      <c r="AJ26" s="865"/>
      <c r="AK26" s="865"/>
      <c r="AL26" s="865">
        <v>0</v>
      </c>
      <c r="AM26" s="865"/>
      <c r="AN26" s="865"/>
      <c r="AO26" s="865"/>
      <c r="AP26" s="865"/>
      <c r="AQ26" s="865"/>
      <c r="AR26" s="865"/>
      <c r="AS26" s="865">
        <v>0</v>
      </c>
      <c r="AT26" s="865"/>
      <c r="AU26" s="865"/>
      <c r="AV26" s="865"/>
      <c r="AW26" s="865"/>
      <c r="AX26" s="865"/>
      <c r="AY26" s="865"/>
      <c r="AZ26" s="865">
        <v>0</v>
      </c>
      <c r="BA26" s="865"/>
      <c r="BB26" s="865"/>
      <c r="BC26" s="865"/>
      <c r="BD26" s="865"/>
      <c r="BE26" s="865"/>
      <c r="BF26" s="865"/>
      <c r="BG26" s="865">
        <v>0</v>
      </c>
      <c r="BH26" s="865"/>
      <c r="BI26" s="865"/>
      <c r="BJ26" s="865"/>
      <c r="BK26" s="865"/>
      <c r="BL26" s="865"/>
      <c r="BM26" s="865"/>
    </row>
    <row r="27" spans="1:65" s="617" customFormat="1" ht="54" customHeight="1" x14ac:dyDescent="0.2">
      <c r="A27" s="866" t="s">
        <v>1481</v>
      </c>
      <c r="B27" s="866"/>
      <c r="C27" s="866"/>
      <c r="D27" s="866"/>
      <c r="E27" s="866"/>
      <c r="F27" s="866"/>
      <c r="G27" s="867" t="s">
        <v>1464</v>
      </c>
      <c r="H27" s="867"/>
      <c r="I27" s="867"/>
      <c r="J27" s="868">
        <v>830473.97</v>
      </c>
      <c r="K27" s="868"/>
      <c r="L27" s="868"/>
      <c r="M27" s="868"/>
      <c r="N27" s="868"/>
      <c r="O27" s="868"/>
      <c r="P27" s="868"/>
      <c r="Q27" s="868">
        <v>830473.97</v>
      </c>
      <c r="R27" s="868"/>
      <c r="S27" s="868"/>
      <c r="T27" s="868"/>
      <c r="U27" s="868"/>
      <c r="V27" s="868"/>
      <c r="W27" s="868"/>
      <c r="X27" s="865">
        <v>0</v>
      </c>
      <c r="Y27" s="865"/>
      <c r="Z27" s="865"/>
      <c r="AA27" s="865"/>
      <c r="AB27" s="865"/>
      <c r="AC27" s="865"/>
      <c r="AD27" s="865"/>
      <c r="AE27" s="865">
        <v>0</v>
      </c>
      <c r="AF27" s="865"/>
      <c r="AG27" s="865"/>
      <c r="AH27" s="865"/>
      <c r="AI27" s="865"/>
      <c r="AJ27" s="865"/>
      <c r="AK27" s="865"/>
      <c r="AL27" s="865">
        <v>0</v>
      </c>
      <c r="AM27" s="865"/>
      <c r="AN27" s="865"/>
      <c r="AO27" s="865"/>
      <c r="AP27" s="865"/>
      <c r="AQ27" s="865"/>
      <c r="AR27" s="865"/>
      <c r="AS27" s="868">
        <v>692665.23</v>
      </c>
      <c r="AT27" s="868"/>
      <c r="AU27" s="868"/>
      <c r="AV27" s="868"/>
      <c r="AW27" s="868"/>
      <c r="AX27" s="868"/>
      <c r="AY27" s="868"/>
      <c r="AZ27" s="865">
        <v>0</v>
      </c>
      <c r="BA27" s="865"/>
      <c r="BB27" s="865"/>
      <c r="BC27" s="865"/>
      <c r="BD27" s="865"/>
      <c r="BE27" s="865"/>
      <c r="BF27" s="865"/>
      <c r="BG27" s="865">
        <v>0</v>
      </c>
      <c r="BH27" s="865"/>
      <c r="BI27" s="865"/>
      <c r="BJ27" s="865"/>
      <c r="BK27" s="865"/>
      <c r="BL27" s="865"/>
      <c r="BM27" s="865"/>
    </row>
    <row r="28" spans="1:65" s="617" customFormat="1" ht="15" customHeight="1" x14ac:dyDescent="0.2">
      <c r="A28" s="866" t="s">
        <v>1476</v>
      </c>
      <c r="B28" s="866"/>
      <c r="C28" s="866"/>
      <c r="D28" s="866"/>
      <c r="E28" s="866"/>
      <c r="F28" s="866"/>
      <c r="G28" s="867" t="s">
        <v>1465</v>
      </c>
      <c r="H28" s="867"/>
      <c r="I28" s="867"/>
      <c r="J28" s="868">
        <v>66568.92</v>
      </c>
      <c r="K28" s="868"/>
      <c r="L28" s="868"/>
      <c r="M28" s="868"/>
      <c r="N28" s="868"/>
      <c r="O28" s="868"/>
      <c r="P28" s="868"/>
      <c r="Q28" s="868">
        <v>66568.92</v>
      </c>
      <c r="R28" s="868"/>
      <c r="S28" s="868"/>
      <c r="T28" s="868"/>
      <c r="U28" s="868"/>
      <c r="V28" s="868"/>
      <c r="W28" s="868"/>
      <c r="X28" s="865">
        <v>0</v>
      </c>
      <c r="Y28" s="865"/>
      <c r="Z28" s="865"/>
      <c r="AA28" s="865"/>
      <c r="AB28" s="865"/>
      <c r="AC28" s="865"/>
      <c r="AD28" s="865"/>
      <c r="AE28" s="865">
        <v>0</v>
      </c>
      <c r="AF28" s="865"/>
      <c r="AG28" s="865"/>
      <c r="AH28" s="865"/>
      <c r="AI28" s="865"/>
      <c r="AJ28" s="865"/>
      <c r="AK28" s="865"/>
      <c r="AL28" s="865">
        <v>0</v>
      </c>
      <c r="AM28" s="865"/>
      <c r="AN28" s="865"/>
      <c r="AO28" s="865"/>
      <c r="AP28" s="865"/>
      <c r="AQ28" s="865"/>
      <c r="AR28" s="865"/>
      <c r="AS28" s="865">
        <v>0</v>
      </c>
      <c r="AT28" s="865"/>
      <c r="AU28" s="865"/>
      <c r="AV28" s="865"/>
      <c r="AW28" s="865"/>
      <c r="AX28" s="865"/>
      <c r="AY28" s="865"/>
      <c r="AZ28" s="865">
        <v>0</v>
      </c>
      <c r="BA28" s="865"/>
      <c r="BB28" s="865"/>
      <c r="BC28" s="865"/>
      <c r="BD28" s="865"/>
      <c r="BE28" s="865"/>
      <c r="BF28" s="865"/>
      <c r="BG28" s="865">
        <v>0</v>
      </c>
      <c r="BH28" s="865"/>
      <c r="BI28" s="865"/>
      <c r="BJ28" s="865"/>
      <c r="BK28" s="865"/>
      <c r="BL28" s="865"/>
      <c r="BM28" s="865"/>
    </row>
    <row r="29" spans="1:65" s="617" customFormat="1" ht="33" customHeight="1" x14ac:dyDescent="0.2">
      <c r="A29" s="866" t="s">
        <v>1477</v>
      </c>
      <c r="B29" s="866"/>
      <c r="C29" s="866"/>
      <c r="D29" s="866"/>
      <c r="E29" s="866"/>
      <c r="F29" s="866"/>
      <c r="G29" s="867" t="s">
        <v>1458</v>
      </c>
      <c r="H29" s="867"/>
      <c r="I29" s="867"/>
      <c r="J29" s="868">
        <v>21441057.640000001</v>
      </c>
      <c r="K29" s="868"/>
      <c r="L29" s="868"/>
      <c r="M29" s="868"/>
      <c r="N29" s="868"/>
      <c r="O29" s="868"/>
      <c r="P29" s="868"/>
      <c r="Q29" s="868">
        <v>21441057.640000001</v>
      </c>
      <c r="R29" s="868"/>
      <c r="S29" s="868"/>
      <c r="T29" s="868"/>
      <c r="U29" s="868"/>
      <c r="V29" s="868"/>
      <c r="W29" s="868"/>
      <c r="X29" s="865">
        <v>0</v>
      </c>
      <c r="Y29" s="865"/>
      <c r="Z29" s="865"/>
      <c r="AA29" s="865"/>
      <c r="AB29" s="865"/>
      <c r="AC29" s="865"/>
      <c r="AD29" s="865"/>
      <c r="AE29" s="865">
        <v>0</v>
      </c>
      <c r="AF29" s="865"/>
      <c r="AG29" s="865"/>
      <c r="AH29" s="865"/>
      <c r="AI29" s="865"/>
      <c r="AJ29" s="865"/>
      <c r="AK29" s="865"/>
      <c r="AL29" s="865">
        <v>0</v>
      </c>
      <c r="AM29" s="865"/>
      <c r="AN29" s="865"/>
      <c r="AO29" s="865"/>
      <c r="AP29" s="865"/>
      <c r="AQ29" s="865"/>
      <c r="AR29" s="865"/>
      <c r="AS29" s="868">
        <v>13662024.9</v>
      </c>
      <c r="AT29" s="868"/>
      <c r="AU29" s="868"/>
      <c r="AV29" s="868"/>
      <c r="AW29" s="868"/>
      <c r="AX29" s="868"/>
      <c r="AY29" s="868"/>
      <c r="AZ29" s="865">
        <v>0</v>
      </c>
      <c r="BA29" s="865"/>
      <c r="BB29" s="865"/>
      <c r="BC29" s="865"/>
      <c r="BD29" s="865"/>
      <c r="BE29" s="865"/>
      <c r="BF29" s="865"/>
      <c r="BG29" s="865">
        <v>0</v>
      </c>
      <c r="BH29" s="865"/>
      <c r="BI29" s="865"/>
      <c r="BJ29" s="865"/>
      <c r="BK29" s="865"/>
      <c r="BL29" s="865"/>
      <c r="BM29" s="865"/>
    </row>
    <row r="30" spans="1:65" s="617" customFormat="1" ht="53.25" customHeight="1" x14ac:dyDescent="0.2">
      <c r="A30" s="866" t="s">
        <v>1478</v>
      </c>
      <c r="B30" s="866"/>
      <c r="C30" s="866"/>
      <c r="D30" s="866"/>
      <c r="E30" s="866"/>
      <c r="F30" s="866"/>
      <c r="G30" s="867" t="s">
        <v>1459</v>
      </c>
      <c r="H30" s="867"/>
      <c r="I30" s="867"/>
      <c r="J30" s="869">
        <v>113.48</v>
      </c>
      <c r="K30" s="869"/>
      <c r="L30" s="869"/>
      <c r="M30" s="869"/>
      <c r="N30" s="869"/>
      <c r="O30" s="869"/>
      <c r="P30" s="869"/>
      <c r="Q30" s="865">
        <v>0</v>
      </c>
      <c r="R30" s="865"/>
      <c r="S30" s="865"/>
      <c r="T30" s="865"/>
      <c r="U30" s="865"/>
      <c r="V30" s="865"/>
      <c r="W30" s="865"/>
      <c r="X30" s="869">
        <v>113.48</v>
      </c>
      <c r="Y30" s="869"/>
      <c r="Z30" s="869"/>
      <c r="AA30" s="869"/>
      <c r="AB30" s="869"/>
      <c r="AC30" s="869"/>
      <c r="AD30" s="869"/>
      <c r="AE30" s="865">
        <v>0</v>
      </c>
      <c r="AF30" s="865"/>
      <c r="AG30" s="865"/>
      <c r="AH30" s="865"/>
      <c r="AI30" s="865"/>
      <c r="AJ30" s="865"/>
      <c r="AK30" s="865"/>
      <c r="AL30" s="865">
        <v>0</v>
      </c>
      <c r="AM30" s="865"/>
      <c r="AN30" s="865"/>
      <c r="AO30" s="865"/>
      <c r="AP30" s="865"/>
      <c r="AQ30" s="865"/>
      <c r="AR30" s="865"/>
      <c r="AS30" s="865">
        <v>0</v>
      </c>
      <c r="AT30" s="865"/>
      <c r="AU30" s="865"/>
      <c r="AV30" s="865"/>
      <c r="AW30" s="865"/>
      <c r="AX30" s="865"/>
      <c r="AY30" s="865"/>
      <c r="AZ30" s="865">
        <v>0</v>
      </c>
      <c r="BA30" s="865"/>
      <c r="BB30" s="865"/>
      <c r="BC30" s="865"/>
      <c r="BD30" s="865"/>
      <c r="BE30" s="865"/>
      <c r="BF30" s="865"/>
      <c r="BG30" s="865">
        <v>0</v>
      </c>
      <c r="BH30" s="865"/>
      <c r="BI30" s="865"/>
      <c r="BJ30" s="865"/>
      <c r="BK30" s="865"/>
      <c r="BL30" s="865"/>
      <c r="BM30" s="865"/>
    </row>
    <row r="31" spans="1:65" s="617" customFormat="1" ht="25.5" customHeight="1" thickBot="1" x14ac:dyDescent="0.25">
      <c r="A31" s="866" t="s">
        <v>1505</v>
      </c>
      <c r="B31" s="866"/>
      <c r="C31" s="866"/>
      <c r="D31" s="866"/>
      <c r="E31" s="866"/>
      <c r="F31" s="866"/>
      <c r="G31" s="867" t="s">
        <v>1466</v>
      </c>
      <c r="H31" s="867"/>
      <c r="I31" s="867"/>
      <c r="J31" s="868">
        <v>23011.34</v>
      </c>
      <c r="K31" s="868"/>
      <c r="L31" s="868"/>
      <c r="M31" s="868"/>
      <c r="N31" s="868"/>
      <c r="O31" s="868"/>
      <c r="P31" s="868"/>
      <c r="Q31" s="865">
        <v>0</v>
      </c>
      <c r="R31" s="865"/>
      <c r="S31" s="865"/>
      <c r="T31" s="865"/>
      <c r="U31" s="865"/>
      <c r="V31" s="865"/>
      <c r="W31" s="865"/>
      <c r="X31" s="868">
        <v>23011.34</v>
      </c>
      <c r="Y31" s="868"/>
      <c r="Z31" s="868"/>
      <c r="AA31" s="868"/>
      <c r="AB31" s="868"/>
      <c r="AC31" s="868"/>
      <c r="AD31" s="868"/>
      <c r="AE31" s="865">
        <v>0</v>
      </c>
      <c r="AF31" s="865"/>
      <c r="AG31" s="865"/>
      <c r="AH31" s="865"/>
      <c r="AI31" s="865"/>
      <c r="AJ31" s="865"/>
      <c r="AK31" s="865"/>
      <c r="AL31" s="865">
        <v>0</v>
      </c>
      <c r="AM31" s="865"/>
      <c r="AN31" s="865"/>
      <c r="AO31" s="865"/>
      <c r="AP31" s="865"/>
      <c r="AQ31" s="865"/>
      <c r="AR31" s="865"/>
      <c r="AS31" s="865">
        <v>0</v>
      </c>
      <c r="AT31" s="865"/>
      <c r="AU31" s="865"/>
      <c r="AV31" s="865"/>
      <c r="AW31" s="865"/>
      <c r="AX31" s="865"/>
      <c r="AY31" s="865"/>
      <c r="AZ31" s="865">
        <v>0</v>
      </c>
      <c r="BA31" s="865"/>
      <c r="BB31" s="865"/>
      <c r="BC31" s="865"/>
      <c r="BD31" s="865"/>
      <c r="BE31" s="865"/>
      <c r="BF31" s="865"/>
      <c r="BG31" s="865">
        <v>0</v>
      </c>
      <c r="BH31" s="865"/>
      <c r="BI31" s="865"/>
      <c r="BJ31" s="865"/>
      <c r="BK31" s="865"/>
      <c r="BL31" s="865"/>
      <c r="BM31" s="865"/>
    </row>
    <row r="32" spans="1:65" ht="11.1" customHeight="1" thickBot="1" x14ac:dyDescent="0.25">
      <c r="A32" s="863" t="s">
        <v>1462</v>
      </c>
      <c r="B32" s="863"/>
      <c r="C32" s="863"/>
      <c r="D32" s="863"/>
      <c r="E32" s="863"/>
      <c r="F32" s="863"/>
      <c r="G32" s="863"/>
      <c r="H32" s="863"/>
      <c r="I32" s="863"/>
      <c r="J32" s="864">
        <v>23128951.969999999</v>
      </c>
      <c r="K32" s="864"/>
      <c r="L32" s="864"/>
      <c r="M32" s="864"/>
      <c r="N32" s="864"/>
      <c r="O32" s="864"/>
      <c r="P32" s="864"/>
      <c r="Q32" s="862">
        <v>23014296.91</v>
      </c>
      <c r="R32" s="862"/>
      <c r="S32" s="862"/>
      <c r="T32" s="862"/>
      <c r="U32" s="862"/>
      <c r="V32" s="862"/>
      <c r="W32" s="862"/>
      <c r="X32" s="862">
        <v>114655.06</v>
      </c>
      <c r="Y32" s="862"/>
      <c r="Z32" s="862"/>
      <c r="AA32" s="862"/>
      <c r="AB32" s="862"/>
      <c r="AC32" s="862"/>
      <c r="AD32" s="862"/>
      <c r="AE32" s="861">
        <v>0</v>
      </c>
      <c r="AF32" s="861"/>
      <c r="AG32" s="861"/>
      <c r="AH32" s="861"/>
      <c r="AI32" s="861"/>
      <c r="AJ32" s="861"/>
      <c r="AK32" s="861"/>
      <c r="AL32" s="861">
        <v>0</v>
      </c>
      <c r="AM32" s="861"/>
      <c r="AN32" s="861"/>
      <c r="AO32" s="861"/>
      <c r="AP32" s="861"/>
      <c r="AQ32" s="861"/>
      <c r="AR32" s="861"/>
      <c r="AS32" s="862">
        <v>14974938.48</v>
      </c>
      <c r="AT32" s="862"/>
      <c r="AU32" s="862"/>
      <c r="AV32" s="862"/>
      <c r="AW32" s="862"/>
      <c r="AX32" s="862"/>
      <c r="AY32" s="862"/>
      <c r="AZ32" s="861">
        <v>0</v>
      </c>
      <c r="BA32" s="861"/>
      <c r="BB32" s="861"/>
      <c r="BC32" s="861"/>
      <c r="BD32" s="861"/>
      <c r="BE32" s="861"/>
      <c r="BF32" s="861"/>
      <c r="BG32" s="861">
        <v>0</v>
      </c>
      <c r="BH32" s="861"/>
      <c r="BI32" s="861"/>
      <c r="BJ32" s="861"/>
      <c r="BK32" s="861"/>
      <c r="BL32" s="861"/>
      <c r="BM32" s="861"/>
    </row>
    <row r="33" spans="1:65" ht="11.1" customHeight="1" x14ac:dyDescent="0.2">
      <c r="A33" s="857"/>
      <c r="B33" s="857"/>
      <c r="C33" s="857"/>
      <c r="D33" s="857"/>
      <c r="E33" s="857"/>
      <c r="F33" s="857"/>
      <c r="G33" s="857"/>
      <c r="H33" s="857"/>
      <c r="I33" s="857"/>
      <c r="J33" s="857"/>
      <c r="K33" s="857"/>
      <c r="L33" s="857"/>
      <c r="M33" s="857"/>
      <c r="N33" s="857"/>
      <c r="O33" s="857"/>
      <c r="P33" s="857"/>
      <c r="Q33" s="857"/>
      <c r="R33" s="857"/>
      <c r="S33" s="857"/>
      <c r="T33" s="857"/>
      <c r="U33" s="857"/>
      <c r="V33" s="857"/>
      <c r="W33" s="857"/>
      <c r="X33" s="857"/>
      <c r="Y33" s="857"/>
      <c r="Z33" s="857"/>
      <c r="AA33" s="857"/>
      <c r="AB33" s="857"/>
      <c r="AC33" s="857"/>
      <c r="AD33" s="857"/>
      <c r="AE33" s="857"/>
      <c r="AF33" s="857"/>
      <c r="AG33" s="857"/>
      <c r="AH33" s="857"/>
      <c r="AI33" s="857"/>
      <c r="AJ33" s="857"/>
      <c r="AK33" s="857"/>
      <c r="AL33" s="857"/>
      <c r="AM33" s="857"/>
      <c r="AN33" s="857"/>
      <c r="AO33" s="857"/>
      <c r="AP33" s="857"/>
      <c r="AQ33" s="857"/>
      <c r="AR33" s="857"/>
      <c r="AS33" s="857"/>
      <c r="AT33" s="857"/>
      <c r="AU33" s="857"/>
      <c r="AV33" s="857"/>
      <c r="AW33" s="857"/>
      <c r="AX33" s="857"/>
      <c r="AY33" s="857"/>
      <c r="AZ33" s="857"/>
      <c r="BA33" s="857"/>
      <c r="BB33" s="857"/>
      <c r="BC33" s="857"/>
      <c r="BD33" s="857"/>
      <c r="BE33" s="857"/>
      <c r="BF33" s="857"/>
      <c r="BG33" s="857"/>
      <c r="BH33" s="857"/>
      <c r="BI33" s="857"/>
      <c r="BJ33" s="857"/>
      <c r="BK33" s="857"/>
      <c r="BL33" s="857"/>
      <c r="BM33" s="857"/>
    </row>
    <row r="34" spans="1:65" s="617" customFormat="1" ht="11.1" customHeight="1" x14ac:dyDescent="0.2"/>
  </sheetData>
  <mergeCells count="246">
    <mergeCell ref="A5:F5"/>
    <mergeCell ref="G5:AR5"/>
    <mergeCell ref="AE10:AK10"/>
    <mergeCell ref="AL10:AR10"/>
    <mergeCell ref="AZ10:BF10"/>
    <mergeCell ref="BG10:BM10"/>
    <mergeCell ref="AE9:AR9"/>
    <mergeCell ref="AS9:AY10"/>
    <mergeCell ref="AZ9:BM9"/>
    <mergeCell ref="A6:BM6"/>
    <mergeCell ref="A7:I10"/>
    <mergeCell ref="J7:BM7"/>
    <mergeCell ref="J8:AR8"/>
    <mergeCell ref="AS8:BM8"/>
    <mergeCell ref="J9:P10"/>
    <mergeCell ref="Q9:W10"/>
    <mergeCell ref="X9:AD10"/>
    <mergeCell ref="AS11:AY11"/>
    <mergeCell ref="AZ11:BF11"/>
    <mergeCell ref="BG11:BM11"/>
    <mergeCell ref="A11:I11"/>
    <mergeCell ref="J11:P11"/>
    <mergeCell ref="Q11:W11"/>
    <mergeCell ref="X11:AD11"/>
    <mergeCell ref="AE11:AK11"/>
    <mergeCell ref="AL11:AR11"/>
    <mergeCell ref="Q23:W23"/>
    <mergeCell ref="X23:AD23"/>
    <mergeCell ref="AE23:AK23"/>
    <mergeCell ref="AL23:AR23"/>
    <mergeCell ref="AS12:AY12"/>
    <mergeCell ref="AZ12:BF12"/>
    <mergeCell ref="BG12:BM12"/>
    <mergeCell ref="A12:I12"/>
    <mergeCell ref="J12:P12"/>
    <mergeCell ref="Q12:W12"/>
    <mergeCell ref="X12:AD12"/>
    <mergeCell ref="AE12:AK12"/>
    <mergeCell ref="AL12:AR12"/>
    <mergeCell ref="AS13:AY13"/>
    <mergeCell ref="AZ13:BF13"/>
    <mergeCell ref="BG13:BM13"/>
    <mergeCell ref="AE13:AK13"/>
    <mergeCell ref="AL13:AR13"/>
    <mergeCell ref="A13:F13"/>
    <mergeCell ref="G13:I13"/>
    <mergeCell ref="J13:P13"/>
    <mergeCell ref="Q13:W13"/>
    <mergeCell ref="X13:AD13"/>
    <mergeCell ref="AS15:AY15"/>
    <mergeCell ref="AZ15:BF15"/>
    <mergeCell ref="BG15:BM15"/>
    <mergeCell ref="AE15:AK15"/>
    <mergeCell ref="AL15:AR15"/>
    <mergeCell ref="AZ14:BF14"/>
    <mergeCell ref="BG14:BM14"/>
    <mergeCell ref="A15:F15"/>
    <mergeCell ref="G15:I15"/>
    <mergeCell ref="J15:P15"/>
    <mergeCell ref="Q15:W15"/>
    <mergeCell ref="X15:AD15"/>
    <mergeCell ref="AL14:AR14"/>
    <mergeCell ref="AS14:AY14"/>
    <mergeCell ref="A14:F14"/>
    <mergeCell ref="G14:I14"/>
    <mergeCell ref="J14:P14"/>
    <mergeCell ref="Q14:W14"/>
    <mergeCell ref="X14:AD14"/>
    <mergeCell ref="AE14:AK14"/>
    <mergeCell ref="AS17:AY17"/>
    <mergeCell ref="AZ17:BF17"/>
    <mergeCell ref="BG17:BM17"/>
    <mergeCell ref="AE17:AK17"/>
    <mergeCell ref="AL17:AR17"/>
    <mergeCell ref="AZ16:BF16"/>
    <mergeCell ref="BG16:BM16"/>
    <mergeCell ref="A17:F17"/>
    <mergeCell ref="G17:I17"/>
    <mergeCell ref="J17:P17"/>
    <mergeCell ref="Q17:W17"/>
    <mergeCell ref="X17:AD17"/>
    <mergeCell ref="AL16:AR16"/>
    <mergeCell ref="AS16:AY16"/>
    <mergeCell ref="A16:F16"/>
    <mergeCell ref="G16:I16"/>
    <mergeCell ref="J16:P16"/>
    <mergeCell ref="Q16:W16"/>
    <mergeCell ref="X16:AD16"/>
    <mergeCell ref="AE16:AK16"/>
    <mergeCell ref="AS19:AY19"/>
    <mergeCell ref="AZ19:BF19"/>
    <mergeCell ref="BG19:BM19"/>
    <mergeCell ref="AE19:AK19"/>
    <mergeCell ref="AL19:AR19"/>
    <mergeCell ref="AZ18:BF18"/>
    <mergeCell ref="BG18:BM18"/>
    <mergeCell ref="A19:F19"/>
    <mergeCell ref="G19:I19"/>
    <mergeCell ref="J19:P19"/>
    <mergeCell ref="Q19:W19"/>
    <mergeCell ref="X19:AD19"/>
    <mergeCell ref="AL18:AR18"/>
    <mergeCell ref="AS18:AY18"/>
    <mergeCell ref="A18:F18"/>
    <mergeCell ref="G18:I18"/>
    <mergeCell ref="J18:P18"/>
    <mergeCell ref="Q18:W18"/>
    <mergeCell ref="X18:AD18"/>
    <mergeCell ref="AE18:AK18"/>
    <mergeCell ref="AS21:AY21"/>
    <mergeCell ref="AZ21:BF21"/>
    <mergeCell ref="BG21:BM21"/>
    <mergeCell ref="AE21:AK21"/>
    <mergeCell ref="AL21:AR21"/>
    <mergeCell ref="AZ20:BF20"/>
    <mergeCell ref="BG20:BM20"/>
    <mergeCell ref="A21:F21"/>
    <mergeCell ref="G21:I21"/>
    <mergeCell ref="J21:P21"/>
    <mergeCell ref="Q21:W21"/>
    <mergeCell ref="X21:AD21"/>
    <mergeCell ref="AL20:AR20"/>
    <mergeCell ref="AS20:AY20"/>
    <mergeCell ref="A20:F20"/>
    <mergeCell ref="G20:I20"/>
    <mergeCell ref="J20:P20"/>
    <mergeCell ref="Q20:W20"/>
    <mergeCell ref="X20:AD20"/>
    <mergeCell ref="AE20:AK20"/>
    <mergeCell ref="AS24:AY24"/>
    <mergeCell ref="AZ24:BF24"/>
    <mergeCell ref="BG24:BM24"/>
    <mergeCell ref="AE24:AK24"/>
    <mergeCell ref="AL24:AR24"/>
    <mergeCell ref="AZ22:BF22"/>
    <mergeCell ref="BG22:BM22"/>
    <mergeCell ref="A24:F24"/>
    <mergeCell ref="G24:I24"/>
    <mergeCell ref="J24:P24"/>
    <mergeCell ref="Q24:W24"/>
    <mergeCell ref="X24:AD24"/>
    <mergeCell ref="AL22:AR22"/>
    <mergeCell ref="AS22:AY22"/>
    <mergeCell ref="A22:F22"/>
    <mergeCell ref="G22:I22"/>
    <mergeCell ref="J22:P22"/>
    <mergeCell ref="Q22:W22"/>
    <mergeCell ref="X22:AD22"/>
    <mergeCell ref="AE22:AK22"/>
    <mergeCell ref="BG23:BM23"/>
    <mergeCell ref="AS23:AY23"/>
    <mergeCell ref="AZ23:BF23"/>
    <mergeCell ref="J23:P23"/>
    <mergeCell ref="AZ25:BF25"/>
    <mergeCell ref="BG25:BM25"/>
    <mergeCell ref="AL25:AR25"/>
    <mergeCell ref="AS25:AY25"/>
    <mergeCell ref="A25:F25"/>
    <mergeCell ref="G25:I25"/>
    <mergeCell ref="J25:P25"/>
    <mergeCell ref="Q25:W25"/>
    <mergeCell ref="X25:AD25"/>
    <mergeCell ref="AE25:AK25"/>
    <mergeCell ref="AS26:AY26"/>
    <mergeCell ref="AZ26:BF26"/>
    <mergeCell ref="BG26:BM26"/>
    <mergeCell ref="AE26:AK26"/>
    <mergeCell ref="AL26:AR26"/>
    <mergeCell ref="A26:F26"/>
    <mergeCell ref="G26:I26"/>
    <mergeCell ref="J26:P26"/>
    <mergeCell ref="Q26:W26"/>
    <mergeCell ref="X26:AD26"/>
    <mergeCell ref="AS27:AY27"/>
    <mergeCell ref="AZ27:BF27"/>
    <mergeCell ref="BG27:BM27"/>
    <mergeCell ref="AE27:AK27"/>
    <mergeCell ref="AL27:AR27"/>
    <mergeCell ref="A27:F27"/>
    <mergeCell ref="G27:I27"/>
    <mergeCell ref="J27:P27"/>
    <mergeCell ref="Q27:W27"/>
    <mergeCell ref="X27:AD27"/>
    <mergeCell ref="AS28:AY28"/>
    <mergeCell ref="AZ28:BF28"/>
    <mergeCell ref="BG28:BM28"/>
    <mergeCell ref="AE28:AK28"/>
    <mergeCell ref="AL28:AR28"/>
    <mergeCell ref="A28:F28"/>
    <mergeCell ref="G28:I28"/>
    <mergeCell ref="J28:P28"/>
    <mergeCell ref="Q28:W28"/>
    <mergeCell ref="X28:AD28"/>
    <mergeCell ref="AS30:AY30"/>
    <mergeCell ref="AZ30:BF30"/>
    <mergeCell ref="BG30:BM30"/>
    <mergeCell ref="AE30:AK30"/>
    <mergeCell ref="AL30:AR30"/>
    <mergeCell ref="AZ29:BF29"/>
    <mergeCell ref="BG29:BM29"/>
    <mergeCell ref="A30:F30"/>
    <mergeCell ref="G30:I30"/>
    <mergeCell ref="J30:P30"/>
    <mergeCell ref="Q30:W30"/>
    <mergeCell ref="X30:AD30"/>
    <mergeCell ref="AL29:AR29"/>
    <mergeCell ref="AS29:AY29"/>
    <mergeCell ref="A29:F29"/>
    <mergeCell ref="G29:I29"/>
    <mergeCell ref="J29:P29"/>
    <mergeCell ref="Q29:W29"/>
    <mergeCell ref="X29:AD29"/>
    <mergeCell ref="AE29:AK29"/>
    <mergeCell ref="AZ31:BF31"/>
    <mergeCell ref="BG31:BM31"/>
    <mergeCell ref="AE31:AK31"/>
    <mergeCell ref="AL31:AR31"/>
    <mergeCell ref="A31:F31"/>
    <mergeCell ref="G31:I31"/>
    <mergeCell ref="J31:P31"/>
    <mergeCell ref="Q31:W31"/>
    <mergeCell ref="X31:AD31"/>
    <mergeCell ref="J1:BM1"/>
    <mergeCell ref="J2:BM2"/>
    <mergeCell ref="J3:BM3"/>
    <mergeCell ref="J4:BM4"/>
    <mergeCell ref="AZ33:BF33"/>
    <mergeCell ref="BG33:BM33"/>
    <mergeCell ref="A23:I23"/>
    <mergeCell ref="AL33:AR33"/>
    <mergeCell ref="AS33:AY33"/>
    <mergeCell ref="AZ32:BF32"/>
    <mergeCell ref="BG32:BM32"/>
    <mergeCell ref="A33:I33"/>
    <mergeCell ref="J33:P33"/>
    <mergeCell ref="Q33:W33"/>
    <mergeCell ref="X33:AD33"/>
    <mergeCell ref="AE33:AK33"/>
    <mergeCell ref="AL32:AR32"/>
    <mergeCell ref="AS32:AY32"/>
    <mergeCell ref="A32:I32"/>
    <mergeCell ref="J32:P32"/>
    <mergeCell ref="Q32:W32"/>
    <mergeCell ref="X32:AD32"/>
    <mergeCell ref="AE32:AK32"/>
    <mergeCell ref="AS31:AY31"/>
  </mergeCells>
  <pageMargins left="0.39370078740157483" right="0.39370078740157483" top="0.39370078740157483" bottom="0.39370078740157483" header="0" footer="0"/>
  <pageSetup paperSize="9" scale="68" pageOrder="overThenDown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7"/>
  <sheetViews>
    <sheetView view="pageBreakPreview" topLeftCell="A7" zoomScale="90" zoomScaleSheetLayoutView="90" workbookViewId="0">
      <selection activeCell="G26" sqref="G26"/>
    </sheetView>
  </sheetViews>
  <sheetFormatPr defaultRowHeight="15" x14ac:dyDescent="0.25"/>
  <cols>
    <col min="1" max="1" width="7.140625" style="629" customWidth="1"/>
    <col min="2" max="2" width="34.28515625" style="629" customWidth="1"/>
    <col min="3" max="3" width="12.85546875" style="629" customWidth="1"/>
    <col min="4" max="7" width="15.7109375" style="629" customWidth="1"/>
    <col min="8" max="256" width="9.140625" style="629"/>
    <col min="257" max="257" width="7.140625" style="629" customWidth="1"/>
    <col min="258" max="258" width="34.28515625" style="629" customWidth="1"/>
    <col min="259" max="259" width="12.85546875" style="629" customWidth="1"/>
    <col min="260" max="263" width="15.7109375" style="629" customWidth="1"/>
    <col min="264" max="512" width="9.140625" style="629"/>
    <col min="513" max="513" width="7.140625" style="629" customWidth="1"/>
    <col min="514" max="514" width="34.28515625" style="629" customWidth="1"/>
    <col min="515" max="515" width="12.85546875" style="629" customWidth="1"/>
    <col min="516" max="519" width="15.7109375" style="629" customWidth="1"/>
    <col min="520" max="768" width="9.140625" style="629"/>
    <col min="769" max="769" width="7.140625" style="629" customWidth="1"/>
    <col min="770" max="770" width="34.28515625" style="629" customWidth="1"/>
    <col min="771" max="771" width="12.85546875" style="629" customWidth="1"/>
    <col min="772" max="775" width="15.7109375" style="629" customWidth="1"/>
    <col min="776" max="1024" width="9.140625" style="629"/>
    <col min="1025" max="1025" width="7.140625" style="629" customWidth="1"/>
    <col min="1026" max="1026" width="34.28515625" style="629" customWidth="1"/>
    <col min="1027" max="1027" width="12.85546875" style="629" customWidth="1"/>
    <col min="1028" max="1031" width="15.7109375" style="629" customWidth="1"/>
    <col min="1032" max="1280" width="9.140625" style="629"/>
    <col min="1281" max="1281" width="7.140625" style="629" customWidth="1"/>
    <col min="1282" max="1282" width="34.28515625" style="629" customWidth="1"/>
    <col min="1283" max="1283" width="12.85546875" style="629" customWidth="1"/>
    <col min="1284" max="1287" width="15.7109375" style="629" customWidth="1"/>
    <col min="1288" max="1536" width="9.140625" style="629"/>
    <col min="1537" max="1537" width="7.140625" style="629" customWidth="1"/>
    <col min="1538" max="1538" width="34.28515625" style="629" customWidth="1"/>
    <col min="1539" max="1539" width="12.85546875" style="629" customWidth="1"/>
    <col min="1540" max="1543" width="15.7109375" style="629" customWidth="1"/>
    <col min="1544" max="1792" width="9.140625" style="629"/>
    <col min="1793" max="1793" width="7.140625" style="629" customWidth="1"/>
    <col min="1794" max="1794" width="34.28515625" style="629" customWidth="1"/>
    <col min="1795" max="1795" width="12.85546875" style="629" customWidth="1"/>
    <col min="1796" max="1799" width="15.7109375" style="629" customWidth="1"/>
    <col min="1800" max="2048" width="9.140625" style="629"/>
    <col min="2049" max="2049" width="7.140625" style="629" customWidth="1"/>
    <col min="2050" max="2050" width="34.28515625" style="629" customWidth="1"/>
    <col min="2051" max="2051" width="12.85546875" style="629" customWidth="1"/>
    <col min="2052" max="2055" width="15.7109375" style="629" customWidth="1"/>
    <col min="2056" max="2304" width="9.140625" style="629"/>
    <col min="2305" max="2305" width="7.140625" style="629" customWidth="1"/>
    <col min="2306" max="2306" width="34.28515625" style="629" customWidth="1"/>
    <col min="2307" max="2307" width="12.85546875" style="629" customWidth="1"/>
    <col min="2308" max="2311" width="15.7109375" style="629" customWidth="1"/>
    <col min="2312" max="2560" width="9.140625" style="629"/>
    <col min="2561" max="2561" width="7.140625" style="629" customWidth="1"/>
    <col min="2562" max="2562" width="34.28515625" style="629" customWidth="1"/>
    <col min="2563" max="2563" width="12.85546875" style="629" customWidth="1"/>
    <col min="2564" max="2567" width="15.7109375" style="629" customWidth="1"/>
    <col min="2568" max="2816" width="9.140625" style="629"/>
    <col min="2817" max="2817" width="7.140625" style="629" customWidth="1"/>
    <col min="2818" max="2818" width="34.28515625" style="629" customWidth="1"/>
    <col min="2819" max="2819" width="12.85546875" style="629" customWidth="1"/>
    <col min="2820" max="2823" width="15.7109375" style="629" customWidth="1"/>
    <col min="2824" max="3072" width="9.140625" style="629"/>
    <col min="3073" max="3073" width="7.140625" style="629" customWidth="1"/>
    <col min="3074" max="3074" width="34.28515625" style="629" customWidth="1"/>
    <col min="3075" max="3075" width="12.85546875" style="629" customWidth="1"/>
    <col min="3076" max="3079" width="15.7109375" style="629" customWidth="1"/>
    <col min="3080" max="3328" width="9.140625" style="629"/>
    <col min="3329" max="3329" width="7.140625" style="629" customWidth="1"/>
    <col min="3330" max="3330" width="34.28515625" style="629" customWidth="1"/>
    <col min="3331" max="3331" width="12.85546875" style="629" customWidth="1"/>
    <col min="3332" max="3335" width="15.7109375" style="629" customWidth="1"/>
    <col min="3336" max="3584" width="9.140625" style="629"/>
    <col min="3585" max="3585" width="7.140625" style="629" customWidth="1"/>
    <col min="3586" max="3586" width="34.28515625" style="629" customWidth="1"/>
    <col min="3587" max="3587" width="12.85546875" style="629" customWidth="1"/>
    <col min="3588" max="3591" width="15.7109375" style="629" customWidth="1"/>
    <col min="3592" max="3840" width="9.140625" style="629"/>
    <col min="3841" max="3841" width="7.140625" style="629" customWidth="1"/>
    <col min="3842" max="3842" width="34.28515625" style="629" customWidth="1"/>
    <col min="3843" max="3843" width="12.85546875" style="629" customWidth="1"/>
    <col min="3844" max="3847" width="15.7109375" style="629" customWidth="1"/>
    <col min="3848" max="4096" width="9.140625" style="629"/>
    <col min="4097" max="4097" width="7.140625" style="629" customWidth="1"/>
    <col min="4098" max="4098" width="34.28515625" style="629" customWidth="1"/>
    <col min="4099" max="4099" width="12.85546875" style="629" customWidth="1"/>
    <col min="4100" max="4103" width="15.7109375" style="629" customWidth="1"/>
    <col min="4104" max="4352" width="9.140625" style="629"/>
    <col min="4353" max="4353" width="7.140625" style="629" customWidth="1"/>
    <col min="4354" max="4354" width="34.28515625" style="629" customWidth="1"/>
    <col min="4355" max="4355" width="12.85546875" style="629" customWidth="1"/>
    <col min="4356" max="4359" width="15.7109375" style="629" customWidth="1"/>
    <col min="4360" max="4608" width="9.140625" style="629"/>
    <col min="4609" max="4609" width="7.140625" style="629" customWidth="1"/>
    <col min="4610" max="4610" width="34.28515625" style="629" customWidth="1"/>
    <col min="4611" max="4611" width="12.85546875" style="629" customWidth="1"/>
    <col min="4612" max="4615" width="15.7109375" style="629" customWidth="1"/>
    <col min="4616" max="4864" width="9.140625" style="629"/>
    <col min="4865" max="4865" width="7.140625" style="629" customWidth="1"/>
    <col min="4866" max="4866" width="34.28515625" style="629" customWidth="1"/>
    <col min="4867" max="4867" width="12.85546875" style="629" customWidth="1"/>
    <col min="4868" max="4871" width="15.7109375" style="629" customWidth="1"/>
    <col min="4872" max="5120" width="9.140625" style="629"/>
    <col min="5121" max="5121" width="7.140625" style="629" customWidth="1"/>
    <col min="5122" max="5122" width="34.28515625" style="629" customWidth="1"/>
    <col min="5123" max="5123" width="12.85546875" style="629" customWidth="1"/>
    <col min="5124" max="5127" width="15.7109375" style="629" customWidth="1"/>
    <col min="5128" max="5376" width="9.140625" style="629"/>
    <col min="5377" max="5377" width="7.140625" style="629" customWidth="1"/>
    <col min="5378" max="5378" width="34.28515625" style="629" customWidth="1"/>
    <col min="5379" max="5379" width="12.85546875" style="629" customWidth="1"/>
    <col min="5380" max="5383" width="15.7109375" style="629" customWidth="1"/>
    <col min="5384" max="5632" width="9.140625" style="629"/>
    <col min="5633" max="5633" width="7.140625" style="629" customWidth="1"/>
    <col min="5634" max="5634" width="34.28515625" style="629" customWidth="1"/>
    <col min="5635" max="5635" width="12.85546875" style="629" customWidth="1"/>
    <col min="5636" max="5639" width="15.7109375" style="629" customWidth="1"/>
    <col min="5640" max="5888" width="9.140625" style="629"/>
    <col min="5889" max="5889" width="7.140625" style="629" customWidth="1"/>
    <col min="5890" max="5890" width="34.28515625" style="629" customWidth="1"/>
    <col min="5891" max="5891" width="12.85546875" style="629" customWidth="1"/>
    <col min="5892" max="5895" width="15.7109375" style="629" customWidth="1"/>
    <col min="5896" max="6144" width="9.140625" style="629"/>
    <col min="6145" max="6145" width="7.140625" style="629" customWidth="1"/>
    <col min="6146" max="6146" width="34.28515625" style="629" customWidth="1"/>
    <col min="6147" max="6147" width="12.85546875" style="629" customWidth="1"/>
    <col min="6148" max="6151" width="15.7109375" style="629" customWidth="1"/>
    <col min="6152" max="6400" width="9.140625" style="629"/>
    <col min="6401" max="6401" width="7.140625" style="629" customWidth="1"/>
    <col min="6402" max="6402" width="34.28515625" style="629" customWidth="1"/>
    <col min="6403" max="6403" width="12.85546875" style="629" customWidth="1"/>
    <col min="6404" max="6407" width="15.7109375" style="629" customWidth="1"/>
    <col min="6408" max="6656" width="9.140625" style="629"/>
    <col min="6657" max="6657" width="7.140625" style="629" customWidth="1"/>
    <col min="6658" max="6658" width="34.28515625" style="629" customWidth="1"/>
    <col min="6659" max="6659" width="12.85546875" style="629" customWidth="1"/>
    <col min="6660" max="6663" width="15.7109375" style="629" customWidth="1"/>
    <col min="6664" max="6912" width="9.140625" style="629"/>
    <col min="6913" max="6913" width="7.140625" style="629" customWidth="1"/>
    <col min="6914" max="6914" width="34.28515625" style="629" customWidth="1"/>
    <col min="6915" max="6915" width="12.85546875" style="629" customWidth="1"/>
    <col min="6916" max="6919" width="15.7109375" style="629" customWidth="1"/>
    <col min="6920" max="7168" width="9.140625" style="629"/>
    <col min="7169" max="7169" width="7.140625" style="629" customWidth="1"/>
    <col min="7170" max="7170" width="34.28515625" style="629" customWidth="1"/>
    <col min="7171" max="7171" width="12.85546875" style="629" customWidth="1"/>
    <col min="7172" max="7175" width="15.7109375" style="629" customWidth="1"/>
    <col min="7176" max="7424" width="9.140625" style="629"/>
    <col min="7425" max="7425" width="7.140625" style="629" customWidth="1"/>
    <col min="7426" max="7426" width="34.28515625" style="629" customWidth="1"/>
    <col min="7427" max="7427" width="12.85546875" style="629" customWidth="1"/>
    <col min="7428" max="7431" width="15.7109375" style="629" customWidth="1"/>
    <col min="7432" max="7680" width="9.140625" style="629"/>
    <col min="7681" max="7681" width="7.140625" style="629" customWidth="1"/>
    <col min="7682" max="7682" width="34.28515625" style="629" customWidth="1"/>
    <col min="7683" max="7683" width="12.85546875" style="629" customWidth="1"/>
    <col min="7684" max="7687" width="15.7109375" style="629" customWidth="1"/>
    <col min="7688" max="7936" width="9.140625" style="629"/>
    <col min="7937" max="7937" width="7.140625" style="629" customWidth="1"/>
    <col min="7938" max="7938" width="34.28515625" style="629" customWidth="1"/>
    <col min="7939" max="7939" width="12.85546875" style="629" customWidth="1"/>
    <col min="7940" max="7943" width="15.7109375" style="629" customWidth="1"/>
    <col min="7944" max="8192" width="9.140625" style="629"/>
    <col min="8193" max="8193" width="7.140625" style="629" customWidth="1"/>
    <col min="8194" max="8194" width="34.28515625" style="629" customWidth="1"/>
    <col min="8195" max="8195" width="12.85546875" style="629" customWidth="1"/>
    <col min="8196" max="8199" width="15.7109375" style="629" customWidth="1"/>
    <col min="8200" max="8448" width="9.140625" style="629"/>
    <col min="8449" max="8449" width="7.140625" style="629" customWidth="1"/>
    <col min="8450" max="8450" width="34.28515625" style="629" customWidth="1"/>
    <col min="8451" max="8451" width="12.85546875" style="629" customWidth="1"/>
    <col min="8452" max="8455" width="15.7109375" style="629" customWidth="1"/>
    <col min="8456" max="8704" width="9.140625" style="629"/>
    <col min="8705" max="8705" width="7.140625" style="629" customWidth="1"/>
    <col min="8706" max="8706" width="34.28515625" style="629" customWidth="1"/>
    <col min="8707" max="8707" width="12.85546875" style="629" customWidth="1"/>
    <col min="8708" max="8711" width="15.7109375" style="629" customWidth="1"/>
    <col min="8712" max="8960" width="9.140625" style="629"/>
    <col min="8961" max="8961" width="7.140625" style="629" customWidth="1"/>
    <col min="8962" max="8962" width="34.28515625" style="629" customWidth="1"/>
    <col min="8963" max="8963" width="12.85546875" style="629" customWidth="1"/>
    <col min="8964" max="8967" width="15.7109375" style="629" customWidth="1"/>
    <col min="8968" max="9216" width="9.140625" style="629"/>
    <col min="9217" max="9217" width="7.140625" style="629" customWidth="1"/>
    <col min="9218" max="9218" width="34.28515625" style="629" customWidth="1"/>
    <col min="9219" max="9219" width="12.85546875" style="629" customWidth="1"/>
    <col min="9220" max="9223" width="15.7109375" style="629" customWidth="1"/>
    <col min="9224" max="9472" width="9.140625" style="629"/>
    <col min="9473" max="9473" width="7.140625" style="629" customWidth="1"/>
    <col min="9474" max="9474" width="34.28515625" style="629" customWidth="1"/>
    <col min="9475" max="9475" width="12.85546875" style="629" customWidth="1"/>
    <col min="9476" max="9479" width="15.7109375" style="629" customWidth="1"/>
    <col min="9480" max="9728" width="9.140625" style="629"/>
    <col min="9729" max="9729" width="7.140625" style="629" customWidth="1"/>
    <col min="9730" max="9730" width="34.28515625" style="629" customWidth="1"/>
    <col min="9731" max="9731" width="12.85546875" style="629" customWidth="1"/>
    <col min="9732" max="9735" width="15.7109375" style="629" customWidth="1"/>
    <col min="9736" max="9984" width="9.140625" style="629"/>
    <col min="9985" max="9985" width="7.140625" style="629" customWidth="1"/>
    <col min="9986" max="9986" width="34.28515625" style="629" customWidth="1"/>
    <col min="9987" max="9987" width="12.85546875" style="629" customWidth="1"/>
    <col min="9988" max="9991" width="15.7109375" style="629" customWidth="1"/>
    <col min="9992" max="10240" width="9.140625" style="629"/>
    <col min="10241" max="10241" width="7.140625" style="629" customWidth="1"/>
    <col min="10242" max="10242" width="34.28515625" style="629" customWidth="1"/>
    <col min="10243" max="10243" width="12.85546875" style="629" customWidth="1"/>
    <col min="10244" max="10247" width="15.7109375" style="629" customWidth="1"/>
    <col min="10248" max="10496" width="9.140625" style="629"/>
    <col min="10497" max="10497" width="7.140625" style="629" customWidth="1"/>
    <col min="10498" max="10498" width="34.28515625" style="629" customWidth="1"/>
    <col min="10499" max="10499" width="12.85546875" style="629" customWidth="1"/>
    <col min="10500" max="10503" width="15.7109375" style="629" customWidth="1"/>
    <col min="10504" max="10752" width="9.140625" style="629"/>
    <col min="10753" max="10753" width="7.140625" style="629" customWidth="1"/>
    <col min="10754" max="10754" width="34.28515625" style="629" customWidth="1"/>
    <col min="10755" max="10755" width="12.85546875" style="629" customWidth="1"/>
    <col min="10756" max="10759" width="15.7109375" style="629" customWidth="1"/>
    <col min="10760" max="11008" width="9.140625" style="629"/>
    <col min="11009" max="11009" width="7.140625" style="629" customWidth="1"/>
    <col min="11010" max="11010" width="34.28515625" style="629" customWidth="1"/>
    <col min="11011" max="11011" width="12.85546875" style="629" customWidth="1"/>
    <col min="11012" max="11015" width="15.7109375" style="629" customWidth="1"/>
    <col min="11016" max="11264" width="9.140625" style="629"/>
    <col min="11265" max="11265" width="7.140625" style="629" customWidth="1"/>
    <col min="11266" max="11266" width="34.28515625" style="629" customWidth="1"/>
    <col min="11267" max="11267" width="12.85546875" style="629" customWidth="1"/>
    <col min="11268" max="11271" width="15.7109375" style="629" customWidth="1"/>
    <col min="11272" max="11520" width="9.140625" style="629"/>
    <col min="11521" max="11521" width="7.140625" style="629" customWidth="1"/>
    <col min="11522" max="11522" width="34.28515625" style="629" customWidth="1"/>
    <col min="11523" max="11523" width="12.85546875" style="629" customWidth="1"/>
    <col min="11524" max="11527" width="15.7109375" style="629" customWidth="1"/>
    <col min="11528" max="11776" width="9.140625" style="629"/>
    <col min="11777" max="11777" width="7.140625" style="629" customWidth="1"/>
    <col min="11778" max="11778" width="34.28515625" style="629" customWidth="1"/>
    <col min="11779" max="11779" width="12.85546875" style="629" customWidth="1"/>
    <col min="11780" max="11783" width="15.7109375" style="629" customWidth="1"/>
    <col min="11784" max="12032" width="9.140625" style="629"/>
    <col min="12033" max="12033" width="7.140625" style="629" customWidth="1"/>
    <col min="12034" max="12034" width="34.28515625" style="629" customWidth="1"/>
    <col min="12035" max="12035" width="12.85546875" style="629" customWidth="1"/>
    <col min="12036" max="12039" width="15.7109375" style="629" customWidth="1"/>
    <col min="12040" max="12288" width="9.140625" style="629"/>
    <col min="12289" max="12289" width="7.140625" style="629" customWidth="1"/>
    <col min="12290" max="12290" width="34.28515625" style="629" customWidth="1"/>
    <col min="12291" max="12291" width="12.85546875" style="629" customWidth="1"/>
    <col min="12292" max="12295" width="15.7109375" style="629" customWidth="1"/>
    <col min="12296" max="12544" width="9.140625" style="629"/>
    <col min="12545" max="12545" width="7.140625" style="629" customWidth="1"/>
    <col min="12546" max="12546" width="34.28515625" style="629" customWidth="1"/>
    <col min="12547" max="12547" width="12.85546875" style="629" customWidth="1"/>
    <col min="12548" max="12551" width="15.7109375" style="629" customWidth="1"/>
    <col min="12552" max="12800" width="9.140625" style="629"/>
    <col min="12801" max="12801" width="7.140625" style="629" customWidth="1"/>
    <col min="12802" max="12802" width="34.28515625" style="629" customWidth="1"/>
    <col min="12803" max="12803" width="12.85546875" style="629" customWidth="1"/>
    <col min="12804" max="12807" width="15.7109375" style="629" customWidth="1"/>
    <col min="12808" max="13056" width="9.140625" style="629"/>
    <col min="13057" max="13057" width="7.140625" style="629" customWidth="1"/>
    <col min="13058" max="13058" width="34.28515625" style="629" customWidth="1"/>
    <col min="13059" max="13059" width="12.85546875" style="629" customWidth="1"/>
    <col min="13060" max="13063" width="15.7109375" style="629" customWidth="1"/>
    <col min="13064" max="13312" width="9.140625" style="629"/>
    <col min="13313" max="13313" width="7.140625" style="629" customWidth="1"/>
    <col min="13314" max="13314" width="34.28515625" style="629" customWidth="1"/>
    <col min="13315" max="13315" width="12.85546875" style="629" customWidth="1"/>
    <col min="13316" max="13319" width="15.7109375" style="629" customWidth="1"/>
    <col min="13320" max="13568" width="9.140625" style="629"/>
    <col min="13569" max="13569" width="7.140625" style="629" customWidth="1"/>
    <col min="13570" max="13570" width="34.28515625" style="629" customWidth="1"/>
    <col min="13571" max="13571" width="12.85546875" style="629" customWidth="1"/>
    <col min="13572" max="13575" width="15.7109375" style="629" customWidth="1"/>
    <col min="13576" max="13824" width="9.140625" style="629"/>
    <col min="13825" max="13825" width="7.140625" style="629" customWidth="1"/>
    <col min="13826" max="13826" width="34.28515625" style="629" customWidth="1"/>
    <col min="13827" max="13827" width="12.85546875" style="629" customWidth="1"/>
    <col min="13828" max="13831" width="15.7109375" style="629" customWidth="1"/>
    <col min="13832" max="14080" width="9.140625" style="629"/>
    <col min="14081" max="14081" width="7.140625" style="629" customWidth="1"/>
    <col min="14082" max="14082" width="34.28515625" style="629" customWidth="1"/>
    <col min="14083" max="14083" width="12.85546875" style="629" customWidth="1"/>
    <col min="14084" max="14087" width="15.7109375" style="629" customWidth="1"/>
    <col min="14088" max="14336" width="9.140625" style="629"/>
    <col min="14337" max="14337" width="7.140625" style="629" customWidth="1"/>
    <col min="14338" max="14338" width="34.28515625" style="629" customWidth="1"/>
    <col min="14339" max="14339" width="12.85546875" style="629" customWidth="1"/>
    <col min="14340" max="14343" width="15.7109375" style="629" customWidth="1"/>
    <col min="14344" max="14592" width="9.140625" style="629"/>
    <col min="14593" max="14593" width="7.140625" style="629" customWidth="1"/>
    <col min="14594" max="14594" width="34.28515625" style="629" customWidth="1"/>
    <col min="14595" max="14595" width="12.85546875" style="629" customWidth="1"/>
    <col min="14596" max="14599" width="15.7109375" style="629" customWidth="1"/>
    <col min="14600" max="14848" width="9.140625" style="629"/>
    <col min="14849" max="14849" width="7.140625" style="629" customWidth="1"/>
    <col min="14850" max="14850" width="34.28515625" style="629" customWidth="1"/>
    <col min="14851" max="14851" width="12.85546875" style="629" customWidth="1"/>
    <col min="14852" max="14855" width="15.7109375" style="629" customWidth="1"/>
    <col min="14856" max="15104" width="9.140625" style="629"/>
    <col min="15105" max="15105" width="7.140625" style="629" customWidth="1"/>
    <col min="15106" max="15106" width="34.28515625" style="629" customWidth="1"/>
    <col min="15107" max="15107" width="12.85546875" style="629" customWidth="1"/>
    <col min="15108" max="15111" width="15.7109375" style="629" customWidth="1"/>
    <col min="15112" max="15360" width="9.140625" style="629"/>
    <col min="15361" max="15361" width="7.140625" style="629" customWidth="1"/>
    <col min="15362" max="15362" width="34.28515625" style="629" customWidth="1"/>
    <col min="15363" max="15363" width="12.85546875" style="629" customWidth="1"/>
    <col min="15364" max="15367" width="15.7109375" style="629" customWidth="1"/>
    <col min="15368" max="15616" width="9.140625" style="629"/>
    <col min="15617" max="15617" width="7.140625" style="629" customWidth="1"/>
    <col min="15618" max="15618" width="34.28515625" style="629" customWidth="1"/>
    <col min="15619" max="15619" width="12.85546875" style="629" customWidth="1"/>
    <col min="15620" max="15623" width="15.7109375" style="629" customWidth="1"/>
    <col min="15624" max="15872" width="9.140625" style="629"/>
    <col min="15873" max="15873" width="7.140625" style="629" customWidth="1"/>
    <col min="15874" max="15874" width="34.28515625" style="629" customWidth="1"/>
    <col min="15875" max="15875" width="12.85546875" style="629" customWidth="1"/>
    <col min="15876" max="15879" width="15.7109375" style="629" customWidth="1"/>
    <col min="15880" max="16128" width="9.140625" style="629"/>
    <col min="16129" max="16129" width="7.140625" style="629" customWidth="1"/>
    <col min="16130" max="16130" width="34.28515625" style="629" customWidth="1"/>
    <col min="16131" max="16131" width="12.85546875" style="629" customWidth="1"/>
    <col min="16132" max="16135" width="15.7109375" style="629" customWidth="1"/>
    <col min="16136" max="16384" width="9.140625" style="629"/>
  </cols>
  <sheetData>
    <row r="1" spans="1:7" x14ac:dyDescent="0.25">
      <c r="A1" s="628"/>
      <c r="B1" s="628"/>
      <c r="C1" s="628"/>
      <c r="D1" s="628"/>
      <c r="E1" s="895" t="s">
        <v>1218</v>
      </c>
      <c r="F1" s="895"/>
      <c r="G1" s="895"/>
    </row>
    <row r="2" spans="1:7" ht="15" customHeight="1" x14ac:dyDescent="0.25">
      <c r="A2" s="895" t="s">
        <v>1509</v>
      </c>
      <c r="B2" s="895"/>
      <c r="C2" s="895"/>
      <c r="D2" s="895"/>
      <c r="E2" s="895"/>
      <c r="F2" s="895"/>
      <c r="G2" s="895"/>
    </row>
    <row r="3" spans="1:7" x14ac:dyDescent="0.25">
      <c r="A3" s="896" t="s">
        <v>836</v>
      </c>
      <c r="B3" s="896"/>
      <c r="C3" s="896"/>
      <c r="D3" s="896"/>
      <c r="E3" s="896"/>
      <c r="F3" s="896"/>
      <c r="G3" s="896"/>
    </row>
    <row r="4" spans="1:7" x14ac:dyDescent="0.25">
      <c r="A4" s="630"/>
      <c r="B4" s="630"/>
      <c r="C4" s="630"/>
      <c r="D4" s="630"/>
      <c r="E4" s="630"/>
      <c r="F4" s="630"/>
      <c r="G4" s="630" t="s">
        <v>1406</v>
      </c>
    </row>
    <row r="5" spans="1:7" x14ac:dyDescent="0.25">
      <c r="A5" s="630"/>
      <c r="B5" s="630"/>
      <c r="C5" s="630"/>
      <c r="D5" s="630"/>
      <c r="E5" s="630"/>
      <c r="F5" s="630"/>
      <c r="G5" s="630"/>
    </row>
    <row r="6" spans="1:7" ht="18.75" x14ac:dyDescent="0.3">
      <c r="A6" s="897" t="s">
        <v>1510</v>
      </c>
      <c r="B6" s="897"/>
      <c r="C6" s="897"/>
      <c r="D6" s="897"/>
      <c r="E6" s="897"/>
      <c r="F6" s="897"/>
      <c r="G6" s="897"/>
    </row>
    <row r="7" spans="1:7" ht="16.5" customHeight="1" x14ac:dyDescent="0.3">
      <c r="A7" s="898" t="s">
        <v>1511</v>
      </c>
      <c r="B7" s="898"/>
      <c r="C7" s="898"/>
      <c r="D7" s="898"/>
      <c r="E7" s="898"/>
      <c r="F7" s="898"/>
      <c r="G7" s="898"/>
    </row>
    <row r="8" spans="1:7" ht="19.5" customHeight="1" x14ac:dyDescent="0.25">
      <c r="A8" s="631"/>
      <c r="B8" s="631"/>
      <c r="C8" s="631"/>
      <c r="D8" s="631"/>
      <c r="E8" s="631"/>
      <c r="F8" s="631"/>
      <c r="G8" s="631"/>
    </row>
    <row r="9" spans="1:7" x14ac:dyDescent="0.25">
      <c r="A9" s="899" t="s">
        <v>891</v>
      </c>
      <c r="B9" s="899"/>
      <c r="C9" s="899"/>
      <c r="D9" s="899"/>
      <c r="E9" s="899"/>
      <c r="F9" s="899"/>
      <c r="G9" s="899"/>
    </row>
    <row r="10" spans="1:7" ht="15.75" customHeight="1" x14ac:dyDescent="0.25">
      <c r="A10" s="900" t="s">
        <v>681</v>
      </c>
      <c r="B10" s="900" t="s">
        <v>1512</v>
      </c>
      <c r="C10" s="900" t="s">
        <v>1513</v>
      </c>
      <c r="D10" s="900" t="s">
        <v>1514</v>
      </c>
      <c r="E10" s="900"/>
      <c r="F10" s="900"/>
      <c r="G10" s="900"/>
    </row>
    <row r="11" spans="1:7" ht="31.5" x14ac:dyDescent="0.25">
      <c r="A11" s="900"/>
      <c r="B11" s="900"/>
      <c r="C11" s="900"/>
      <c r="D11" s="632" t="s">
        <v>1515</v>
      </c>
      <c r="E11" s="632" t="s">
        <v>1516</v>
      </c>
      <c r="F11" s="632" t="s">
        <v>1517</v>
      </c>
      <c r="G11" s="632" t="s">
        <v>1518</v>
      </c>
    </row>
    <row r="12" spans="1:7" x14ac:dyDescent="0.25">
      <c r="A12" s="633">
        <v>1</v>
      </c>
      <c r="B12" s="633">
        <v>2</v>
      </c>
      <c r="C12" s="633">
        <v>3</v>
      </c>
      <c r="D12" s="633">
        <v>4</v>
      </c>
      <c r="E12" s="633">
        <v>5</v>
      </c>
      <c r="F12" s="633">
        <v>6</v>
      </c>
      <c r="G12" s="633">
        <v>7</v>
      </c>
    </row>
    <row r="13" spans="1:7" ht="42.75" customHeight="1" x14ac:dyDescent="0.25">
      <c r="A13" s="901" t="s">
        <v>973</v>
      </c>
      <c r="B13" s="901"/>
      <c r="C13" s="901"/>
      <c r="D13" s="901"/>
      <c r="E13" s="901"/>
      <c r="F13" s="901"/>
      <c r="G13" s="901"/>
    </row>
    <row r="14" spans="1:7" ht="38.25" x14ac:dyDescent="0.25">
      <c r="A14" s="634">
        <v>1</v>
      </c>
      <c r="B14" s="635" t="s">
        <v>1519</v>
      </c>
      <c r="C14" s="636">
        <v>32947689</v>
      </c>
      <c r="D14" s="637">
        <v>1405.96039</v>
      </c>
      <c r="E14" s="637">
        <v>5634.8576499999999</v>
      </c>
      <c r="F14" s="637">
        <v>5434.7120400000003</v>
      </c>
      <c r="G14" s="637">
        <f>D14+E14-F14</f>
        <v>1606.1059999999998</v>
      </c>
    </row>
    <row r="15" spans="1:7" x14ac:dyDescent="0.25">
      <c r="A15" s="893" t="s">
        <v>1202</v>
      </c>
      <c r="B15" s="894"/>
      <c r="C15" s="638">
        <f>C14</f>
        <v>32947689</v>
      </c>
      <c r="D15" s="639">
        <f>D14</f>
        <v>1405.96039</v>
      </c>
      <c r="E15" s="639">
        <f>E14</f>
        <v>5634.8576499999999</v>
      </c>
      <c r="F15" s="639">
        <f>F14</f>
        <v>5434.7120400000003</v>
      </c>
      <c r="G15" s="639">
        <f>G14</f>
        <v>1606.1059999999998</v>
      </c>
    </row>
    <row r="16" spans="1:7" ht="40.5" customHeight="1" x14ac:dyDescent="0.25">
      <c r="A16" s="893" t="s">
        <v>975</v>
      </c>
      <c r="B16" s="905"/>
      <c r="C16" s="905"/>
      <c r="D16" s="905"/>
      <c r="E16" s="905"/>
      <c r="F16" s="905"/>
      <c r="G16" s="894"/>
    </row>
    <row r="17" spans="1:7" ht="51" x14ac:dyDescent="0.25">
      <c r="A17" s="640">
        <v>1</v>
      </c>
      <c r="B17" s="635" t="s">
        <v>1520</v>
      </c>
      <c r="C17" s="636">
        <v>17322371.219999999</v>
      </c>
      <c r="D17" s="636">
        <v>30.475239999999999</v>
      </c>
      <c r="E17" s="636">
        <v>310.17088000000001</v>
      </c>
      <c r="F17" s="636">
        <v>233.98097000000001</v>
      </c>
      <c r="G17" s="636">
        <f>D17+E17-F17</f>
        <v>106.66514999999998</v>
      </c>
    </row>
    <row r="18" spans="1:7" x14ac:dyDescent="0.25">
      <c r="A18" s="893" t="s">
        <v>1202</v>
      </c>
      <c r="B18" s="894"/>
      <c r="C18" s="638">
        <f>C17</f>
        <v>17322371.219999999</v>
      </c>
      <c r="D18" s="638">
        <f>D17</f>
        <v>30.475239999999999</v>
      </c>
      <c r="E18" s="638">
        <f>E17</f>
        <v>310.17088000000001</v>
      </c>
      <c r="F18" s="638">
        <f>F17</f>
        <v>233.98097000000001</v>
      </c>
      <c r="G18" s="638">
        <f>G17</f>
        <v>106.66514999999998</v>
      </c>
    </row>
    <row r="19" spans="1:7" x14ac:dyDescent="0.25">
      <c r="A19" s="893" t="s">
        <v>1521</v>
      </c>
      <c r="B19" s="905"/>
      <c r="C19" s="905"/>
      <c r="D19" s="905"/>
      <c r="E19" s="905"/>
      <c r="F19" s="905"/>
      <c r="G19" s="894"/>
    </row>
    <row r="20" spans="1:7" ht="63.75" x14ac:dyDescent="0.25">
      <c r="A20" s="640">
        <v>1</v>
      </c>
      <c r="B20" s="636" t="s">
        <v>1522</v>
      </c>
      <c r="C20" s="636">
        <v>16397.599999999999</v>
      </c>
      <c r="D20" s="637">
        <v>3058.1681100000001</v>
      </c>
      <c r="E20" s="637">
        <v>1519.9661900000001</v>
      </c>
      <c r="F20" s="637">
        <v>1819.00602</v>
      </c>
      <c r="G20" s="637">
        <f>D20+E20-F20</f>
        <v>2759.1282799999999</v>
      </c>
    </row>
    <row r="21" spans="1:7" x14ac:dyDescent="0.25">
      <c r="A21" s="893" t="s">
        <v>1202</v>
      </c>
      <c r="B21" s="894"/>
      <c r="C21" s="638">
        <f>C20</f>
        <v>16397.599999999999</v>
      </c>
      <c r="D21" s="639">
        <f>D20</f>
        <v>3058.1681100000001</v>
      </c>
      <c r="E21" s="639">
        <f>E20</f>
        <v>1519.9661900000001</v>
      </c>
      <c r="F21" s="639">
        <f>F20</f>
        <v>1819.00602</v>
      </c>
      <c r="G21" s="639">
        <f>G20</f>
        <v>2759.1282799999999</v>
      </c>
    </row>
    <row r="22" spans="1:7" ht="42.75" customHeight="1" x14ac:dyDescent="0.25">
      <c r="A22" s="902" t="s">
        <v>977</v>
      </c>
      <c r="B22" s="903"/>
      <c r="C22" s="903"/>
      <c r="D22" s="903"/>
      <c r="E22" s="903"/>
      <c r="F22" s="903"/>
      <c r="G22" s="904"/>
    </row>
    <row r="23" spans="1:7" ht="38.25" x14ac:dyDescent="0.25">
      <c r="A23" s="641" t="s">
        <v>685</v>
      </c>
      <c r="B23" s="642" t="s">
        <v>1523</v>
      </c>
      <c r="C23" s="636">
        <v>215.7</v>
      </c>
      <c r="D23" s="636">
        <v>171.54984999999999</v>
      </c>
      <c r="E23" s="636">
        <v>295.48626000000002</v>
      </c>
      <c r="F23" s="636">
        <v>356.47739999999999</v>
      </c>
      <c r="G23" s="636">
        <f>D23+E23-F23</f>
        <v>110.55871000000002</v>
      </c>
    </row>
    <row r="24" spans="1:7" x14ac:dyDescent="0.25">
      <c r="A24" s="893" t="s">
        <v>1202</v>
      </c>
      <c r="B24" s="894"/>
      <c r="C24" s="638">
        <f>C23</f>
        <v>215.7</v>
      </c>
      <c r="D24" s="638">
        <f>D23</f>
        <v>171.54984999999999</v>
      </c>
      <c r="E24" s="638">
        <f>E23</f>
        <v>295.48626000000002</v>
      </c>
      <c r="F24" s="638">
        <f>F23</f>
        <v>356.47739999999999</v>
      </c>
      <c r="G24" s="638">
        <f>G23</f>
        <v>110.55871000000002</v>
      </c>
    </row>
    <row r="25" spans="1:7" ht="23.25" customHeight="1" x14ac:dyDescent="0.25">
      <c r="A25" s="902" t="s">
        <v>979</v>
      </c>
      <c r="B25" s="903"/>
      <c r="C25" s="903"/>
      <c r="D25" s="903"/>
      <c r="E25" s="903"/>
      <c r="F25" s="903"/>
      <c r="G25" s="904"/>
    </row>
    <row r="26" spans="1:7" ht="31.5" customHeight="1" x14ac:dyDescent="0.25">
      <c r="A26" s="641">
        <v>2</v>
      </c>
      <c r="B26" s="642" t="s">
        <v>1524</v>
      </c>
      <c r="C26" s="636">
        <v>470</v>
      </c>
      <c r="D26" s="636">
        <v>75.268249999999995</v>
      </c>
      <c r="E26" s="636">
        <v>154.5419</v>
      </c>
      <c r="F26" s="636">
        <v>129.44354999999999</v>
      </c>
      <c r="G26" s="636">
        <f>D26+E26-F26</f>
        <v>100.36660000000001</v>
      </c>
    </row>
    <row r="27" spans="1:7" x14ac:dyDescent="0.25">
      <c r="A27" s="893" t="s">
        <v>1202</v>
      </c>
      <c r="B27" s="894"/>
      <c r="C27" s="638">
        <f>C26</f>
        <v>470</v>
      </c>
      <c r="D27" s="638">
        <f>D26</f>
        <v>75.268249999999995</v>
      </c>
      <c r="E27" s="638">
        <f>E26</f>
        <v>154.5419</v>
      </c>
      <c r="F27" s="638">
        <f>F26</f>
        <v>129.44354999999999</v>
      </c>
      <c r="G27" s="638">
        <f>G26</f>
        <v>100.36660000000001</v>
      </c>
    </row>
  </sheetData>
  <mergeCells count="20">
    <mergeCell ref="A25:G25"/>
    <mergeCell ref="A27:B27"/>
    <mergeCell ref="A16:G16"/>
    <mergeCell ref="A18:B18"/>
    <mergeCell ref="A19:G19"/>
    <mergeCell ref="A21:B21"/>
    <mergeCell ref="A22:G22"/>
    <mergeCell ref="A24:B24"/>
    <mergeCell ref="A15:B15"/>
    <mergeCell ref="E1:G1"/>
    <mergeCell ref="A2:G2"/>
    <mergeCell ref="A3:G3"/>
    <mergeCell ref="A6:G6"/>
    <mergeCell ref="A7:G7"/>
    <mergeCell ref="A9:G9"/>
    <mergeCell ref="A10:A11"/>
    <mergeCell ref="B10:B11"/>
    <mergeCell ref="C10:C11"/>
    <mergeCell ref="D10:G10"/>
    <mergeCell ref="A13:G13"/>
  </mergeCells>
  <pageMargins left="0.51181102362204722" right="0.51181102362204722" top="0.74803149606299213" bottom="0.74803149606299213" header="0.31496062992125984" footer="0.31496062992125984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16"/>
  <sheetViews>
    <sheetView tabSelected="1" view="pageBreakPreview" zoomScale="80" zoomScaleSheetLayoutView="80" workbookViewId="0">
      <selection activeCell="F4" sqref="F4:G4"/>
    </sheetView>
  </sheetViews>
  <sheetFormatPr defaultRowHeight="15" x14ac:dyDescent="0.25"/>
  <cols>
    <col min="1" max="1" width="5.85546875" style="643" customWidth="1"/>
    <col min="2" max="2" width="32.28515625" style="643" customWidth="1"/>
    <col min="3" max="3" width="36.42578125" style="643" customWidth="1"/>
    <col min="4" max="4" width="12.5703125" style="643" customWidth="1"/>
    <col min="5" max="5" width="13.140625" style="643" customWidth="1"/>
    <col min="6" max="6" width="13.7109375" style="643" customWidth="1"/>
    <col min="7" max="7" width="18.85546875" style="643" customWidth="1"/>
    <col min="8" max="256" width="9.140625" style="643"/>
    <col min="257" max="257" width="5.85546875" style="643" customWidth="1"/>
    <col min="258" max="258" width="32.28515625" style="643" customWidth="1"/>
    <col min="259" max="259" width="36.42578125" style="643" customWidth="1"/>
    <col min="260" max="260" width="12.5703125" style="643" customWidth="1"/>
    <col min="261" max="261" width="13.140625" style="643" customWidth="1"/>
    <col min="262" max="262" width="13.7109375" style="643" customWidth="1"/>
    <col min="263" max="263" width="18.85546875" style="643" customWidth="1"/>
    <col min="264" max="512" width="9.140625" style="643"/>
    <col min="513" max="513" width="5.85546875" style="643" customWidth="1"/>
    <col min="514" max="514" width="32.28515625" style="643" customWidth="1"/>
    <col min="515" max="515" width="36.42578125" style="643" customWidth="1"/>
    <col min="516" max="516" width="12.5703125" style="643" customWidth="1"/>
    <col min="517" max="517" width="13.140625" style="643" customWidth="1"/>
    <col min="518" max="518" width="13.7109375" style="643" customWidth="1"/>
    <col min="519" max="519" width="18.85546875" style="643" customWidth="1"/>
    <col min="520" max="768" width="9.140625" style="643"/>
    <col min="769" max="769" width="5.85546875" style="643" customWidth="1"/>
    <col min="770" max="770" width="32.28515625" style="643" customWidth="1"/>
    <col min="771" max="771" width="36.42578125" style="643" customWidth="1"/>
    <col min="772" max="772" width="12.5703125" style="643" customWidth="1"/>
    <col min="773" max="773" width="13.140625" style="643" customWidth="1"/>
    <col min="774" max="774" width="13.7109375" style="643" customWidth="1"/>
    <col min="775" max="775" width="18.85546875" style="643" customWidth="1"/>
    <col min="776" max="1024" width="9.140625" style="643"/>
    <col min="1025" max="1025" width="5.85546875" style="643" customWidth="1"/>
    <col min="1026" max="1026" width="32.28515625" style="643" customWidth="1"/>
    <col min="1027" max="1027" width="36.42578125" style="643" customWidth="1"/>
    <col min="1028" max="1028" width="12.5703125" style="643" customWidth="1"/>
    <col min="1029" max="1029" width="13.140625" style="643" customWidth="1"/>
    <col min="1030" max="1030" width="13.7109375" style="643" customWidth="1"/>
    <col min="1031" max="1031" width="18.85546875" style="643" customWidth="1"/>
    <col min="1032" max="1280" width="9.140625" style="643"/>
    <col min="1281" max="1281" width="5.85546875" style="643" customWidth="1"/>
    <col min="1282" max="1282" width="32.28515625" style="643" customWidth="1"/>
    <col min="1283" max="1283" width="36.42578125" style="643" customWidth="1"/>
    <col min="1284" max="1284" width="12.5703125" style="643" customWidth="1"/>
    <col min="1285" max="1285" width="13.140625" style="643" customWidth="1"/>
    <col min="1286" max="1286" width="13.7109375" style="643" customWidth="1"/>
    <col min="1287" max="1287" width="18.85546875" style="643" customWidth="1"/>
    <col min="1288" max="1536" width="9.140625" style="643"/>
    <col min="1537" max="1537" width="5.85546875" style="643" customWidth="1"/>
    <col min="1538" max="1538" width="32.28515625" style="643" customWidth="1"/>
    <col min="1539" max="1539" width="36.42578125" style="643" customWidth="1"/>
    <col min="1540" max="1540" width="12.5703125" style="643" customWidth="1"/>
    <col min="1541" max="1541" width="13.140625" style="643" customWidth="1"/>
    <col min="1542" max="1542" width="13.7109375" style="643" customWidth="1"/>
    <col min="1543" max="1543" width="18.85546875" style="643" customWidth="1"/>
    <col min="1544" max="1792" width="9.140625" style="643"/>
    <col min="1793" max="1793" width="5.85546875" style="643" customWidth="1"/>
    <col min="1794" max="1794" width="32.28515625" style="643" customWidth="1"/>
    <col min="1795" max="1795" width="36.42578125" style="643" customWidth="1"/>
    <col min="1796" max="1796" width="12.5703125" style="643" customWidth="1"/>
    <col min="1797" max="1797" width="13.140625" style="643" customWidth="1"/>
    <col min="1798" max="1798" width="13.7109375" style="643" customWidth="1"/>
    <col min="1799" max="1799" width="18.85546875" style="643" customWidth="1"/>
    <col min="1800" max="2048" width="9.140625" style="643"/>
    <col min="2049" max="2049" width="5.85546875" style="643" customWidth="1"/>
    <col min="2050" max="2050" width="32.28515625" style="643" customWidth="1"/>
    <col min="2051" max="2051" width="36.42578125" style="643" customWidth="1"/>
    <col min="2052" max="2052" width="12.5703125" style="643" customWidth="1"/>
    <col min="2053" max="2053" width="13.140625" style="643" customWidth="1"/>
    <col min="2054" max="2054" width="13.7109375" style="643" customWidth="1"/>
    <col min="2055" max="2055" width="18.85546875" style="643" customWidth="1"/>
    <col min="2056" max="2304" width="9.140625" style="643"/>
    <col min="2305" max="2305" width="5.85546875" style="643" customWidth="1"/>
    <col min="2306" max="2306" width="32.28515625" style="643" customWidth="1"/>
    <col min="2307" max="2307" width="36.42578125" style="643" customWidth="1"/>
    <col min="2308" max="2308" width="12.5703125" style="643" customWidth="1"/>
    <col min="2309" max="2309" width="13.140625" style="643" customWidth="1"/>
    <col min="2310" max="2310" width="13.7109375" style="643" customWidth="1"/>
    <col min="2311" max="2311" width="18.85546875" style="643" customWidth="1"/>
    <col min="2312" max="2560" width="9.140625" style="643"/>
    <col min="2561" max="2561" width="5.85546875" style="643" customWidth="1"/>
    <col min="2562" max="2562" width="32.28515625" style="643" customWidth="1"/>
    <col min="2563" max="2563" width="36.42578125" style="643" customWidth="1"/>
    <col min="2564" max="2564" width="12.5703125" style="643" customWidth="1"/>
    <col min="2565" max="2565" width="13.140625" style="643" customWidth="1"/>
    <col min="2566" max="2566" width="13.7109375" style="643" customWidth="1"/>
    <col min="2567" max="2567" width="18.85546875" style="643" customWidth="1"/>
    <col min="2568" max="2816" width="9.140625" style="643"/>
    <col min="2817" max="2817" width="5.85546875" style="643" customWidth="1"/>
    <col min="2818" max="2818" width="32.28515625" style="643" customWidth="1"/>
    <col min="2819" max="2819" width="36.42578125" style="643" customWidth="1"/>
    <col min="2820" max="2820" width="12.5703125" style="643" customWidth="1"/>
    <col min="2821" max="2821" width="13.140625" style="643" customWidth="1"/>
    <col min="2822" max="2822" width="13.7109375" style="643" customWidth="1"/>
    <col min="2823" max="2823" width="18.85546875" style="643" customWidth="1"/>
    <col min="2824" max="3072" width="9.140625" style="643"/>
    <col min="3073" max="3073" width="5.85546875" style="643" customWidth="1"/>
    <col min="3074" max="3074" width="32.28515625" style="643" customWidth="1"/>
    <col min="3075" max="3075" width="36.42578125" style="643" customWidth="1"/>
    <col min="3076" max="3076" width="12.5703125" style="643" customWidth="1"/>
    <col min="3077" max="3077" width="13.140625" style="643" customWidth="1"/>
    <col min="3078" max="3078" width="13.7109375" style="643" customWidth="1"/>
    <col min="3079" max="3079" width="18.85546875" style="643" customWidth="1"/>
    <col min="3080" max="3328" width="9.140625" style="643"/>
    <col min="3329" max="3329" width="5.85546875" style="643" customWidth="1"/>
    <col min="3330" max="3330" width="32.28515625" style="643" customWidth="1"/>
    <col min="3331" max="3331" width="36.42578125" style="643" customWidth="1"/>
    <col min="3332" max="3332" width="12.5703125" style="643" customWidth="1"/>
    <col min="3333" max="3333" width="13.140625" style="643" customWidth="1"/>
    <col min="3334" max="3334" width="13.7109375" style="643" customWidth="1"/>
    <col min="3335" max="3335" width="18.85546875" style="643" customWidth="1"/>
    <col min="3336" max="3584" width="9.140625" style="643"/>
    <col min="3585" max="3585" width="5.85546875" style="643" customWidth="1"/>
    <col min="3586" max="3586" width="32.28515625" style="643" customWidth="1"/>
    <col min="3587" max="3587" width="36.42578125" style="643" customWidth="1"/>
    <col min="3588" max="3588" width="12.5703125" style="643" customWidth="1"/>
    <col min="3589" max="3589" width="13.140625" style="643" customWidth="1"/>
    <col min="3590" max="3590" width="13.7109375" style="643" customWidth="1"/>
    <col min="3591" max="3591" width="18.85546875" style="643" customWidth="1"/>
    <col min="3592" max="3840" width="9.140625" style="643"/>
    <col min="3841" max="3841" width="5.85546875" style="643" customWidth="1"/>
    <col min="3842" max="3842" width="32.28515625" style="643" customWidth="1"/>
    <col min="3843" max="3843" width="36.42578125" style="643" customWidth="1"/>
    <col min="3844" max="3844" width="12.5703125" style="643" customWidth="1"/>
    <col min="3845" max="3845" width="13.140625" style="643" customWidth="1"/>
    <col min="3846" max="3846" width="13.7109375" style="643" customWidth="1"/>
    <col min="3847" max="3847" width="18.85546875" style="643" customWidth="1"/>
    <col min="3848" max="4096" width="9.140625" style="643"/>
    <col min="4097" max="4097" width="5.85546875" style="643" customWidth="1"/>
    <col min="4098" max="4098" width="32.28515625" style="643" customWidth="1"/>
    <col min="4099" max="4099" width="36.42578125" style="643" customWidth="1"/>
    <col min="4100" max="4100" width="12.5703125" style="643" customWidth="1"/>
    <col min="4101" max="4101" width="13.140625" style="643" customWidth="1"/>
    <col min="4102" max="4102" width="13.7109375" style="643" customWidth="1"/>
    <col min="4103" max="4103" width="18.85546875" style="643" customWidth="1"/>
    <col min="4104" max="4352" width="9.140625" style="643"/>
    <col min="4353" max="4353" width="5.85546875" style="643" customWidth="1"/>
    <col min="4354" max="4354" width="32.28515625" style="643" customWidth="1"/>
    <col min="4355" max="4355" width="36.42578125" style="643" customWidth="1"/>
    <col min="4356" max="4356" width="12.5703125" style="643" customWidth="1"/>
    <col min="4357" max="4357" width="13.140625" style="643" customWidth="1"/>
    <col min="4358" max="4358" width="13.7109375" style="643" customWidth="1"/>
    <col min="4359" max="4359" width="18.85546875" style="643" customWidth="1"/>
    <col min="4360" max="4608" width="9.140625" style="643"/>
    <col min="4609" max="4609" width="5.85546875" style="643" customWidth="1"/>
    <col min="4610" max="4610" width="32.28515625" style="643" customWidth="1"/>
    <col min="4611" max="4611" width="36.42578125" style="643" customWidth="1"/>
    <col min="4612" max="4612" width="12.5703125" style="643" customWidth="1"/>
    <col min="4613" max="4613" width="13.140625" style="643" customWidth="1"/>
    <col min="4614" max="4614" width="13.7109375" style="643" customWidth="1"/>
    <col min="4615" max="4615" width="18.85546875" style="643" customWidth="1"/>
    <col min="4616" max="4864" width="9.140625" style="643"/>
    <col min="4865" max="4865" width="5.85546875" style="643" customWidth="1"/>
    <col min="4866" max="4866" width="32.28515625" style="643" customWidth="1"/>
    <col min="4867" max="4867" width="36.42578125" style="643" customWidth="1"/>
    <col min="4868" max="4868" width="12.5703125" style="643" customWidth="1"/>
    <col min="4869" max="4869" width="13.140625" style="643" customWidth="1"/>
    <col min="4870" max="4870" width="13.7109375" style="643" customWidth="1"/>
    <col min="4871" max="4871" width="18.85546875" style="643" customWidth="1"/>
    <col min="4872" max="5120" width="9.140625" style="643"/>
    <col min="5121" max="5121" width="5.85546875" style="643" customWidth="1"/>
    <col min="5122" max="5122" width="32.28515625" style="643" customWidth="1"/>
    <col min="5123" max="5123" width="36.42578125" style="643" customWidth="1"/>
    <col min="5124" max="5124" width="12.5703125" style="643" customWidth="1"/>
    <col min="5125" max="5125" width="13.140625" style="643" customWidth="1"/>
    <col min="5126" max="5126" width="13.7109375" style="643" customWidth="1"/>
    <col min="5127" max="5127" width="18.85546875" style="643" customWidth="1"/>
    <col min="5128" max="5376" width="9.140625" style="643"/>
    <col min="5377" max="5377" width="5.85546875" style="643" customWidth="1"/>
    <col min="5378" max="5378" width="32.28515625" style="643" customWidth="1"/>
    <col min="5379" max="5379" width="36.42578125" style="643" customWidth="1"/>
    <col min="5380" max="5380" width="12.5703125" style="643" customWidth="1"/>
    <col min="5381" max="5381" width="13.140625" style="643" customWidth="1"/>
    <col min="5382" max="5382" width="13.7109375" style="643" customWidth="1"/>
    <col min="5383" max="5383" width="18.85546875" style="643" customWidth="1"/>
    <col min="5384" max="5632" width="9.140625" style="643"/>
    <col min="5633" max="5633" width="5.85546875" style="643" customWidth="1"/>
    <col min="5634" max="5634" width="32.28515625" style="643" customWidth="1"/>
    <col min="5635" max="5635" width="36.42578125" style="643" customWidth="1"/>
    <col min="5636" max="5636" width="12.5703125" style="643" customWidth="1"/>
    <col min="5637" max="5637" width="13.140625" style="643" customWidth="1"/>
    <col min="5638" max="5638" width="13.7109375" style="643" customWidth="1"/>
    <col min="5639" max="5639" width="18.85546875" style="643" customWidth="1"/>
    <col min="5640" max="5888" width="9.140625" style="643"/>
    <col min="5889" max="5889" width="5.85546875" style="643" customWidth="1"/>
    <col min="5890" max="5890" width="32.28515625" style="643" customWidth="1"/>
    <col min="5891" max="5891" width="36.42578125" style="643" customWidth="1"/>
    <col min="5892" max="5892" width="12.5703125" style="643" customWidth="1"/>
    <col min="5893" max="5893" width="13.140625" style="643" customWidth="1"/>
    <col min="5894" max="5894" width="13.7109375" style="643" customWidth="1"/>
    <col min="5895" max="5895" width="18.85546875" style="643" customWidth="1"/>
    <col min="5896" max="6144" width="9.140625" style="643"/>
    <col min="6145" max="6145" width="5.85546875" style="643" customWidth="1"/>
    <col min="6146" max="6146" width="32.28515625" style="643" customWidth="1"/>
    <col min="6147" max="6147" width="36.42578125" style="643" customWidth="1"/>
    <col min="6148" max="6148" width="12.5703125" style="643" customWidth="1"/>
    <col min="6149" max="6149" width="13.140625" style="643" customWidth="1"/>
    <col min="6150" max="6150" width="13.7109375" style="643" customWidth="1"/>
    <col min="6151" max="6151" width="18.85546875" style="643" customWidth="1"/>
    <col min="6152" max="6400" width="9.140625" style="643"/>
    <col min="6401" max="6401" width="5.85546875" style="643" customWidth="1"/>
    <col min="6402" max="6402" width="32.28515625" style="643" customWidth="1"/>
    <col min="6403" max="6403" width="36.42578125" style="643" customWidth="1"/>
    <col min="6404" max="6404" width="12.5703125" style="643" customWidth="1"/>
    <col min="6405" max="6405" width="13.140625" style="643" customWidth="1"/>
    <col min="6406" max="6406" width="13.7109375" style="643" customWidth="1"/>
    <col min="6407" max="6407" width="18.85546875" style="643" customWidth="1"/>
    <col min="6408" max="6656" width="9.140625" style="643"/>
    <col min="6657" max="6657" width="5.85546875" style="643" customWidth="1"/>
    <col min="6658" max="6658" width="32.28515625" style="643" customWidth="1"/>
    <col min="6659" max="6659" width="36.42578125" style="643" customWidth="1"/>
    <col min="6660" max="6660" width="12.5703125" style="643" customWidth="1"/>
    <col min="6661" max="6661" width="13.140625" style="643" customWidth="1"/>
    <col min="6662" max="6662" width="13.7109375" style="643" customWidth="1"/>
    <col min="6663" max="6663" width="18.85546875" style="643" customWidth="1"/>
    <col min="6664" max="6912" width="9.140625" style="643"/>
    <col min="6913" max="6913" width="5.85546875" style="643" customWidth="1"/>
    <col min="6914" max="6914" width="32.28515625" style="643" customWidth="1"/>
    <col min="6915" max="6915" width="36.42578125" style="643" customWidth="1"/>
    <col min="6916" max="6916" width="12.5703125" style="643" customWidth="1"/>
    <col min="6917" max="6917" width="13.140625" style="643" customWidth="1"/>
    <col min="6918" max="6918" width="13.7109375" style="643" customWidth="1"/>
    <col min="6919" max="6919" width="18.85546875" style="643" customWidth="1"/>
    <col min="6920" max="7168" width="9.140625" style="643"/>
    <col min="7169" max="7169" width="5.85546875" style="643" customWidth="1"/>
    <col min="7170" max="7170" width="32.28515625" style="643" customWidth="1"/>
    <col min="7171" max="7171" width="36.42578125" style="643" customWidth="1"/>
    <col min="7172" max="7172" width="12.5703125" style="643" customWidth="1"/>
    <col min="7173" max="7173" width="13.140625" style="643" customWidth="1"/>
    <col min="7174" max="7174" width="13.7109375" style="643" customWidth="1"/>
    <col min="7175" max="7175" width="18.85546875" style="643" customWidth="1"/>
    <col min="7176" max="7424" width="9.140625" style="643"/>
    <col min="7425" max="7425" width="5.85546875" style="643" customWidth="1"/>
    <col min="7426" max="7426" width="32.28515625" style="643" customWidth="1"/>
    <col min="7427" max="7427" width="36.42578125" style="643" customWidth="1"/>
    <col min="7428" max="7428" width="12.5703125" style="643" customWidth="1"/>
    <col min="7429" max="7429" width="13.140625" style="643" customWidth="1"/>
    <col min="7430" max="7430" width="13.7109375" style="643" customWidth="1"/>
    <col min="7431" max="7431" width="18.85546875" style="643" customWidth="1"/>
    <col min="7432" max="7680" width="9.140625" style="643"/>
    <col min="7681" max="7681" width="5.85546875" style="643" customWidth="1"/>
    <col min="7682" max="7682" width="32.28515625" style="643" customWidth="1"/>
    <col min="7683" max="7683" width="36.42578125" style="643" customWidth="1"/>
    <col min="7684" max="7684" width="12.5703125" style="643" customWidth="1"/>
    <col min="7685" max="7685" width="13.140625" style="643" customWidth="1"/>
    <col min="7686" max="7686" width="13.7109375" style="643" customWidth="1"/>
    <col min="7687" max="7687" width="18.85546875" style="643" customWidth="1"/>
    <col min="7688" max="7936" width="9.140625" style="643"/>
    <col min="7937" max="7937" width="5.85546875" style="643" customWidth="1"/>
    <col min="7938" max="7938" width="32.28515625" style="643" customWidth="1"/>
    <col min="7939" max="7939" width="36.42578125" style="643" customWidth="1"/>
    <col min="7940" max="7940" width="12.5703125" style="643" customWidth="1"/>
    <col min="7941" max="7941" width="13.140625" style="643" customWidth="1"/>
    <col min="7942" max="7942" width="13.7109375" style="643" customWidth="1"/>
    <col min="7943" max="7943" width="18.85546875" style="643" customWidth="1"/>
    <col min="7944" max="8192" width="9.140625" style="643"/>
    <col min="8193" max="8193" width="5.85546875" style="643" customWidth="1"/>
    <col min="8194" max="8194" width="32.28515625" style="643" customWidth="1"/>
    <col min="8195" max="8195" width="36.42578125" style="643" customWidth="1"/>
    <col min="8196" max="8196" width="12.5703125" style="643" customWidth="1"/>
    <col min="8197" max="8197" width="13.140625" style="643" customWidth="1"/>
    <col min="8198" max="8198" width="13.7109375" style="643" customWidth="1"/>
    <col min="8199" max="8199" width="18.85546875" style="643" customWidth="1"/>
    <col min="8200" max="8448" width="9.140625" style="643"/>
    <col min="8449" max="8449" width="5.85546875" style="643" customWidth="1"/>
    <col min="8450" max="8450" width="32.28515625" style="643" customWidth="1"/>
    <col min="8451" max="8451" width="36.42578125" style="643" customWidth="1"/>
    <col min="8452" max="8452" width="12.5703125" style="643" customWidth="1"/>
    <col min="8453" max="8453" width="13.140625" style="643" customWidth="1"/>
    <col min="8454" max="8454" width="13.7109375" style="643" customWidth="1"/>
    <col min="8455" max="8455" width="18.85546875" style="643" customWidth="1"/>
    <col min="8456" max="8704" width="9.140625" style="643"/>
    <col min="8705" max="8705" width="5.85546875" style="643" customWidth="1"/>
    <col min="8706" max="8706" width="32.28515625" style="643" customWidth="1"/>
    <col min="8707" max="8707" width="36.42578125" style="643" customWidth="1"/>
    <col min="8708" max="8708" width="12.5703125" style="643" customWidth="1"/>
    <col min="8709" max="8709" width="13.140625" style="643" customWidth="1"/>
    <col min="8710" max="8710" width="13.7109375" style="643" customWidth="1"/>
    <col min="8711" max="8711" width="18.85546875" style="643" customWidth="1"/>
    <col min="8712" max="8960" width="9.140625" style="643"/>
    <col min="8961" max="8961" width="5.85546875" style="643" customWidth="1"/>
    <col min="8962" max="8962" width="32.28515625" style="643" customWidth="1"/>
    <col min="8963" max="8963" width="36.42578125" style="643" customWidth="1"/>
    <col min="8964" max="8964" width="12.5703125" style="643" customWidth="1"/>
    <col min="8965" max="8965" width="13.140625" style="643" customWidth="1"/>
    <col min="8966" max="8966" width="13.7109375" style="643" customWidth="1"/>
    <col min="8967" max="8967" width="18.85546875" style="643" customWidth="1"/>
    <col min="8968" max="9216" width="9.140625" style="643"/>
    <col min="9217" max="9217" width="5.85546875" style="643" customWidth="1"/>
    <col min="9218" max="9218" width="32.28515625" style="643" customWidth="1"/>
    <col min="9219" max="9219" width="36.42578125" style="643" customWidth="1"/>
    <col min="9220" max="9220" width="12.5703125" style="643" customWidth="1"/>
    <col min="9221" max="9221" width="13.140625" style="643" customWidth="1"/>
    <col min="9222" max="9222" width="13.7109375" style="643" customWidth="1"/>
    <col min="9223" max="9223" width="18.85546875" style="643" customWidth="1"/>
    <col min="9224" max="9472" width="9.140625" style="643"/>
    <col min="9473" max="9473" width="5.85546875" style="643" customWidth="1"/>
    <col min="9474" max="9474" width="32.28515625" style="643" customWidth="1"/>
    <col min="9475" max="9475" width="36.42578125" style="643" customWidth="1"/>
    <col min="9476" max="9476" width="12.5703125" style="643" customWidth="1"/>
    <col min="9477" max="9477" width="13.140625" style="643" customWidth="1"/>
    <col min="9478" max="9478" width="13.7109375" style="643" customWidth="1"/>
    <col min="9479" max="9479" width="18.85546875" style="643" customWidth="1"/>
    <col min="9480" max="9728" width="9.140625" style="643"/>
    <col min="9729" max="9729" width="5.85546875" style="643" customWidth="1"/>
    <col min="9730" max="9730" width="32.28515625" style="643" customWidth="1"/>
    <col min="9731" max="9731" width="36.42578125" style="643" customWidth="1"/>
    <col min="9732" max="9732" width="12.5703125" style="643" customWidth="1"/>
    <col min="9733" max="9733" width="13.140625" style="643" customWidth="1"/>
    <col min="9734" max="9734" width="13.7109375" style="643" customWidth="1"/>
    <col min="9735" max="9735" width="18.85546875" style="643" customWidth="1"/>
    <col min="9736" max="9984" width="9.140625" style="643"/>
    <col min="9985" max="9985" width="5.85546875" style="643" customWidth="1"/>
    <col min="9986" max="9986" width="32.28515625" style="643" customWidth="1"/>
    <col min="9987" max="9987" width="36.42578125" style="643" customWidth="1"/>
    <col min="9988" max="9988" width="12.5703125" style="643" customWidth="1"/>
    <col min="9989" max="9989" width="13.140625" style="643" customWidth="1"/>
    <col min="9990" max="9990" width="13.7109375" style="643" customWidth="1"/>
    <col min="9991" max="9991" width="18.85546875" style="643" customWidth="1"/>
    <col min="9992" max="10240" width="9.140625" style="643"/>
    <col min="10241" max="10241" width="5.85546875" style="643" customWidth="1"/>
    <col min="10242" max="10242" width="32.28515625" style="643" customWidth="1"/>
    <col min="10243" max="10243" width="36.42578125" style="643" customWidth="1"/>
    <col min="10244" max="10244" width="12.5703125" style="643" customWidth="1"/>
    <col min="10245" max="10245" width="13.140625" style="643" customWidth="1"/>
    <col min="10246" max="10246" width="13.7109375" style="643" customWidth="1"/>
    <col min="10247" max="10247" width="18.85546875" style="643" customWidth="1"/>
    <col min="10248" max="10496" width="9.140625" style="643"/>
    <col min="10497" max="10497" width="5.85546875" style="643" customWidth="1"/>
    <col min="10498" max="10498" width="32.28515625" style="643" customWidth="1"/>
    <col min="10499" max="10499" width="36.42578125" style="643" customWidth="1"/>
    <col min="10500" max="10500" width="12.5703125" style="643" customWidth="1"/>
    <col min="10501" max="10501" width="13.140625" style="643" customWidth="1"/>
    <col min="10502" max="10502" width="13.7109375" style="643" customWidth="1"/>
    <col min="10503" max="10503" width="18.85546875" style="643" customWidth="1"/>
    <col min="10504" max="10752" width="9.140625" style="643"/>
    <col min="10753" max="10753" width="5.85546875" style="643" customWidth="1"/>
    <col min="10754" max="10754" width="32.28515625" style="643" customWidth="1"/>
    <col min="10755" max="10755" width="36.42578125" style="643" customWidth="1"/>
    <col min="10756" max="10756" width="12.5703125" style="643" customWidth="1"/>
    <col min="10757" max="10757" width="13.140625" style="643" customWidth="1"/>
    <col min="10758" max="10758" width="13.7109375" style="643" customWidth="1"/>
    <col min="10759" max="10759" width="18.85546875" style="643" customWidth="1"/>
    <col min="10760" max="11008" width="9.140625" style="643"/>
    <col min="11009" max="11009" width="5.85546875" style="643" customWidth="1"/>
    <col min="11010" max="11010" width="32.28515625" style="643" customWidth="1"/>
    <col min="11011" max="11011" width="36.42578125" style="643" customWidth="1"/>
    <col min="11012" max="11012" width="12.5703125" style="643" customWidth="1"/>
    <col min="11013" max="11013" width="13.140625" style="643" customWidth="1"/>
    <col min="11014" max="11014" width="13.7109375" style="643" customWidth="1"/>
    <col min="11015" max="11015" width="18.85546875" style="643" customWidth="1"/>
    <col min="11016" max="11264" width="9.140625" style="643"/>
    <col min="11265" max="11265" width="5.85546875" style="643" customWidth="1"/>
    <col min="11266" max="11266" width="32.28515625" style="643" customWidth="1"/>
    <col min="11267" max="11267" width="36.42578125" style="643" customWidth="1"/>
    <col min="11268" max="11268" width="12.5703125" style="643" customWidth="1"/>
    <col min="11269" max="11269" width="13.140625" style="643" customWidth="1"/>
    <col min="11270" max="11270" width="13.7109375" style="643" customWidth="1"/>
    <col min="11271" max="11271" width="18.85546875" style="643" customWidth="1"/>
    <col min="11272" max="11520" width="9.140625" style="643"/>
    <col min="11521" max="11521" width="5.85546875" style="643" customWidth="1"/>
    <col min="11522" max="11522" width="32.28515625" style="643" customWidth="1"/>
    <col min="11523" max="11523" width="36.42578125" style="643" customWidth="1"/>
    <col min="11524" max="11524" width="12.5703125" style="643" customWidth="1"/>
    <col min="11525" max="11525" width="13.140625" style="643" customWidth="1"/>
    <col min="11526" max="11526" width="13.7109375" style="643" customWidth="1"/>
    <col min="11527" max="11527" width="18.85546875" style="643" customWidth="1"/>
    <col min="11528" max="11776" width="9.140625" style="643"/>
    <col min="11777" max="11777" width="5.85546875" style="643" customWidth="1"/>
    <col min="11778" max="11778" width="32.28515625" style="643" customWidth="1"/>
    <col min="11779" max="11779" width="36.42578125" style="643" customWidth="1"/>
    <col min="11780" max="11780" width="12.5703125" style="643" customWidth="1"/>
    <col min="11781" max="11781" width="13.140625" style="643" customWidth="1"/>
    <col min="11782" max="11782" width="13.7109375" style="643" customWidth="1"/>
    <col min="11783" max="11783" width="18.85546875" style="643" customWidth="1"/>
    <col min="11784" max="12032" width="9.140625" style="643"/>
    <col min="12033" max="12033" width="5.85546875" style="643" customWidth="1"/>
    <col min="12034" max="12034" width="32.28515625" style="643" customWidth="1"/>
    <col min="12035" max="12035" width="36.42578125" style="643" customWidth="1"/>
    <col min="12036" max="12036" width="12.5703125" style="643" customWidth="1"/>
    <col min="12037" max="12037" width="13.140625" style="643" customWidth="1"/>
    <col min="12038" max="12038" width="13.7109375" style="643" customWidth="1"/>
    <col min="12039" max="12039" width="18.85546875" style="643" customWidth="1"/>
    <col min="12040" max="12288" width="9.140625" style="643"/>
    <col min="12289" max="12289" width="5.85546875" style="643" customWidth="1"/>
    <col min="12290" max="12290" width="32.28515625" style="643" customWidth="1"/>
    <col min="12291" max="12291" width="36.42578125" style="643" customWidth="1"/>
    <col min="12292" max="12292" width="12.5703125" style="643" customWidth="1"/>
    <col min="12293" max="12293" width="13.140625" style="643" customWidth="1"/>
    <col min="12294" max="12294" width="13.7109375" style="643" customWidth="1"/>
    <col min="12295" max="12295" width="18.85546875" style="643" customWidth="1"/>
    <col min="12296" max="12544" width="9.140625" style="643"/>
    <col min="12545" max="12545" width="5.85546875" style="643" customWidth="1"/>
    <col min="12546" max="12546" width="32.28515625" style="643" customWidth="1"/>
    <col min="12547" max="12547" width="36.42578125" style="643" customWidth="1"/>
    <col min="12548" max="12548" width="12.5703125" style="643" customWidth="1"/>
    <col min="12549" max="12549" width="13.140625" style="643" customWidth="1"/>
    <col min="12550" max="12550" width="13.7109375" style="643" customWidth="1"/>
    <col min="12551" max="12551" width="18.85546875" style="643" customWidth="1"/>
    <col min="12552" max="12800" width="9.140625" style="643"/>
    <col min="12801" max="12801" width="5.85546875" style="643" customWidth="1"/>
    <col min="12802" max="12802" width="32.28515625" style="643" customWidth="1"/>
    <col min="12803" max="12803" width="36.42578125" style="643" customWidth="1"/>
    <col min="12804" max="12804" width="12.5703125" style="643" customWidth="1"/>
    <col min="12805" max="12805" width="13.140625" style="643" customWidth="1"/>
    <col min="12806" max="12806" width="13.7109375" style="643" customWidth="1"/>
    <col min="12807" max="12807" width="18.85546875" style="643" customWidth="1"/>
    <col min="12808" max="13056" width="9.140625" style="643"/>
    <col min="13057" max="13057" width="5.85546875" style="643" customWidth="1"/>
    <col min="13058" max="13058" width="32.28515625" style="643" customWidth="1"/>
    <col min="13059" max="13059" width="36.42578125" style="643" customWidth="1"/>
    <col min="13060" max="13060" width="12.5703125" style="643" customWidth="1"/>
    <col min="13061" max="13061" width="13.140625" style="643" customWidth="1"/>
    <col min="13062" max="13062" width="13.7109375" style="643" customWidth="1"/>
    <col min="13063" max="13063" width="18.85546875" style="643" customWidth="1"/>
    <col min="13064" max="13312" width="9.140625" style="643"/>
    <col min="13313" max="13313" width="5.85546875" style="643" customWidth="1"/>
    <col min="13314" max="13314" width="32.28515625" style="643" customWidth="1"/>
    <col min="13315" max="13315" width="36.42578125" style="643" customWidth="1"/>
    <col min="13316" max="13316" width="12.5703125" style="643" customWidth="1"/>
    <col min="13317" max="13317" width="13.140625" style="643" customWidth="1"/>
    <col min="13318" max="13318" width="13.7109375" style="643" customWidth="1"/>
    <col min="13319" max="13319" width="18.85546875" style="643" customWidth="1"/>
    <col min="13320" max="13568" width="9.140625" style="643"/>
    <col min="13569" max="13569" width="5.85546875" style="643" customWidth="1"/>
    <col min="13570" max="13570" width="32.28515625" style="643" customWidth="1"/>
    <col min="13571" max="13571" width="36.42578125" style="643" customWidth="1"/>
    <col min="13572" max="13572" width="12.5703125" style="643" customWidth="1"/>
    <col min="13573" max="13573" width="13.140625" style="643" customWidth="1"/>
    <col min="13574" max="13574" width="13.7109375" style="643" customWidth="1"/>
    <col min="13575" max="13575" width="18.85546875" style="643" customWidth="1"/>
    <col min="13576" max="13824" width="9.140625" style="643"/>
    <col min="13825" max="13825" width="5.85546875" style="643" customWidth="1"/>
    <col min="13826" max="13826" width="32.28515625" style="643" customWidth="1"/>
    <col min="13827" max="13827" width="36.42578125" style="643" customWidth="1"/>
    <col min="13828" max="13828" width="12.5703125" style="643" customWidth="1"/>
    <col min="13829" max="13829" width="13.140625" style="643" customWidth="1"/>
    <col min="13830" max="13830" width="13.7109375" style="643" customWidth="1"/>
    <col min="13831" max="13831" width="18.85546875" style="643" customWidth="1"/>
    <col min="13832" max="14080" width="9.140625" style="643"/>
    <col min="14081" max="14081" width="5.85546875" style="643" customWidth="1"/>
    <col min="14082" max="14082" width="32.28515625" style="643" customWidth="1"/>
    <col min="14083" max="14083" width="36.42578125" style="643" customWidth="1"/>
    <col min="14084" max="14084" width="12.5703125" style="643" customWidth="1"/>
    <col min="14085" max="14085" width="13.140625" style="643" customWidth="1"/>
    <col min="14086" max="14086" width="13.7109375" style="643" customWidth="1"/>
    <col min="14087" max="14087" width="18.85546875" style="643" customWidth="1"/>
    <col min="14088" max="14336" width="9.140625" style="643"/>
    <col min="14337" max="14337" width="5.85546875" style="643" customWidth="1"/>
    <col min="14338" max="14338" width="32.28515625" style="643" customWidth="1"/>
    <col min="14339" max="14339" width="36.42578125" style="643" customWidth="1"/>
    <col min="14340" max="14340" width="12.5703125" style="643" customWidth="1"/>
    <col min="14341" max="14341" width="13.140625" style="643" customWidth="1"/>
    <col min="14342" max="14342" width="13.7109375" style="643" customWidth="1"/>
    <col min="14343" max="14343" width="18.85546875" style="643" customWidth="1"/>
    <col min="14344" max="14592" width="9.140625" style="643"/>
    <col min="14593" max="14593" width="5.85546875" style="643" customWidth="1"/>
    <col min="14594" max="14594" width="32.28515625" style="643" customWidth="1"/>
    <col min="14595" max="14595" width="36.42578125" style="643" customWidth="1"/>
    <col min="14596" max="14596" width="12.5703125" style="643" customWidth="1"/>
    <col min="14597" max="14597" width="13.140625" style="643" customWidth="1"/>
    <col min="14598" max="14598" width="13.7109375" style="643" customWidth="1"/>
    <col min="14599" max="14599" width="18.85546875" style="643" customWidth="1"/>
    <col min="14600" max="14848" width="9.140625" style="643"/>
    <col min="14849" max="14849" width="5.85546875" style="643" customWidth="1"/>
    <col min="14850" max="14850" width="32.28515625" style="643" customWidth="1"/>
    <col min="14851" max="14851" width="36.42578125" style="643" customWidth="1"/>
    <col min="14852" max="14852" width="12.5703125" style="643" customWidth="1"/>
    <col min="14853" max="14853" width="13.140625" style="643" customWidth="1"/>
    <col min="14854" max="14854" width="13.7109375" style="643" customWidth="1"/>
    <col min="14855" max="14855" width="18.85546875" style="643" customWidth="1"/>
    <col min="14856" max="15104" width="9.140625" style="643"/>
    <col min="15105" max="15105" width="5.85546875" style="643" customWidth="1"/>
    <col min="15106" max="15106" width="32.28515625" style="643" customWidth="1"/>
    <col min="15107" max="15107" width="36.42578125" style="643" customWidth="1"/>
    <col min="15108" max="15108" width="12.5703125" style="643" customWidth="1"/>
    <col min="15109" max="15109" width="13.140625" style="643" customWidth="1"/>
    <col min="15110" max="15110" width="13.7109375" style="643" customWidth="1"/>
    <col min="15111" max="15111" width="18.85546875" style="643" customWidth="1"/>
    <col min="15112" max="15360" width="9.140625" style="643"/>
    <col min="15361" max="15361" width="5.85546875" style="643" customWidth="1"/>
    <col min="15362" max="15362" width="32.28515625" style="643" customWidth="1"/>
    <col min="15363" max="15363" width="36.42578125" style="643" customWidth="1"/>
    <col min="15364" max="15364" width="12.5703125" style="643" customWidth="1"/>
    <col min="15365" max="15365" width="13.140625" style="643" customWidth="1"/>
    <col min="15366" max="15366" width="13.7109375" style="643" customWidth="1"/>
    <col min="15367" max="15367" width="18.85546875" style="643" customWidth="1"/>
    <col min="15368" max="15616" width="9.140625" style="643"/>
    <col min="15617" max="15617" width="5.85546875" style="643" customWidth="1"/>
    <col min="15618" max="15618" width="32.28515625" style="643" customWidth="1"/>
    <col min="15619" max="15619" width="36.42578125" style="643" customWidth="1"/>
    <col min="15620" max="15620" width="12.5703125" style="643" customWidth="1"/>
    <col min="15621" max="15621" width="13.140625" style="643" customWidth="1"/>
    <col min="15622" max="15622" width="13.7109375" style="643" customWidth="1"/>
    <col min="15623" max="15623" width="18.85546875" style="643" customWidth="1"/>
    <col min="15624" max="15872" width="9.140625" style="643"/>
    <col min="15873" max="15873" width="5.85546875" style="643" customWidth="1"/>
    <col min="15874" max="15874" width="32.28515625" style="643" customWidth="1"/>
    <col min="15875" max="15875" width="36.42578125" style="643" customWidth="1"/>
    <col min="15876" max="15876" width="12.5703125" style="643" customWidth="1"/>
    <col min="15877" max="15877" width="13.140625" style="643" customWidth="1"/>
    <col min="15878" max="15878" width="13.7109375" style="643" customWidth="1"/>
    <col min="15879" max="15879" width="18.85546875" style="643" customWidth="1"/>
    <col min="15880" max="16128" width="9.140625" style="643"/>
    <col min="16129" max="16129" width="5.85546875" style="643" customWidth="1"/>
    <col min="16130" max="16130" width="32.28515625" style="643" customWidth="1"/>
    <col min="16131" max="16131" width="36.42578125" style="643" customWidth="1"/>
    <col min="16132" max="16132" width="12.5703125" style="643" customWidth="1"/>
    <col min="16133" max="16133" width="13.140625" style="643" customWidth="1"/>
    <col min="16134" max="16134" width="13.7109375" style="643" customWidth="1"/>
    <col min="16135" max="16135" width="18.85546875" style="643" customWidth="1"/>
    <col min="16136" max="16384" width="9.140625" style="643"/>
  </cols>
  <sheetData>
    <row r="1" spans="1:7" x14ac:dyDescent="0.25">
      <c r="F1" s="657"/>
      <c r="G1" s="657" t="s">
        <v>1218</v>
      </c>
    </row>
    <row r="2" spans="1:7" x14ac:dyDescent="0.25">
      <c r="A2" s="909" t="s">
        <v>1355</v>
      </c>
      <c r="B2" s="909"/>
      <c r="C2" s="909"/>
      <c r="D2" s="909"/>
      <c r="E2" s="909"/>
      <c r="F2" s="909"/>
      <c r="G2" s="909"/>
    </row>
    <row r="3" spans="1:7" x14ac:dyDescent="0.25">
      <c r="A3" s="909" t="s">
        <v>836</v>
      </c>
      <c r="B3" s="909"/>
      <c r="C3" s="909"/>
      <c r="D3" s="909"/>
      <c r="E3" s="909"/>
      <c r="F3" s="909"/>
      <c r="G3" s="909"/>
    </row>
    <row r="4" spans="1:7" x14ac:dyDescent="0.25">
      <c r="F4" s="723" t="s">
        <v>1539</v>
      </c>
      <c r="G4" s="723"/>
    </row>
    <row r="5" spans="1:7" x14ac:dyDescent="0.25">
      <c r="F5" s="627"/>
      <c r="G5" s="627"/>
    </row>
    <row r="6" spans="1:7" x14ac:dyDescent="0.25">
      <c r="A6" s="910" t="s">
        <v>1235</v>
      </c>
      <c r="B6" s="910"/>
      <c r="C6" s="910"/>
      <c r="D6" s="910"/>
      <c r="E6" s="910"/>
      <c r="F6" s="910"/>
      <c r="G6" s="910"/>
    </row>
    <row r="7" spans="1:7" ht="33" customHeight="1" x14ac:dyDescent="0.25">
      <c r="A7" s="911" t="s">
        <v>1536</v>
      </c>
      <c r="B7" s="911"/>
      <c r="C7" s="911"/>
      <c r="D7" s="911"/>
      <c r="E7" s="911"/>
      <c r="F7" s="911"/>
      <c r="G7" s="911"/>
    </row>
    <row r="8" spans="1:7" ht="19.5" customHeight="1" x14ac:dyDescent="0.25">
      <c r="A8" s="656"/>
      <c r="B8" s="656"/>
      <c r="C8" s="656"/>
      <c r="D8" s="656"/>
      <c r="E8" s="656"/>
      <c r="F8" s="656"/>
      <c r="G8" s="655" t="s">
        <v>891</v>
      </c>
    </row>
    <row r="9" spans="1:7" ht="60" x14ac:dyDescent="0.25">
      <c r="A9" s="654" t="s">
        <v>681</v>
      </c>
      <c r="B9" s="654" t="s">
        <v>1535</v>
      </c>
      <c r="C9" s="654" t="s">
        <v>1534</v>
      </c>
      <c r="D9" s="654" t="s">
        <v>1533</v>
      </c>
      <c r="E9" s="654" t="s">
        <v>1532</v>
      </c>
      <c r="F9" s="654" t="s">
        <v>1531</v>
      </c>
      <c r="G9" s="654" t="s">
        <v>1530</v>
      </c>
    </row>
    <row r="10" spans="1:7" x14ac:dyDescent="0.25">
      <c r="A10" s="654">
        <v>1</v>
      </c>
      <c r="B10" s="654">
        <v>2</v>
      </c>
      <c r="C10" s="654">
        <v>3</v>
      </c>
      <c r="D10" s="654">
        <v>4</v>
      </c>
      <c r="E10" s="654">
        <v>5</v>
      </c>
      <c r="F10" s="654">
        <v>6</v>
      </c>
      <c r="G10" s="654">
        <v>7</v>
      </c>
    </row>
    <row r="11" spans="1:7" ht="157.5" x14ac:dyDescent="0.25">
      <c r="A11" s="650" t="s">
        <v>685</v>
      </c>
      <c r="B11" s="653" t="s">
        <v>1529</v>
      </c>
      <c r="C11" s="648" t="s">
        <v>1528</v>
      </c>
      <c r="D11" s="652">
        <v>9723.5</v>
      </c>
      <c r="E11" s="646">
        <v>0</v>
      </c>
      <c r="F11" s="652">
        <v>9723.5</v>
      </c>
      <c r="G11" s="646">
        <v>0</v>
      </c>
    </row>
    <row r="12" spans="1:7" ht="63" x14ac:dyDescent="0.25">
      <c r="A12" s="650">
        <v>2</v>
      </c>
      <c r="B12" s="651" t="s">
        <v>1527</v>
      </c>
      <c r="C12" s="648" t="s">
        <v>1525</v>
      </c>
      <c r="D12" s="647">
        <v>401.7</v>
      </c>
      <c r="E12" s="646">
        <v>0</v>
      </c>
      <c r="F12" s="647">
        <v>328.7</v>
      </c>
      <c r="G12" s="646">
        <f>D12-F12</f>
        <v>73</v>
      </c>
    </row>
    <row r="13" spans="1:7" ht="63" x14ac:dyDescent="0.25">
      <c r="A13" s="650">
        <v>3</v>
      </c>
      <c r="B13" s="649" t="s">
        <v>1526</v>
      </c>
      <c r="C13" s="648" t="s">
        <v>1525</v>
      </c>
      <c r="D13" s="647">
        <v>938.2</v>
      </c>
      <c r="E13" s="646">
        <v>0</v>
      </c>
      <c r="F13" s="647">
        <v>938.2</v>
      </c>
      <c r="G13" s="646">
        <v>0</v>
      </c>
    </row>
    <row r="14" spans="1:7" ht="63" x14ac:dyDescent="0.25">
      <c r="A14" s="659">
        <v>4</v>
      </c>
      <c r="B14" s="649" t="s">
        <v>1537</v>
      </c>
      <c r="C14" s="648" t="s">
        <v>1525</v>
      </c>
      <c r="D14" s="647">
        <v>412.1</v>
      </c>
      <c r="E14" s="646">
        <v>0</v>
      </c>
      <c r="F14" s="647">
        <v>0</v>
      </c>
      <c r="G14" s="646">
        <f>D14-F14</f>
        <v>412.1</v>
      </c>
    </row>
    <row r="15" spans="1:7" s="644" customFormat="1" ht="14.25" x14ac:dyDescent="0.2">
      <c r="A15" s="906" t="s">
        <v>1283</v>
      </c>
      <c r="B15" s="907"/>
      <c r="C15" s="908"/>
      <c r="D15" s="645">
        <f>SUM(D11:D14)</f>
        <v>11475.500000000002</v>
      </c>
      <c r="E15" s="645">
        <f>SUM(E11:E13)</f>
        <v>0</v>
      </c>
      <c r="F15" s="645">
        <f>SUM(F11:F13)</f>
        <v>10990.400000000001</v>
      </c>
      <c r="G15" s="645">
        <f>SUM(G11:G14)</f>
        <v>485.1</v>
      </c>
    </row>
    <row r="16" spans="1:7" x14ac:dyDescent="0.25">
      <c r="F16" s="658"/>
    </row>
  </sheetData>
  <mergeCells count="6">
    <mergeCell ref="A15:C15"/>
    <mergeCell ref="A2:G2"/>
    <mergeCell ref="A3:G3"/>
    <mergeCell ref="F4:G4"/>
    <mergeCell ref="A6:G6"/>
    <mergeCell ref="A7:G7"/>
  </mergeCells>
  <pageMargins left="0.70866141732283472" right="0.70866141732283472" top="0.74803149606299213" bottom="0.35433070866141736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B886"/>
  <sheetViews>
    <sheetView view="pageBreakPreview" topLeftCell="A868" zoomScale="85" zoomScaleNormal="63" zoomScaleSheetLayoutView="85" workbookViewId="0">
      <selection activeCell="T733" sqref="T733"/>
    </sheetView>
  </sheetViews>
  <sheetFormatPr defaultColWidth="9.140625" defaultRowHeight="15" x14ac:dyDescent="0.25"/>
  <cols>
    <col min="1" max="2" width="9.140625" style="25"/>
    <col min="3" max="3" width="14.42578125" style="25" customWidth="1"/>
    <col min="4" max="4" width="7.5703125" style="25" customWidth="1"/>
    <col min="5" max="5" width="75.5703125" style="25" customWidth="1"/>
    <col min="6" max="10" width="15.42578125" style="25" customWidth="1"/>
    <col min="11" max="11" width="9.42578125" style="25" bestFit="1" customWidth="1"/>
    <col min="12" max="16384" width="9.140625" style="25"/>
  </cols>
  <sheetData>
    <row r="1" spans="1:10" ht="15.75" x14ac:dyDescent="0.25">
      <c r="A1" s="678" t="s">
        <v>834</v>
      </c>
      <c r="B1" s="678"/>
      <c r="C1" s="678"/>
      <c r="D1" s="678"/>
      <c r="E1" s="678"/>
      <c r="F1" s="678"/>
      <c r="G1" s="678"/>
      <c r="H1" s="678"/>
      <c r="I1" s="678"/>
      <c r="J1" s="678"/>
    </row>
    <row r="2" spans="1:10" ht="15.75" x14ac:dyDescent="0.25">
      <c r="A2" s="678" t="s">
        <v>835</v>
      </c>
      <c r="B2" s="678"/>
      <c r="C2" s="678"/>
      <c r="D2" s="678"/>
      <c r="E2" s="678"/>
      <c r="F2" s="678"/>
      <c r="G2" s="678"/>
      <c r="H2" s="678"/>
      <c r="I2" s="678"/>
      <c r="J2" s="678"/>
    </row>
    <row r="3" spans="1:10" ht="15.75" customHeight="1" x14ac:dyDescent="0.25">
      <c r="A3" s="678" t="s">
        <v>836</v>
      </c>
      <c r="B3" s="678"/>
      <c r="C3" s="678"/>
      <c r="D3" s="678"/>
      <c r="E3" s="678"/>
      <c r="F3" s="678"/>
      <c r="G3" s="678"/>
      <c r="H3" s="678"/>
      <c r="I3" s="678"/>
      <c r="J3" s="678"/>
    </row>
    <row r="4" spans="1:10" ht="15.75" customHeight="1" x14ac:dyDescent="0.25">
      <c r="A4" s="678" t="s">
        <v>837</v>
      </c>
      <c r="B4" s="678"/>
      <c r="C4" s="678"/>
      <c r="D4" s="678"/>
      <c r="E4" s="678"/>
      <c r="F4" s="678"/>
      <c r="G4" s="678"/>
      <c r="H4" s="678"/>
      <c r="I4" s="678"/>
      <c r="J4" s="678"/>
    </row>
    <row r="5" spans="1:10" x14ac:dyDescent="0.25">
      <c r="C5" s="24"/>
      <c r="D5" s="24"/>
      <c r="E5" s="24"/>
      <c r="F5" s="66"/>
      <c r="G5" s="66"/>
      <c r="H5" s="66"/>
      <c r="I5" s="66"/>
      <c r="J5" s="66"/>
    </row>
    <row r="6" spans="1:10" ht="15" customHeight="1" x14ac:dyDescent="0.25">
      <c r="A6" s="679" t="s">
        <v>833</v>
      </c>
      <c r="B6" s="679"/>
      <c r="C6" s="679"/>
      <c r="D6" s="679"/>
      <c r="E6" s="679"/>
      <c r="F6" s="679"/>
      <c r="G6" s="679"/>
      <c r="H6" s="679"/>
      <c r="I6" s="679"/>
      <c r="J6" s="679"/>
    </row>
    <row r="7" spans="1:10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38.25" x14ac:dyDescent="0.25">
      <c r="A8" s="100" t="s">
        <v>528</v>
      </c>
      <c r="B8" s="100" t="s">
        <v>537</v>
      </c>
      <c r="C8" s="97" t="s">
        <v>0</v>
      </c>
      <c r="D8" s="97" t="s">
        <v>1</v>
      </c>
      <c r="E8" s="97" t="s">
        <v>2</v>
      </c>
      <c r="F8" s="237" t="s">
        <v>828</v>
      </c>
      <c r="G8" s="237" t="s">
        <v>829</v>
      </c>
      <c r="H8" s="237" t="s">
        <v>830</v>
      </c>
      <c r="I8" s="237" t="s">
        <v>831</v>
      </c>
      <c r="J8" s="237" t="s">
        <v>832</v>
      </c>
    </row>
    <row r="9" spans="1:10" x14ac:dyDescent="0.25">
      <c r="A9" s="101">
        <v>601</v>
      </c>
      <c r="B9" s="101"/>
      <c r="C9" s="101"/>
      <c r="D9" s="101"/>
      <c r="E9" s="102" t="s">
        <v>529</v>
      </c>
      <c r="F9" s="79">
        <f>F10+F135+F144+F200+F318+F444+F458+F475+F436</f>
        <v>412540.40876999998</v>
      </c>
      <c r="G9" s="79">
        <f>G10+G135+G144+G200+G318+G444+G458+G475+G436+G469</f>
        <v>413981.99366000004</v>
      </c>
      <c r="H9" s="79">
        <f>H10+H135+H144+H200+H318+H444+H458+H475+H436+H469</f>
        <v>385733.18395999999</v>
      </c>
      <c r="I9" s="242">
        <f>H9/G9*100</f>
        <v>93.176319228222155</v>
      </c>
      <c r="J9" s="242">
        <f>G9/F9*100</f>
        <v>100.34944089338987</v>
      </c>
    </row>
    <row r="10" spans="1:10" x14ac:dyDescent="0.25">
      <c r="A10" s="103"/>
      <c r="B10" s="17" t="s">
        <v>530</v>
      </c>
      <c r="C10" s="104"/>
      <c r="D10" s="103"/>
      <c r="E10" s="98" t="s">
        <v>538</v>
      </c>
      <c r="F10" s="105">
        <f>F11+F24+F71+F83+F78</f>
        <v>95308.477549999981</v>
      </c>
      <c r="G10" s="105">
        <f t="shared" ref="G10:H10" si="0">G11+G24+G71+G83+G78</f>
        <v>96723.277470000001</v>
      </c>
      <c r="H10" s="105">
        <f t="shared" si="0"/>
        <v>96678.664279999997</v>
      </c>
      <c r="I10" s="243">
        <f t="shared" ref="I10:I73" si="1">H10/G10*100</f>
        <v>99.953875436020198</v>
      </c>
      <c r="J10" s="243">
        <f t="shared" ref="J10:J73" si="2">G10/F10*100</f>
        <v>101.48444289151277</v>
      </c>
    </row>
    <row r="11" spans="1:10" ht="25.5" x14ac:dyDescent="0.25">
      <c r="A11" s="103"/>
      <c r="B11" s="17" t="s">
        <v>531</v>
      </c>
      <c r="C11" s="104"/>
      <c r="D11" s="103"/>
      <c r="E11" s="98" t="s">
        <v>532</v>
      </c>
      <c r="F11" s="105">
        <f t="shared" ref="F11:H16" si="3">F12</f>
        <v>2520.9</v>
      </c>
      <c r="G11" s="105">
        <f>G12+G18</f>
        <v>3213.4</v>
      </c>
      <c r="H11" s="105">
        <f>H12+H18</f>
        <v>3213.4</v>
      </c>
      <c r="I11" s="243">
        <f t="shared" si="1"/>
        <v>100</v>
      </c>
      <c r="J11" s="243">
        <f t="shared" si="2"/>
        <v>127.47034789162601</v>
      </c>
    </row>
    <row r="12" spans="1:10" x14ac:dyDescent="0.25">
      <c r="A12" s="103"/>
      <c r="B12" s="17"/>
      <c r="C12" s="99" t="s">
        <v>4</v>
      </c>
      <c r="D12" s="26"/>
      <c r="E12" s="27" t="s">
        <v>5</v>
      </c>
      <c r="F12" s="105">
        <f t="shared" si="3"/>
        <v>2520.9</v>
      </c>
      <c r="G12" s="105">
        <f t="shared" si="3"/>
        <v>2520.9</v>
      </c>
      <c r="H12" s="105">
        <f t="shared" si="3"/>
        <v>2520.9</v>
      </c>
      <c r="I12" s="243">
        <f t="shared" si="1"/>
        <v>100</v>
      </c>
      <c r="J12" s="243">
        <f t="shared" si="2"/>
        <v>100</v>
      </c>
    </row>
    <row r="13" spans="1:10" ht="25.5" x14ac:dyDescent="0.25">
      <c r="A13" s="106"/>
      <c r="B13" s="107"/>
      <c r="C13" s="108" t="s">
        <v>6</v>
      </c>
      <c r="D13" s="107"/>
      <c r="E13" s="109" t="s">
        <v>497</v>
      </c>
      <c r="F13" s="159">
        <f t="shared" si="3"/>
        <v>2520.9</v>
      </c>
      <c r="G13" s="159">
        <f t="shared" si="3"/>
        <v>2520.9</v>
      </c>
      <c r="H13" s="159">
        <f t="shared" si="3"/>
        <v>2520.9</v>
      </c>
      <c r="I13" s="257">
        <f t="shared" si="1"/>
        <v>100</v>
      </c>
      <c r="J13" s="257">
        <f t="shared" si="2"/>
        <v>100</v>
      </c>
    </row>
    <row r="14" spans="1:10" ht="26.25" x14ac:dyDescent="0.25">
      <c r="A14" s="30"/>
      <c r="B14" s="30"/>
      <c r="C14" s="30" t="s">
        <v>18</v>
      </c>
      <c r="D14" s="30"/>
      <c r="E14" s="34" t="s">
        <v>19</v>
      </c>
      <c r="F14" s="72">
        <f t="shared" si="3"/>
        <v>2520.9</v>
      </c>
      <c r="G14" s="72">
        <f t="shared" si="3"/>
        <v>2520.9</v>
      </c>
      <c r="H14" s="72">
        <f t="shared" si="3"/>
        <v>2520.9</v>
      </c>
      <c r="I14" s="244">
        <f t="shared" si="1"/>
        <v>100</v>
      </c>
      <c r="J14" s="244">
        <f t="shared" si="2"/>
        <v>100</v>
      </c>
    </row>
    <row r="15" spans="1:10" ht="39" x14ac:dyDescent="0.25">
      <c r="A15" s="32"/>
      <c r="B15" s="32"/>
      <c r="C15" s="32" t="s">
        <v>20</v>
      </c>
      <c r="D15" s="32"/>
      <c r="E15" s="33" t="s">
        <v>21</v>
      </c>
      <c r="F15" s="68">
        <f t="shared" si="3"/>
        <v>2520.9</v>
      </c>
      <c r="G15" s="68">
        <f t="shared" si="3"/>
        <v>2520.9</v>
      </c>
      <c r="H15" s="68">
        <f t="shared" si="3"/>
        <v>2520.9</v>
      </c>
      <c r="I15" s="245">
        <f t="shared" si="1"/>
        <v>100</v>
      </c>
      <c r="J15" s="245">
        <f t="shared" si="2"/>
        <v>100</v>
      </c>
    </row>
    <row r="16" spans="1:10" ht="26.25" x14ac:dyDescent="0.25">
      <c r="A16" s="94"/>
      <c r="B16" s="94"/>
      <c r="C16" s="6" t="s">
        <v>22</v>
      </c>
      <c r="D16" s="6"/>
      <c r="E16" s="3" t="s">
        <v>23</v>
      </c>
      <c r="F16" s="67">
        <f t="shared" si="3"/>
        <v>2520.9</v>
      </c>
      <c r="G16" s="67">
        <f t="shared" si="3"/>
        <v>2520.9</v>
      </c>
      <c r="H16" s="67">
        <f t="shared" si="3"/>
        <v>2520.9</v>
      </c>
      <c r="I16" s="246">
        <f t="shared" si="1"/>
        <v>100</v>
      </c>
      <c r="J16" s="246">
        <f t="shared" si="2"/>
        <v>100</v>
      </c>
    </row>
    <row r="17" spans="1:10" ht="39" x14ac:dyDescent="0.25">
      <c r="A17" s="94"/>
      <c r="B17" s="94"/>
      <c r="C17" s="6"/>
      <c r="D17" s="6" t="s">
        <v>383</v>
      </c>
      <c r="E17" s="3" t="s">
        <v>384</v>
      </c>
      <c r="F17" s="67">
        <f>2236.5+91.9+192.5</f>
        <v>2520.9</v>
      </c>
      <c r="G17" s="67">
        <f t="shared" ref="G17:H17" si="4">2236.5+91.9+192.5</f>
        <v>2520.9</v>
      </c>
      <c r="H17" s="67">
        <f t="shared" si="4"/>
        <v>2520.9</v>
      </c>
      <c r="I17" s="246">
        <f t="shared" si="1"/>
        <v>100</v>
      </c>
      <c r="J17" s="246">
        <f t="shared" si="2"/>
        <v>100</v>
      </c>
    </row>
    <row r="18" spans="1:10" x14ac:dyDescent="0.25">
      <c r="A18" s="112"/>
      <c r="B18" s="112"/>
      <c r="C18" s="113" t="s">
        <v>540</v>
      </c>
      <c r="D18" s="114"/>
      <c r="E18" s="115" t="s">
        <v>541</v>
      </c>
      <c r="F18" s="116"/>
      <c r="G18" s="116">
        <f>G19</f>
        <v>692.5</v>
      </c>
      <c r="H18" s="116">
        <f>H19</f>
        <v>692.5</v>
      </c>
      <c r="I18" s="249">
        <f t="shared" si="1"/>
        <v>100</v>
      </c>
      <c r="J18" s="249"/>
    </row>
    <row r="19" spans="1:10" ht="25.5" x14ac:dyDescent="0.25">
      <c r="A19" s="142"/>
      <c r="B19" s="142"/>
      <c r="C19" s="136" t="s">
        <v>386</v>
      </c>
      <c r="D19" s="137"/>
      <c r="E19" s="153" t="s">
        <v>542</v>
      </c>
      <c r="F19" s="139"/>
      <c r="G19" s="139">
        <f>G20+G22</f>
        <v>692.5</v>
      </c>
      <c r="H19" s="139">
        <f>H20+H22</f>
        <v>692.5</v>
      </c>
      <c r="I19" s="252">
        <f t="shared" si="1"/>
        <v>100</v>
      </c>
      <c r="J19" s="252"/>
    </row>
    <row r="20" spans="1:10" x14ac:dyDescent="0.25">
      <c r="A20" s="94"/>
      <c r="B20" s="94"/>
      <c r="C20" s="6" t="s">
        <v>840</v>
      </c>
      <c r="D20" s="6"/>
      <c r="E20" s="3" t="s">
        <v>838</v>
      </c>
      <c r="F20" s="67"/>
      <c r="G20" s="67">
        <f>G21</f>
        <v>552.5</v>
      </c>
      <c r="H20" s="67">
        <f>H21</f>
        <v>552.5</v>
      </c>
      <c r="I20" s="246">
        <f t="shared" si="1"/>
        <v>100</v>
      </c>
      <c r="J20" s="246"/>
    </row>
    <row r="21" spans="1:10" ht="39" x14ac:dyDescent="0.25">
      <c r="A21" s="94"/>
      <c r="B21" s="94"/>
      <c r="C21" s="6"/>
      <c r="D21" s="6" t="s">
        <v>383</v>
      </c>
      <c r="E21" s="3" t="s">
        <v>384</v>
      </c>
      <c r="F21" s="67"/>
      <c r="G21" s="67">
        <v>552.5</v>
      </c>
      <c r="H21" s="67">
        <v>552.5</v>
      </c>
      <c r="I21" s="246">
        <f t="shared" si="1"/>
        <v>100</v>
      </c>
      <c r="J21" s="246"/>
    </row>
    <row r="22" spans="1:10" x14ac:dyDescent="0.25">
      <c r="A22" s="94"/>
      <c r="B22" s="94"/>
      <c r="C22" s="6" t="s">
        <v>841</v>
      </c>
      <c r="D22" s="6"/>
      <c r="E22" s="3" t="s">
        <v>839</v>
      </c>
      <c r="F22" s="67"/>
      <c r="G22" s="67">
        <f>G23</f>
        <v>140</v>
      </c>
      <c r="H22" s="67">
        <f>H23</f>
        <v>140</v>
      </c>
      <c r="I22" s="246">
        <f t="shared" si="1"/>
        <v>100</v>
      </c>
      <c r="J22" s="246"/>
    </row>
    <row r="23" spans="1:10" ht="39" x14ac:dyDescent="0.25">
      <c r="A23" s="94"/>
      <c r="B23" s="94"/>
      <c r="C23" s="6"/>
      <c r="D23" s="6" t="s">
        <v>383</v>
      </c>
      <c r="E23" s="3" t="s">
        <v>384</v>
      </c>
      <c r="F23" s="67"/>
      <c r="G23" s="67">
        <v>140</v>
      </c>
      <c r="H23" s="67">
        <v>140</v>
      </c>
      <c r="I23" s="246">
        <f t="shared" si="1"/>
        <v>100</v>
      </c>
      <c r="J23" s="246"/>
    </row>
    <row r="24" spans="1:10" s="41" customFormat="1" ht="39" x14ac:dyDescent="0.25">
      <c r="A24" s="110"/>
      <c r="B24" s="17" t="s">
        <v>533</v>
      </c>
      <c r="C24" s="12"/>
      <c r="D24" s="12"/>
      <c r="E24" s="111" t="s">
        <v>539</v>
      </c>
      <c r="F24" s="71">
        <f t="shared" ref="F24:H24" si="5">F25+F60</f>
        <v>48888.299999999996</v>
      </c>
      <c r="G24" s="71">
        <f t="shared" si="5"/>
        <v>49541.09601999999</v>
      </c>
      <c r="H24" s="71">
        <f t="shared" si="5"/>
        <v>49541.095199999989</v>
      </c>
      <c r="I24" s="247">
        <f t="shared" si="1"/>
        <v>99.999998344808517</v>
      </c>
      <c r="J24" s="247">
        <f t="shared" si="2"/>
        <v>101.33528067042626</v>
      </c>
    </row>
    <row r="25" spans="1:10" s="41" customFormat="1" x14ac:dyDescent="0.25">
      <c r="A25" s="110"/>
      <c r="B25" s="17"/>
      <c r="C25" s="99" t="s">
        <v>4</v>
      </c>
      <c r="D25" s="26"/>
      <c r="E25" s="27" t="s">
        <v>5</v>
      </c>
      <c r="F25" s="71">
        <f t="shared" ref="F25:H25" si="6">F26+F55</f>
        <v>48831.199999999997</v>
      </c>
      <c r="G25" s="71">
        <f t="shared" si="6"/>
        <v>48981.622079999986</v>
      </c>
      <c r="H25" s="71">
        <f t="shared" si="6"/>
        <v>48981.621259999985</v>
      </c>
      <c r="I25" s="247">
        <f t="shared" si="1"/>
        <v>99.999998325902723</v>
      </c>
      <c r="J25" s="247">
        <f t="shared" si="2"/>
        <v>100.30804502039676</v>
      </c>
    </row>
    <row r="26" spans="1:10" ht="25.5" x14ac:dyDescent="0.25">
      <c r="A26" s="106"/>
      <c r="B26" s="107"/>
      <c r="C26" s="108" t="s">
        <v>6</v>
      </c>
      <c r="D26" s="107"/>
      <c r="E26" s="109" t="s">
        <v>497</v>
      </c>
      <c r="F26" s="159">
        <f t="shared" ref="F26:H26" si="7">F27+F34</f>
        <v>48760</v>
      </c>
      <c r="G26" s="159">
        <f t="shared" si="7"/>
        <v>48907.422079999989</v>
      </c>
      <c r="H26" s="159">
        <f t="shared" si="7"/>
        <v>48907.421259999988</v>
      </c>
      <c r="I26" s="257">
        <f t="shared" si="1"/>
        <v>99.99999832336286</v>
      </c>
      <c r="J26" s="257">
        <f t="shared" si="2"/>
        <v>100.30234224774404</v>
      </c>
    </row>
    <row r="27" spans="1:10" ht="26.25" x14ac:dyDescent="0.25">
      <c r="A27" s="30"/>
      <c r="B27" s="30"/>
      <c r="C27" s="30" t="s">
        <v>18</v>
      </c>
      <c r="D27" s="30"/>
      <c r="E27" s="34" t="s">
        <v>19</v>
      </c>
      <c r="F27" s="72">
        <f t="shared" ref="F27:H28" si="8">F28</f>
        <v>46759.199999999997</v>
      </c>
      <c r="G27" s="72">
        <f t="shared" si="8"/>
        <v>46845.222079999992</v>
      </c>
      <c r="H27" s="72">
        <f t="shared" si="8"/>
        <v>46845.221259999991</v>
      </c>
      <c r="I27" s="244">
        <f t="shared" si="1"/>
        <v>99.999998249554665</v>
      </c>
      <c r="J27" s="244">
        <f t="shared" si="2"/>
        <v>100.18396824582115</v>
      </c>
    </row>
    <row r="28" spans="1:10" ht="39" x14ac:dyDescent="0.25">
      <c r="A28" s="32"/>
      <c r="B28" s="32"/>
      <c r="C28" s="32" t="s">
        <v>20</v>
      </c>
      <c r="D28" s="32"/>
      <c r="E28" s="33" t="s">
        <v>21</v>
      </c>
      <c r="F28" s="68">
        <f t="shared" si="8"/>
        <v>46759.199999999997</v>
      </c>
      <c r="G28" s="68">
        <f t="shared" si="8"/>
        <v>46845.222079999992</v>
      </c>
      <c r="H28" s="68">
        <f t="shared" si="8"/>
        <v>46845.221259999991</v>
      </c>
      <c r="I28" s="245">
        <f t="shared" si="1"/>
        <v>99.999998249554665</v>
      </c>
      <c r="J28" s="245">
        <f t="shared" si="2"/>
        <v>100.18396824582115</v>
      </c>
    </row>
    <row r="29" spans="1:10" ht="25.5" x14ac:dyDescent="0.25">
      <c r="A29" s="94"/>
      <c r="B29" s="94"/>
      <c r="C29" s="6" t="s">
        <v>24</v>
      </c>
      <c r="D29" s="6"/>
      <c r="E29" s="1" t="s">
        <v>25</v>
      </c>
      <c r="F29" s="77">
        <f t="shared" ref="F29" si="9">F30+F31</f>
        <v>46759.199999999997</v>
      </c>
      <c r="G29" s="77">
        <f>G30+G31+G32+G33</f>
        <v>46845.222079999992</v>
      </c>
      <c r="H29" s="77">
        <f>H30+H31+H32+H33</f>
        <v>46845.221259999991</v>
      </c>
      <c r="I29" s="248">
        <f t="shared" si="1"/>
        <v>99.999998249554665</v>
      </c>
      <c r="J29" s="248">
        <f t="shared" si="2"/>
        <v>100.18396824582115</v>
      </c>
    </row>
    <row r="30" spans="1:10" ht="39" x14ac:dyDescent="0.25">
      <c r="A30" s="94"/>
      <c r="B30" s="94"/>
      <c r="C30" s="6"/>
      <c r="D30" s="6" t="s">
        <v>383</v>
      </c>
      <c r="E30" s="3" t="s">
        <v>384</v>
      </c>
      <c r="F30" s="77">
        <v>44303.399999999994</v>
      </c>
      <c r="G30" s="264">
        <v>44730.030489999997</v>
      </c>
      <c r="H30" s="264">
        <v>44730.030469999998</v>
      </c>
      <c r="I30" s="248">
        <f t="shared" si="1"/>
        <v>99.999999955287308</v>
      </c>
      <c r="J30" s="248">
        <f t="shared" si="2"/>
        <v>100.96297460240073</v>
      </c>
    </row>
    <row r="31" spans="1:10" x14ac:dyDescent="0.25">
      <c r="A31" s="94"/>
      <c r="B31" s="94"/>
      <c r="C31" s="6"/>
      <c r="D31" s="6" t="s">
        <v>272</v>
      </c>
      <c r="E31" s="3" t="s">
        <v>273</v>
      </c>
      <c r="F31" s="77">
        <v>2455.8000000000002</v>
      </c>
      <c r="G31" s="264">
        <v>2031.4372800000001</v>
      </c>
      <c r="H31" s="264">
        <v>2031.4364800000001</v>
      </c>
      <c r="I31" s="248">
        <f t="shared" si="1"/>
        <v>99.999960619015511</v>
      </c>
      <c r="J31" s="248">
        <f t="shared" si="2"/>
        <v>82.719980454434392</v>
      </c>
    </row>
    <row r="32" spans="1:10" x14ac:dyDescent="0.25">
      <c r="A32" s="94"/>
      <c r="B32" s="94"/>
      <c r="C32" s="6"/>
      <c r="D32" s="6" t="s">
        <v>408</v>
      </c>
      <c r="E32" s="3" t="s">
        <v>409</v>
      </c>
      <c r="F32" s="77"/>
      <c r="G32" s="264">
        <v>41.754309999999997</v>
      </c>
      <c r="H32" s="264">
        <v>41.754309999999997</v>
      </c>
      <c r="I32" s="248">
        <f t="shared" si="1"/>
        <v>100</v>
      </c>
      <c r="J32" s="248"/>
    </row>
    <row r="33" spans="1:10" x14ac:dyDescent="0.25">
      <c r="A33" s="94"/>
      <c r="B33" s="94"/>
      <c r="C33" s="6"/>
      <c r="D33" s="6" t="s">
        <v>390</v>
      </c>
      <c r="E33" s="3" t="s">
        <v>391</v>
      </c>
      <c r="F33" s="77"/>
      <c r="G33" s="264">
        <v>42</v>
      </c>
      <c r="H33" s="264">
        <v>42</v>
      </c>
      <c r="I33" s="248">
        <f t="shared" si="1"/>
        <v>100</v>
      </c>
      <c r="J33" s="248"/>
    </row>
    <row r="34" spans="1:10" ht="39" x14ac:dyDescent="0.25">
      <c r="A34" s="30"/>
      <c r="B34" s="30"/>
      <c r="C34" s="30" t="s">
        <v>28</v>
      </c>
      <c r="D34" s="30"/>
      <c r="E34" s="31" t="s">
        <v>29</v>
      </c>
      <c r="F34" s="72">
        <f>F35</f>
        <v>2000.8000000000002</v>
      </c>
      <c r="G34" s="72">
        <f t="shared" ref="G34:H34" si="10">G35</f>
        <v>2062.2000000000003</v>
      </c>
      <c r="H34" s="72">
        <f t="shared" si="10"/>
        <v>2062.2000000000003</v>
      </c>
      <c r="I34" s="244">
        <f t="shared" si="1"/>
        <v>100</v>
      </c>
      <c r="J34" s="244">
        <f t="shared" si="2"/>
        <v>103.06877249100361</v>
      </c>
    </row>
    <row r="35" spans="1:10" ht="26.25" x14ac:dyDescent="0.25">
      <c r="A35" s="32"/>
      <c r="B35" s="32"/>
      <c r="C35" s="32" t="s">
        <v>30</v>
      </c>
      <c r="D35" s="35"/>
      <c r="E35" s="33" t="s">
        <v>31</v>
      </c>
      <c r="F35" s="68">
        <f>F36+F39+F45+F47+F50+F53</f>
        <v>2000.8000000000002</v>
      </c>
      <c r="G35" s="68">
        <f>G36+G39+G45+G47+G50+G53+G42</f>
        <v>2062.2000000000003</v>
      </c>
      <c r="H35" s="68">
        <f>H36+H39+H45+H47+H50+H53+H42</f>
        <v>2062.2000000000003</v>
      </c>
      <c r="I35" s="245">
        <f t="shared" si="1"/>
        <v>100</v>
      </c>
      <c r="J35" s="245">
        <f t="shared" si="2"/>
        <v>103.06877249100361</v>
      </c>
    </row>
    <row r="36" spans="1:10" ht="26.25" x14ac:dyDescent="0.25">
      <c r="A36" s="94"/>
      <c r="B36" s="94"/>
      <c r="C36" s="6" t="s">
        <v>720</v>
      </c>
      <c r="D36" s="6"/>
      <c r="E36" s="8" t="s">
        <v>32</v>
      </c>
      <c r="F36" s="76">
        <f>SUM(F37:F38)</f>
        <v>974.2</v>
      </c>
      <c r="G36" s="76">
        <f t="shared" ref="G36:H36" si="11">SUM(G37:G38)</f>
        <v>1016.5</v>
      </c>
      <c r="H36" s="76">
        <f t="shared" si="11"/>
        <v>1016.5</v>
      </c>
      <c r="I36" s="240">
        <f t="shared" si="1"/>
        <v>100</v>
      </c>
      <c r="J36" s="240">
        <f t="shared" si="2"/>
        <v>104.34202422500513</v>
      </c>
    </row>
    <row r="37" spans="1:10" ht="39" x14ac:dyDescent="0.25">
      <c r="A37" s="94"/>
      <c r="B37" s="94"/>
      <c r="C37" s="6"/>
      <c r="D37" s="6" t="s">
        <v>383</v>
      </c>
      <c r="E37" s="3" t="s">
        <v>384</v>
      </c>
      <c r="F37" s="76">
        <v>904.7</v>
      </c>
      <c r="G37" s="264">
        <v>950.39912000000004</v>
      </c>
      <c r="H37" s="264">
        <v>950.39912000000004</v>
      </c>
      <c r="I37" s="240">
        <f t="shared" si="1"/>
        <v>100</v>
      </c>
      <c r="J37" s="240">
        <f t="shared" si="2"/>
        <v>105.05130098375153</v>
      </c>
    </row>
    <row r="38" spans="1:10" x14ac:dyDescent="0.25">
      <c r="A38" s="94"/>
      <c r="B38" s="94"/>
      <c r="C38" s="6"/>
      <c r="D38" s="6" t="s">
        <v>272</v>
      </c>
      <c r="E38" s="3" t="s">
        <v>273</v>
      </c>
      <c r="F38" s="76">
        <v>69.5</v>
      </c>
      <c r="G38" s="264">
        <v>66.100880000000004</v>
      </c>
      <c r="H38" s="264">
        <v>66.100880000000004</v>
      </c>
      <c r="I38" s="240">
        <f t="shared" si="1"/>
        <v>100</v>
      </c>
      <c r="J38" s="240">
        <f t="shared" si="2"/>
        <v>95.109179856115105</v>
      </c>
    </row>
    <row r="39" spans="1:10" ht="26.25" x14ac:dyDescent="0.25">
      <c r="A39" s="94"/>
      <c r="B39" s="94"/>
      <c r="C39" s="6" t="s">
        <v>33</v>
      </c>
      <c r="D39" s="6"/>
      <c r="E39" s="8" t="s">
        <v>34</v>
      </c>
      <c r="F39" s="76">
        <f>SUM(F40:F41)</f>
        <v>583</v>
      </c>
      <c r="G39" s="76"/>
      <c r="H39" s="76"/>
      <c r="I39" s="240"/>
      <c r="J39" s="240">
        <f t="shared" si="2"/>
        <v>0</v>
      </c>
    </row>
    <row r="40" spans="1:10" ht="39" x14ac:dyDescent="0.25">
      <c r="A40" s="94"/>
      <c r="B40" s="94"/>
      <c r="C40" s="6"/>
      <c r="D40" s="6" t="s">
        <v>383</v>
      </c>
      <c r="E40" s="3" t="s">
        <v>384</v>
      </c>
      <c r="F40" s="76">
        <v>517</v>
      </c>
      <c r="G40" s="76"/>
      <c r="H40" s="76"/>
      <c r="I40" s="240"/>
      <c r="J40" s="240">
        <f t="shared" si="2"/>
        <v>0</v>
      </c>
    </row>
    <row r="41" spans="1:10" x14ac:dyDescent="0.25">
      <c r="A41" s="94"/>
      <c r="B41" s="94"/>
      <c r="C41" s="6"/>
      <c r="D41" s="6" t="s">
        <v>272</v>
      </c>
      <c r="E41" s="3" t="s">
        <v>273</v>
      </c>
      <c r="F41" s="76">
        <v>66</v>
      </c>
      <c r="G41" s="76"/>
      <c r="H41" s="76"/>
      <c r="I41" s="240"/>
      <c r="J41" s="240">
        <f t="shared" si="2"/>
        <v>0</v>
      </c>
    </row>
    <row r="42" spans="1:10" ht="26.25" x14ac:dyDescent="0.25">
      <c r="A42" s="94"/>
      <c r="B42" s="94"/>
      <c r="C42" s="6" t="s">
        <v>842</v>
      </c>
      <c r="D42" s="6"/>
      <c r="E42" s="8" t="s">
        <v>34</v>
      </c>
      <c r="F42" s="76"/>
      <c r="G42" s="76">
        <f>G43+G44</f>
        <v>583</v>
      </c>
      <c r="H42" s="76">
        <f>H43+H44</f>
        <v>583</v>
      </c>
      <c r="I42" s="240">
        <f t="shared" si="1"/>
        <v>100</v>
      </c>
      <c r="J42" s="240"/>
    </row>
    <row r="43" spans="1:10" ht="39" x14ac:dyDescent="0.25">
      <c r="A43" s="94"/>
      <c r="B43" s="94"/>
      <c r="C43" s="6"/>
      <c r="D43" s="6" t="s">
        <v>383</v>
      </c>
      <c r="E43" s="3" t="s">
        <v>384</v>
      </c>
      <c r="F43" s="76"/>
      <c r="G43" s="264">
        <v>517</v>
      </c>
      <c r="H43" s="264">
        <v>517</v>
      </c>
      <c r="I43" s="240">
        <f t="shared" si="1"/>
        <v>100</v>
      </c>
      <c r="J43" s="240"/>
    </row>
    <row r="44" spans="1:10" x14ac:dyDescent="0.25">
      <c r="A44" s="94"/>
      <c r="B44" s="94"/>
      <c r="C44" s="6"/>
      <c r="D44" s="6" t="s">
        <v>272</v>
      </c>
      <c r="E44" s="3" t="s">
        <v>273</v>
      </c>
      <c r="F44" s="76"/>
      <c r="G44" s="264">
        <v>66</v>
      </c>
      <c r="H44" s="264">
        <v>66</v>
      </c>
      <c r="I44" s="240">
        <f t="shared" si="1"/>
        <v>100</v>
      </c>
      <c r="J44" s="240"/>
    </row>
    <row r="45" spans="1:10" x14ac:dyDescent="0.25">
      <c r="A45" s="94"/>
      <c r="B45" s="94"/>
      <c r="C45" s="6" t="s">
        <v>35</v>
      </c>
      <c r="D45" s="6"/>
      <c r="E45" s="8" t="s">
        <v>36</v>
      </c>
      <c r="F45" s="76">
        <f>F46</f>
        <v>25.8</v>
      </c>
      <c r="G45" s="76">
        <f t="shared" ref="G45:H45" si="12">G46</f>
        <v>25.8</v>
      </c>
      <c r="H45" s="76">
        <f t="shared" si="12"/>
        <v>25.8</v>
      </c>
      <c r="I45" s="240">
        <f t="shared" si="1"/>
        <v>100</v>
      </c>
      <c r="J45" s="240">
        <f t="shared" si="2"/>
        <v>100</v>
      </c>
    </row>
    <row r="46" spans="1:10" x14ac:dyDescent="0.25">
      <c r="A46" s="94"/>
      <c r="B46" s="94"/>
      <c r="C46" s="6"/>
      <c r="D46" s="6" t="s">
        <v>272</v>
      </c>
      <c r="E46" s="3" t="s">
        <v>273</v>
      </c>
      <c r="F46" s="76">
        <v>25.8</v>
      </c>
      <c r="G46" s="76">
        <v>25.8</v>
      </c>
      <c r="H46" s="76">
        <v>25.8</v>
      </c>
      <c r="I46" s="240">
        <f t="shared" si="1"/>
        <v>100</v>
      </c>
      <c r="J46" s="240">
        <f t="shared" si="2"/>
        <v>100</v>
      </c>
    </row>
    <row r="47" spans="1:10" ht="26.25" x14ac:dyDescent="0.25">
      <c r="A47" s="94"/>
      <c r="B47" s="94"/>
      <c r="C47" s="6" t="s">
        <v>37</v>
      </c>
      <c r="D47" s="6"/>
      <c r="E47" s="3" t="s">
        <v>38</v>
      </c>
      <c r="F47" s="76">
        <f>SUM(F48:F49)</f>
        <v>56.800000000000004</v>
      </c>
      <c r="G47" s="76">
        <f t="shared" ref="G47:H47" si="13">SUM(G48:G49)</f>
        <v>59.4</v>
      </c>
      <c r="H47" s="76">
        <f t="shared" si="13"/>
        <v>59.4</v>
      </c>
      <c r="I47" s="240">
        <f t="shared" si="1"/>
        <v>100</v>
      </c>
      <c r="J47" s="240">
        <f t="shared" si="2"/>
        <v>104.57746478873237</v>
      </c>
    </row>
    <row r="48" spans="1:10" ht="39" x14ac:dyDescent="0.25">
      <c r="A48" s="94"/>
      <c r="B48" s="94"/>
      <c r="C48" s="6"/>
      <c r="D48" s="6" t="s">
        <v>383</v>
      </c>
      <c r="E48" s="3" t="s">
        <v>384</v>
      </c>
      <c r="F48" s="76">
        <v>51.7</v>
      </c>
      <c r="G48" s="264">
        <v>54.3</v>
      </c>
      <c r="H48" s="264">
        <v>54.3</v>
      </c>
      <c r="I48" s="240">
        <f t="shared" si="1"/>
        <v>100</v>
      </c>
      <c r="J48" s="240">
        <f t="shared" si="2"/>
        <v>105.02901353965181</v>
      </c>
    </row>
    <row r="49" spans="1:10" x14ac:dyDescent="0.25">
      <c r="A49" s="94"/>
      <c r="B49" s="94"/>
      <c r="C49" s="6"/>
      <c r="D49" s="6" t="s">
        <v>272</v>
      </c>
      <c r="E49" s="3" t="s">
        <v>273</v>
      </c>
      <c r="F49" s="76">
        <v>5.0999999999999996</v>
      </c>
      <c r="G49" s="76">
        <v>5.0999999999999996</v>
      </c>
      <c r="H49" s="76">
        <v>5.0999999999999996</v>
      </c>
      <c r="I49" s="240">
        <f t="shared" si="1"/>
        <v>100</v>
      </c>
      <c r="J49" s="240">
        <f t="shared" si="2"/>
        <v>100</v>
      </c>
    </row>
    <row r="50" spans="1:10" ht="26.25" x14ac:dyDescent="0.25">
      <c r="A50" s="94"/>
      <c r="B50" s="94"/>
      <c r="C50" s="6" t="s">
        <v>39</v>
      </c>
      <c r="D50" s="6"/>
      <c r="E50" s="3" t="s">
        <v>463</v>
      </c>
      <c r="F50" s="76">
        <f>SUM(F51:F52)</f>
        <v>348.6</v>
      </c>
      <c r="G50" s="76">
        <f t="shared" ref="G50:H50" si="14">SUM(G51:G52)</f>
        <v>364.6</v>
      </c>
      <c r="H50" s="76">
        <f t="shared" si="14"/>
        <v>364.6</v>
      </c>
      <c r="I50" s="240">
        <f t="shared" si="1"/>
        <v>100</v>
      </c>
      <c r="J50" s="240">
        <f t="shared" si="2"/>
        <v>104.58978772231784</v>
      </c>
    </row>
    <row r="51" spans="1:10" ht="39" x14ac:dyDescent="0.25">
      <c r="A51" s="94"/>
      <c r="B51" s="94"/>
      <c r="C51" s="6"/>
      <c r="D51" s="6" t="s">
        <v>383</v>
      </c>
      <c r="E51" s="3" t="s">
        <v>384</v>
      </c>
      <c r="F51" s="76">
        <v>348.6</v>
      </c>
      <c r="G51" s="264">
        <v>364.6</v>
      </c>
      <c r="H51" s="264">
        <v>364.6</v>
      </c>
      <c r="I51" s="240">
        <f t="shared" si="1"/>
        <v>100</v>
      </c>
      <c r="J51" s="240">
        <f t="shared" si="2"/>
        <v>104.58978772231784</v>
      </c>
    </row>
    <row r="52" spans="1:10" x14ac:dyDescent="0.25">
      <c r="A52" s="94"/>
      <c r="B52" s="94"/>
      <c r="C52" s="6"/>
      <c r="D52" s="6" t="s">
        <v>272</v>
      </c>
      <c r="E52" s="3" t="s">
        <v>273</v>
      </c>
      <c r="F52" s="76">
        <v>0</v>
      </c>
      <c r="G52" s="76">
        <v>0</v>
      </c>
      <c r="H52" s="76">
        <v>0</v>
      </c>
      <c r="I52" s="240"/>
      <c r="J52" s="240"/>
    </row>
    <row r="53" spans="1:10" ht="39" x14ac:dyDescent="0.25">
      <c r="A53" s="94"/>
      <c r="B53" s="94"/>
      <c r="C53" s="6" t="s">
        <v>40</v>
      </c>
      <c r="D53" s="6"/>
      <c r="E53" s="8" t="s">
        <v>41</v>
      </c>
      <c r="F53" s="76">
        <v>12.4</v>
      </c>
      <c r="G53" s="76">
        <v>12.9</v>
      </c>
      <c r="H53" s="76">
        <v>12.9</v>
      </c>
      <c r="I53" s="240">
        <f t="shared" si="1"/>
        <v>100</v>
      </c>
      <c r="J53" s="240">
        <f t="shared" si="2"/>
        <v>104.03225806451613</v>
      </c>
    </row>
    <row r="54" spans="1:10" x14ac:dyDescent="0.25">
      <c r="A54" s="94"/>
      <c r="B54" s="94"/>
      <c r="C54" s="6"/>
      <c r="D54" s="6" t="s">
        <v>272</v>
      </c>
      <c r="E54" s="3" t="s">
        <v>273</v>
      </c>
      <c r="F54" s="76">
        <v>12.4</v>
      </c>
      <c r="G54" s="76">
        <v>12.9</v>
      </c>
      <c r="H54" s="76">
        <v>12.9</v>
      </c>
      <c r="I54" s="240">
        <f t="shared" si="1"/>
        <v>100</v>
      </c>
      <c r="J54" s="240">
        <f t="shared" si="2"/>
        <v>104.03225806451613</v>
      </c>
    </row>
    <row r="55" spans="1:10" ht="25.5" x14ac:dyDescent="0.25">
      <c r="A55" s="106"/>
      <c r="B55" s="107"/>
      <c r="C55" s="108" t="s">
        <v>177</v>
      </c>
      <c r="D55" s="107"/>
      <c r="E55" s="109" t="s">
        <v>178</v>
      </c>
      <c r="F55" s="159">
        <f t="shared" ref="F55:H56" si="15">F56</f>
        <v>71.2</v>
      </c>
      <c r="G55" s="159">
        <f t="shared" si="15"/>
        <v>74.2</v>
      </c>
      <c r="H55" s="159">
        <f t="shared" si="15"/>
        <v>74.2</v>
      </c>
      <c r="I55" s="257">
        <f t="shared" si="1"/>
        <v>100</v>
      </c>
      <c r="J55" s="257">
        <f t="shared" si="2"/>
        <v>104.21348314606742</v>
      </c>
    </row>
    <row r="56" spans="1:10" ht="39" x14ac:dyDescent="0.25">
      <c r="A56" s="32"/>
      <c r="B56" s="32"/>
      <c r="C56" s="32" t="s">
        <v>185</v>
      </c>
      <c r="D56" s="32"/>
      <c r="E56" s="33" t="s">
        <v>186</v>
      </c>
      <c r="F56" s="68">
        <f t="shared" si="15"/>
        <v>71.2</v>
      </c>
      <c r="G56" s="68">
        <f t="shared" si="15"/>
        <v>74.2</v>
      </c>
      <c r="H56" s="68">
        <f t="shared" si="15"/>
        <v>74.2</v>
      </c>
      <c r="I56" s="245">
        <f t="shared" si="1"/>
        <v>100</v>
      </c>
      <c r="J56" s="245">
        <f t="shared" si="2"/>
        <v>104.21348314606742</v>
      </c>
    </row>
    <row r="57" spans="1:10" ht="38.25" x14ac:dyDescent="0.25">
      <c r="A57" s="94"/>
      <c r="B57" s="94"/>
      <c r="C57" s="6" t="s">
        <v>191</v>
      </c>
      <c r="D57" s="6"/>
      <c r="E57" s="1" t="s">
        <v>192</v>
      </c>
      <c r="F57" s="67">
        <f>F58+F59</f>
        <v>71.2</v>
      </c>
      <c r="G57" s="67">
        <f t="shared" ref="G57:H57" si="16">G58+G59</f>
        <v>74.2</v>
      </c>
      <c r="H57" s="67">
        <f t="shared" si="16"/>
        <v>74.2</v>
      </c>
      <c r="I57" s="246">
        <f t="shared" si="1"/>
        <v>100</v>
      </c>
      <c r="J57" s="246">
        <f t="shared" si="2"/>
        <v>104.21348314606742</v>
      </c>
    </row>
    <row r="58" spans="1:10" ht="39" x14ac:dyDescent="0.25">
      <c r="A58" s="94"/>
      <c r="B58" s="94"/>
      <c r="C58" s="6"/>
      <c r="D58" s="6" t="s">
        <v>383</v>
      </c>
      <c r="E58" s="3" t="s">
        <v>384</v>
      </c>
      <c r="F58" s="67">
        <v>51.7</v>
      </c>
      <c r="G58" s="264">
        <v>54.7</v>
      </c>
      <c r="H58" s="264">
        <v>54.7</v>
      </c>
      <c r="I58" s="246">
        <f t="shared" si="1"/>
        <v>100</v>
      </c>
      <c r="J58" s="246">
        <f t="shared" si="2"/>
        <v>105.8027079303675</v>
      </c>
    </row>
    <row r="59" spans="1:10" x14ac:dyDescent="0.25">
      <c r="A59" s="94"/>
      <c r="B59" s="94"/>
      <c r="C59" s="6"/>
      <c r="D59" s="6" t="s">
        <v>272</v>
      </c>
      <c r="E59" s="3" t="s">
        <v>273</v>
      </c>
      <c r="F59" s="67">
        <v>19.5</v>
      </c>
      <c r="G59" s="67">
        <v>19.5</v>
      </c>
      <c r="H59" s="67">
        <v>19.5</v>
      </c>
      <c r="I59" s="246">
        <f t="shared" si="1"/>
        <v>100</v>
      </c>
      <c r="J59" s="246">
        <f t="shared" si="2"/>
        <v>100</v>
      </c>
    </row>
    <row r="60" spans="1:10" s="41" customFormat="1" x14ac:dyDescent="0.25">
      <c r="A60" s="112"/>
      <c r="B60" s="112"/>
      <c r="C60" s="113" t="s">
        <v>540</v>
      </c>
      <c r="D60" s="114"/>
      <c r="E60" s="115" t="s">
        <v>541</v>
      </c>
      <c r="F60" s="116">
        <f>F61</f>
        <v>57.099999999999994</v>
      </c>
      <c r="G60" s="116">
        <f t="shared" ref="G60:H60" si="17">G61</f>
        <v>559.47393999999997</v>
      </c>
      <c r="H60" s="116">
        <f t="shared" si="17"/>
        <v>559.47393999999997</v>
      </c>
      <c r="I60" s="249">
        <f t="shared" si="1"/>
        <v>100</v>
      </c>
      <c r="J60" s="249">
        <f t="shared" si="2"/>
        <v>979.81425569176895</v>
      </c>
    </row>
    <row r="61" spans="1:10" s="41" customFormat="1" ht="25.5" x14ac:dyDescent="0.25">
      <c r="A61" s="117"/>
      <c r="B61" s="117"/>
      <c r="C61" s="118" t="s">
        <v>386</v>
      </c>
      <c r="D61" s="119"/>
      <c r="E61" s="120" t="s">
        <v>542</v>
      </c>
      <c r="F61" s="121">
        <f t="shared" ref="F61" si="18">F62+F64</f>
        <v>57.099999999999994</v>
      </c>
      <c r="G61" s="121">
        <f>G62+G64+G67+G69</f>
        <v>559.47393999999997</v>
      </c>
      <c r="H61" s="121">
        <f>H62+H64+H67+H69</f>
        <v>559.47393999999997</v>
      </c>
      <c r="I61" s="250">
        <f t="shared" si="1"/>
        <v>100</v>
      </c>
      <c r="J61" s="250">
        <f t="shared" si="2"/>
        <v>979.81425569176895</v>
      </c>
    </row>
    <row r="62" spans="1:10" ht="25.5" x14ac:dyDescent="0.25">
      <c r="A62" s="94"/>
      <c r="B62" s="94"/>
      <c r="C62" s="122" t="s">
        <v>404</v>
      </c>
      <c r="D62" s="16"/>
      <c r="E62" s="1" t="s">
        <v>405</v>
      </c>
      <c r="F62" s="76">
        <f>F63</f>
        <v>4.8</v>
      </c>
      <c r="G62" s="76">
        <f t="shared" ref="G62:H62" si="19">G63</f>
        <v>5</v>
      </c>
      <c r="H62" s="76">
        <f t="shared" si="19"/>
        <v>5</v>
      </c>
      <c r="I62" s="240">
        <f t="shared" si="1"/>
        <v>100</v>
      </c>
      <c r="J62" s="240">
        <f t="shared" si="2"/>
        <v>104.16666666666667</v>
      </c>
    </row>
    <row r="63" spans="1:10" x14ac:dyDescent="0.25">
      <c r="A63" s="94"/>
      <c r="B63" s="94"/>
      <c r="C63" s="122"/>
      <c r="D63" s="16" t="s">
        <v>272</v>
      </c>
      <c r="E63" s="1" t="s">
        <v>273</v>
      </c>
      <c r="F63" s="76">
        <v>4.8</v>
      </c>
      <c r="G63" s="76">
        <v>5</v>
      </c>
      <c r="H63" s="76">
        <v>5</v>
      </c>
      <c r="I63" s="240">
        <f t="shared" si="1"/>
        <v>100</v>
      </c>
      <c r="J63" s="240">
        <f t="shared" si="2"/>
        <v>104.16666666666667</v>
      </c>
    </row>
    <row r="64" spans="1:10" ht="26.25" x14ac:dyDescent="0.25">
      <c r="A64" s="94"/>
      <c r="B64" s="94"/>
      <c r="C64" s="122" t="s">
        <v>761</v>
      </c>
      <c r="D64" s="6"/>
      <c r="E64" s="8" t="s">
        <v>762</v>
      </c>
      <c r="F64" s="76">
        <f t="shared" ref="F64:H64" si="20">F65+F66</f>
        <v>52.3</v>
      </c>
      <c r="G64" s="76">
        <f t="shared" si="20"/>
        <v>52.221049999999998</v>
      </c>
      <c r="H64" s="76">
        <f t="shared" si="20"/>
        <v>52.221049999999998</v>
      </c>
      <c r="I64" s="240">
        <f t="shared" si="1"/>
        <v>100</v>
      </c>
      <c r="J64" s="240">
        <f t="shared" si="2"/>
        <v>99.849043977055459</v>
      </c>
    </row>
    <row r="65" spans="1:10" ht="39" x14ac:dyDescent="0.25">
      <c r="A65" s="94"/>
      <c r="B65" s="94"/>
      <c r="C65" s="122"/>
      <c r="D65" s="6" t="s">
        <v>383</v>
      </c>
      <c r="E65" s="3" t="s">
        <v>384</v>
      </c>
      <c r="F65" s="76">
        <v>19.7</v>
      </c>
      <c r="G65" s="264">
        <v>19.65137</v>
      </c>
      <c r="H65" s="264">
        <v>19.65137</v>
      </c>
      <c r="I65" s="240">
        <f t="shared" si="1"/>
        <v>100</v>
      </c>
      <c r="J65" s="240">
        <f t="shared" si="2"/>
        <v>99.753147208121831</v>
      </c>
    </row>
    <row r="66" spans="1:10" x14ac:dyDescent="0.25">
      <c r="A66" s="94"/>
      <c r="B66" s="94"/>
      <c r="C66" s="122"/>
      <c r="D66" s="6" t="s">
        <v>390</v>
      </c>
      <c r="E66" s="1" t="s">
        <v>391</v>
      </c>
      <c r="F66" s="76">
        <v>32.6</v>
      </c>
      <c r="G66" s="264">
        <v>32.569679999999998</v>
      </c>
      <c r="H66" s="264">
        <v>32.569679999999998</v>
      </c>
      <c r="I66" s="240">
        <f t="shared" si="1"/>
        <v>100</v>
      </c>
      <c r="J66" s="240">
        <f t="shared" si="2"/>
        <v>99.906993865030671</v>
      </c>
    </row>
    <row r="67" spans="1:10" x14ac:dyDescent="0.25">
      <c r="A67" s="94"/>
      <c r="B67" s="94"/>
      <c r="C67" s="6" t="s">
        <v>840</v>
      </c>
      <c r="D67" s="6"/>
      <c r="E67" s="3" t="s">
        <v>838</v>
      </c>
      <c r="F67" s="76"/>
      <c r="G67" s="264">
        <f>G68</f>
        <v>285.45400000000001</v>
      </c>
      <c r="H67" s="264">
        <f>H68</f>
        <v>285.45400000000001</v>
      </c>
      <c r="I67" s="240">
        <f t="shared" si="1"/>
        <v>100</v>
      </c>
      <c r="J67" s="240"/>
    </row>
    <row r="68" spans="1:10" ht="39" x14ac:dyDescent="0.25">
      <c r="A68" s="94"/>
      <c r="B68" s="94"/>
      <c r="C68" s="6"/>
      <c r="D68" s="6" t="s">
        <v>383</v>
      </c>
      <c r="E68" s="3" t="s">
        <v>384</v>
      </c>
      <c r="F68" s="76"/>
      <c r="G68" s="264">
        <v>285.45400000000001</v>
      </c>
      <c r="H68" s="264">
        <v>285.45400000000001</v>
      </c>
      <c r="I68" s="240">
        <f t="shared" si="1"/>
        <v>100</v>
      </c>
      <c r="J68" s="240"/>
    </row>
    <row r="69" spans="1:10" x14ac:dyDescent="0.25">
      <c r="A69" s="94"/>
      <c r="B69" s="94"/>
      <c r="C69" s="6" t="s">
        <v>841</v>
      </c>
      <c r="D69" s="6"/>
      <c r="E69" s="3" t="s">
        <v>839</v>
      </c>
      <c r="F69" s="76"/>
      <c r="G69" s="264">
        <f>G70</f>
        <v>216.79889</v>
      </c>
      <c r="H69" s="264">
        <f>H70</f>
        <v>216.79889</v>
      </c>
      <c r="I69" s="240">
        <f t="shared" si="1"/>
        <v>100</v>
      </c>
      <c r="J69" s="240"/>
    </row>
    <row r="70" spans="1:10" ht="39" x14ac:dyDescent="0.25">
      <c r="A70" s="94"/>
      <c r="B70" s="94"/>
      <c r="C70" s="6"/>
      <c r="D70" s="6" t="s">
        <v>383</v>
      </c>
      <c r="E70" s="3" t="s">
        <v>384</v>
      </c>
      <c r="F70" s="76"/>
      <c r="G70" s="264">
        <v>216.79889</v>
      </c>
      <c r="H70" s="264">
        <v>216.79889</v>
      </c>
      <c r="I70" s="240">
        <f t="shared" si="1"/>
        <v>100</v>
      </c>
      <c r="J70" s="240"/>
    </row>
    <row r="71" spans="1:10" x14ac:dyDescent="0.25">
      <c r="A71" s="103"/>
      <c r="B71" s="17" t="s">
        <v>534</v>
      </c>
      <c r="C71" s="104"/>
      <c r="D71" s="17"/>
      <c r="E71" s="123" t="s">
        <v>543</v>
      </c>
      <c r="F71" s="124">
        <f t="shared" ref="F71:H76" si="21">F72</f>
        <v>2.2000000000000002</v>
      </c>
      <c r="G71" s="124">
        <f t="shared" si="21"/>
        <v>2.2000000000000002</v>
      </c>
      <c r="H71" s="124">
        <f t="shared" si="21"/>
        <v>2.2000000000000002</v>
      </c>
      <c r="I71" s="251">
        <f t="shared" si="1"/>
        <v>100</v>
      </c>
      <c r="J71" s="251">
        <f t="shared" si="2"/>
        <v>100</v>
      </c>
    </row>
    <row r="72" spans="1:10" s="125" customFormat="1" ht="12.75" x14ac:dyDescent="0.2">
      <c r="A72" s="103"/>
      <c r="B72" s="17"/>
      <c r="C72" s="103" t="s">
        <v>4</v>
      </c>
      <c r="D72" s="99"/>
      <c r="E72" s="111" t="s">
        <v>5</v>
      </c>
      <c r="F72" s="124">
        <f t="shared" si="21"/>
        <v>2.2000000000000002</v>
      </c>
      <c r="G72" s="124">
        <f t="shared" si="21"/>
        <v>2.2000000000000002</v>
      </c>
      <c r="H72" s="124">
        <f t="shared" si="21"/>
        <v>2.2000000000000002</v>
      </c>
      <c r="I72" s="251">
        <f t="shared" si="1"/>
        <v>100</v>
      </c>
      <c r="J72" s="251">
        <f t="shared" si="2"/>
        <v>100</v>
      </c>
    </row>
    <row r="73" spans="1:10" ht="25.5" x14ac:dyDescent="0.25">
      <c r="A73" s="106"/>
      <c r="B73" s="107"/>
      <c r="C73" s="108" t="s">
        <v>6</v>
      </c>
      <c r="D73" s="107"/>
      <c r="E73" s="109" t="s">
        <v>497</v>
      </c>
      <c r="F73" s="159">
        <f t="shared" si="21"/>
        <v>2.2000000000000002</v>
      </c>
      <c r="G73" s="159">
        <f t="shared" si="21"/>
        <v>2.2000000000000002</v>
      </c>
      <c r="H73" s="159">
        <f t="shared" si="21"/>
        <v>2.2000000000000002</v>
      </c>
      <c r="I73" s="257">
        <f t="shared" si="1"/>
        <v>100</v>
      </c>
      <c r="J73" s="257">
        <f t="shared" si="2"/>
        <v>100</v>
      </c>
    </row>
    <row r="74" spans="1:10" ht="38.25" x14ac:dyDescent="0.25">
      <c r="A74" s="126"/>
      <c r="B74" s="127"/>
      <c r="C74" s="128" t="s">
        <v>28</v>
      </c>
      <c r="D74" s="127"/>
      <c r="E74" s="129" t="s">
        <v>544</v>
      </c>
      <c r="F74" s="160">
        <f t="shared" si="21"/>
        <v>2.2000000000000002</v>
      </c>
      <c r="G74" s="160">
        <f t="shared" si="21"/>
        <v>2.2000000000000002</v>
      </c>
      <c r="H74" s="160">
        <f t="shared" si="21"/>
        <v>2.2000000000000002</v>
      </c>
      <c r="I74" s="258">
        <f t="shared" ref="I74:I137" si="22">H74/G74*100</f>
        <v>100</v>
      </c>
      <c r="J74" s="258">
        <f t="shared" ref="J74:J137" si="23">G74/F74*100</f>
        <v>100</v>
      </c>
    </row>
    <row r="75" spans="1:10" ht="25.5" x14ac:dyDescent="0.25">
      <c r="A75" s="130"/>
      <c r="B75" s="114"/>
      <c r="C75" s="113" t="s">
        <v>30</v>
      </c>
      <c r="D75" s="114"/>
      <c r="E75" s="115" t="s">
        <v>545</v>
      </c>
      <c r="F75" s="133">
        <f t="shared" si="21"/>
        <v>2.2000000000000002</v>
      </c>
      <c r="G75" s="133">
        <f t="shared" si="21"/>
        <v>2.2000000000000002</v>
      </c>
      <c r="H75" s="133">
        <f t="shared" si="21"/>
        <v>2.2000000000000002</v>
      </c>
      <c r="I75" s="254">
        <f t="shared" si="22"/>
        <v>100</v>
      </c>
      <c r="J75" s="254">
        <f t="shared" si="23"/>
        <v>100</v>
      </c>
    </row>
    <row r="76" spans="1:10" ht="39" x14ac:dyDescent="0.25">
      <c r="A76" s="94"/>
      <c r="B76" s="94"/>
      <c r="C76" s="6" t="s">
        <v>42</v>
      </c>
      <c r="D76" s="6"/>
      <c r="E76" s="3" t="s">
        <v>43</v>
      </c>
      <c r="F76" s="76">
        <f t="shared" si="21"/>
        <v>2.2000000000000002</v>
      </c>
      <c r="G76" s="76">
        <f t="shared" si="21"/>
        <v>2.2000000000000002</v>
      </c>
      <c r="H76" s="76">
        <f t="shared" si="21"/>
        <v>2.2000000000000002</v>
      </c>
      <c r="I76" s="240">
        <f t="shared" si="22"/>
        <v>100</v>
      </c>
      <c r="J76" s="240">
        <f t="shared" si="23"/>
        <v>100</v>
      </c>
    </row>
    <row r="77" spans="1:10" x14ac:dyDescent="0.25">
      <c r="A77" s="94"/>
      <c r="B77" s="94"/>
      <c r="C77" s="6"/>
      <c r="D77" s="6" t="s">
        <v>272</v>
      </c>
      <c r="E77" s="3" t="s">
        <v>273</v>
      </c>
      <c r="F77" s="76">
        <v>2.2000000000000002</v>
      </c>
      <c r="G77" s="76">
        <v>2.2000000000000002</v>
      </c>
      <c r="H77" s="76">
        <v>2.2000000000000002</v>
      </c>
      <c r="I77" s="240">
        <f t="shared" si="22"/>
        <v>100</v>
      </c>
      <c r="J77" s="240">
        <f t="shared" si="23"/>
        <v>100</v>
      </c>
    </row>
    <row r="78" spans="1:10" s="41" customFormat="1" x14ac:dyDescent="0.25">
      <c r="A78" s="110"/>
      <c r="B78" s="17" t="s">
        <v>795</v>
      </c>
      <c r="C78" s="12"/>
      <c r="D78" s="12"/>
      <c r="E78" s="111" t="s">
        <v>794</v>
      </c>
      <c r="F78" s="124">
        <f t="shared" ref="F78:H81" si="24">F79</f>
        <v>2466.9</v>
      </c>
      <c r="G78" s="124">
        <f t="shared" si="24"/>
        <v>2466.9</v>
      </c>
      <c r="H78" s="124">
        <f t="shared" si="24"/>
        <v>2466.9</v>
      </c>
      <c r="I78" s="251">
        <f t="shared" si="22"/>
        <v>100</v>
      </c>
      <c r="J78" s="251">
        <f t="shared" si="23"/>
        <v>100</v>
      </c>
    </row>
    <row r="79" spans="1:10" s="41" customFormat="1" x14ac:dyDescent="0.25">
      <c r="A79" s="112"/>
      <c r="B79" s="114"/>
      <c r="C79" s="113" t="s">
        <v>540</v>
      </c>
      <c r="D79" s="114"/>
      <c r="E79" s="115" t="s">
        <v>541</v>
      </c>
      <c r="F79" s="116">
        <f t="shared" si="24"/>
        <v>2466.9</v>
      </c>
      <c r="G79" s="116">
        <f t="shared" si="24"/>
        <v>2466.9</v>
      </c>
      <c r="H79" s="116">
        <f t="shared" si="24"/>
        <v>2466.9</v>
      </c>
      <c r="I79" s="249">
        <f t="shared" si="22"/>
        <v>100</v>
      </c>
      <c r="J79" s="249">
        <f t="shared" si="23"/>
        <v>100</v>
      </c>
    </row>
    <row r="80" spans="1:10" ht="25.5" x14ac:dyDescent="0.25">
      <c r="A80" s="142"/>
      <c r="B80" s="142"/>
      <c r="C80" s="136" t="s">
        <v>386</v>
      </c>
      <c r="D80" s="137"/>
      <c r="E80" s="153" t="s">
        <v>542</v>
      </c>
      <c r="F80" s="139">
        <f t="shared" si="24"/>
        <v>2466.9</v>
      </c>
      <c r="G80" s="139">
        <f t="shared" si="24"/>
        <v>2466.9</v>
      </c>
      <c r="H80" s="139">
        <f t="shared" si="24"/>
        <v>2466.9</v>
      </c>
      <c r="I80" s="252">
        <f t="shared" si="22"/>
        <v>100</v>
      </c>
      <c r="J80" s="252">
        <f t="shared" si="23"/>
        <v>100</v>
      </c>
    </row>
    <row r="81" spans="1:10" x14ac:dyDescent="0.25">
      <c r="A81" s="94"/>
      <c r="B81" s="94"/>
      <c r="C81" s="22" t="s">
        <v>495</v>
      </c>
      <c r="D81" s="16"/>
      <c r="E81" s="1" t="s">
        <v>496</v>
      </c>
      <c r="F81" s="76">
        <f t="shared" si="24"/>
        <v>2466.9</v>
      </c>
      <c r="G81" s="76">
        <f t="shared" si="24"/>
        <v>2466.9</v>
      </c>
      <c r="H81" s="76">
        <f t="shared" si="24"/>
        <v>2466.9</v>
      </c>
      <c r="I81" s="240">
        <f t="shared" si="22"/>
        <v>100</v>
      </c>
      <c r="J81" s="240">
        <f t="shared" si="23"/>
        <v>100</v>
      </c>
    </row>
    <row r="82" spans="1:10" x14ac:dyDescent="0.25">
      <c r="A82" s="94"/>
      <c r="B82" s="94"/>
      <c r="C82" s="17"/>
      <c r="D82" s="16" t="s">
        <v>390</v>
      </c>
      <c r="E82" s="3" t="s">
        <v>391</v>
      </c>
      <c r="F82" s="76">
        <v>2466.9</v>
      </c>
      <c r="G82" s="76">
        <v>2466.9</v>
      </c>
      <c r="H82" s="76">
        <v>2466.9</v>
      </c>
      <c r="I82" s="240">
        <f t="shared" si="22"/>
        <v>100</v>
      </c>
      <c r="J82" s="240">
        <f t="shared" si="23"/>
        <v>100</v>
      </c>
    </row>
    <row r="83" spans="1:10" x14ac:dyDescent="0.25">
      <c r="A83" s="103"/>
      <c r="B83" s="17" t="s">
        <v>535</v>
      </c>
      <c r="C83" s="104"/>
      <c r="D83" s="103"/>
      <c r="E83" s="98" t="s">
        <v>546</v>
      </c>
      <c r="F83" s="124">
        <f t="shared" ref="F83:H83" si="25">F84+F117</f>
        <v>41430.17755</v>
      </c>
      <c r="G83" s="124">
        <f t="shared" si="25"/>
        <v>41499.681450000011</v>
      </c>
      <c r="H83" s="124">
        <f t="shared" si="25"/>
        <v>41455.069080000008</v>
      </c>
      <c r="I83" s="251">
        <f t="shared" si="22"/>
        <v>99.892499488089442</v>
      </c>
      <c r="J83" s="251">
        <f t="shared" si="23"/>
        <v>100.16776153062857</v>
      </c>
    </row>
    <row r="84" spans="1:10" x14ac:dyDescent="0.25">
      <c r="A84" s="103"/>
      <c r="B84" s="17"/>
      <c r="C84" s="104" t="s">
        <v>4</v>
      </c>
      <c r="D84" s="103"/>
      <c r="E84" s="123" t="s">
        <v>5</v>
      </c>
      <c r="F84" s="124">
        <f>F85+F106+F111</f>
        <v>3938.07755</v>
      </c>
      <c r="G84" s="124">
        <f t="shared" ref="G84:H84" si="26">G85+G106+G111</f>
        <v>3446.06603</v>
      </c>
      <c r="H84" s="124">
        <f t="shared" si="26"/>
        <v>3446.06603</v>
      </c>
      <c r="I84" s="251">
        <f t="shared" si="22"/>
        <v>100</v>
      </c>
      <c r="J84" s="251">
        <f t="shared" si="23"/>
        <v>87.506301901037986</v>
      </c>
    </row>
    <row r="85" spans="1:10" ht="25.5" x14ac:dyDescent="0.25">
      <c r="A85" s="106"/>
      <c r="B85" s="107"/>
      <c r="C85" s="108" t="s">
        <v>6</v>
      </c>
      <c r="D85" s="107"/>
      <c r="E85" s="109" t="s">
        <v>497</v>
      </c>
      <c r="F85" s="159">
        <f>F86+F95+F100</f>
        <v>2108</v>
      </c>
      <c r="G85" s="159">
        <f t="shared" ref="G85:H85" si="27">G86+G95+G100</f>
        <v>2108</v>
      </c>
      <c r="H85" s="159">
        <f t="shared" si="27"/>
        <v>2108</v>
      </c>
      <c r="I85" s="257">
        <f t="shared" si="22"/>
        <v>100</v>
      </c>
      <c r="J85" s="257">
        <f t="shared" si="23"/>
        <v>100</v>
      </c>
    </row>
    <row r="86" spans="1:10" ht="26.25" x14ac:dyDescent="0.25">
      <c r="A86" s="30"/>
      <c r="B86" s="30"/>
      <c r="C86" s="30" t="s">
        <v>7</v>
      </c>
      <c r="D86" s="30"/>
      <c r="E86" s="31" t="s">
        <v>8</v>
      </c>
      <c r="F86" s="72">
        <f>F87+F90</f>
        <v>908.7</v>
      </c>
      <c r="G86" s="72">
        <f t="shared" ref="G86:H86" si="28">G87+G90</f>
        <v>908.7</v>
      </c>
      <c r="H86" s="72">
        <f t="shared" si="28"/>
        <v>908.7</v>
      </c>
      <c r="I86" s="244">
        <f t="shared" si="22"/>
        <v>100</v>
      </c>
      <c r="J86" s="244">
        <f t="shared" si="23"/>
        <v>100</v>
      </c>
    </row>
    <row r="87" spans="1:10" x14ac:dyDescent="0.25">
      <c r="A87" s="32"/>
      <c r="B87" s="32"/>
      <c r="C87" s="32" t="s">
        <v>9</v>
      </c>
      <c r="D87" s="32"/>
      <c r="E87" s="33" t="s">
        <v>10</v>
      </c>
      <c r="F87" s="68">
        <f>F88</f>
        <v>810.7</v>
      </c>
      <c r="G87" s="68">
        <f t="shared" ref="G87:H88" si="29">G88</f>
        <v>810.7</v>
      </c>
      <c r="H87" s="68">
        <f t="shared" si="29"/>
        <v>810.7</v>
      </c>
      <c r="I87" s="245">
        <f t="shared" si="22"/>
        <v>100</v>
      </c>
      <c r="J87" s="245">
        <f t="shared" si="23"/>
        <v>100</v>
      </c>
    </row>
    <row r="88" spans="1:10" ht="51.75" x14ac:dyDescent="0.25">
      <c r="A88" s="6"/>
      <c r="B88" s="6"/>
      <c r="C88" s="6" t="s">
        <v>11</v>
      </c>
      <c r="D88" s="12"/>
      <c r="E88" s="3" t="s">
        <v>12</v>
      </c>
      <c r="F88" s="67">
        <f>F89</f>
        <v>810.7</v>
      </c>
      <c r="G88" s="67">
        <f t="shared" si="29"/>
        <v>810.7</v>
      </c>
      <c r="H88" s="67">
        <f t="shared" si="29"/>
        <v>810.7</v>
      </c>
      <c r="I88" s="246">
        <f t="shared" si="22"/>
        <v>100</v>
      </c>
      <c r="J88" s="246">
        <f t="shared" si="23"/>
        <v>100</v>
      </c>
    </row>
    <row r="89" spans="1:10" x14ac:dyDescent="0.25">
      <c r="A89" s="6"/>
      <c r="B89" s="6"/>
      <c r="C89" s="6"/>
      <c r="D89" s="6" t="s">
        <v>272</v>
      </c>
      <c r="E89" s="3" t="s">
        <v>273</v>
      </c>
      <c r="F89" s="67">
        <v>810.7</v>
      </c>
      <c r="G89" s="67">
        <v>810.7</v>
      </c>
      <c r="H89" s="67">
        <v>810.7</v>
      </c>
      <c r="I89" s="246">
        <f t="shared" si="22"/>
        <v>100</v>
      </c>
      <c r="J89" s="246">
        <f t="shared" si="23"/>
        <v>100</v>
      </c>
    </row>
    <row r="90" spans="1:10" ht="26.25" x14ac:dyDescent="0.25">
      <c r="A90" s="32"/>
      <c r="B90" s="32"/>
      <c r="C90" s="32" t="s">
        <v>13</v>
      </c>
      <c r="D90" s="32"/>
      <c r="E90" s="33" t="s">
        <v>14</v>
      </c>
      <c r="F90" s="75">
        <f>F91+F93</f>
        <v>98</v>
      </c>
      <c r="G90" s="75">
        <f t="shared" ref="G90:H90" si="30">G91+G93</f>
        <v>98</v>
      </c>
      <c r="H90" s="75">
        <f t="shared" si="30"/>
        <v>98</v>
      </c>
      <c r="I90" s="253">
        <f t="shared" si="22"/>
        <v>100</v>
      </c>
      <c r="J90" s="253">
        <f t="shared" si="23"/>
        <v>100</v>
      </c>
    </row>
    <row r="91" spans="1:10" ht="26.25" x14ac:dyDescent="0.25">
      <c r="A91" s="94"/>
      <c r="B91" s="94"/>
      <c r="C91" s="6" t="s">
        <v>15</v>
      </c>
      <c r="D91" s="6"/>
      <c r="E91" s="3" t="s">
        <v>415</v>
      </c>
      <c r="F91" s="67">
        <f>F92</f>
        <v>56</v>
      </c>
      <c r="G91" s="67">
        <f t="shared" ref="G91:H91" si="31">G92</f>
        <v>56</v>
      </c>
      <c r="H91" s="67">
        <f t="shared" si="31"/>
        <v>56</v>
      </c>
      <c r="I91" s="246">
        <f t="shared" si="22"/>
        <v>100</v>
      </c>
      <c r="J91" s="246">
        <f t="shared" si="23"/>
        <v>100</v>
      </c>
    </row>
    <row r="92" spans="1:10" x14ac:dyDescent="0.25">
      <c r="A92" s="94"/>
      <c r="B92" s="94"/>
      <c r="C92" s="6"/>
      <c r="D92" s="6" t="s">
        <v>272</v>
      </c>
      <c r="E92" s="3" t="s">
        <v>273</v>
      </c>
      <c r="F92" s="67">
        <v>56</v>
      </c>
      <c r="G92" s="67">
        <v>56</v>
      </c>
      <c r="H92" s="67">
        <v>56</v>
      </c>
      <c r="I92" s="246">
        <f t="shared" si="22"/>
        <v>100</v>
      </c>
      <c r="J92" s="246">
        <f t="shared" si="23"/>
        <v>100</v>
      </c>
    </row>
    <row r="93" spans="1:10" ht="39" x14ac:dyDescent="0.25">
      <c r="A93" s="94"/>
      <c r="B93" s="94"/>
      <c r="C93" s="6" t="s">
        <v>16</v>
      </c>
      <c r="D93" s="6"/>
      <c r="E93" s="8" t="s">
        <v>17</v>
      </c>
      <c r="F93" s="67">
        <f>F94</f>
        <v>42</v>
      </c>
      <c r="G93" s="67">
        <f t="shared" ref="G93:H93" si="32">G94</f>
        <v>42</v>
      </c>
      <c r="H93" s="67">
        <f t="shared" si="32"/>
        <v>42</v>
      </c>
      <c r="I93" s="246">
        <f t="shared" si="22"/>
        <v>100</v>
      </c>
      <c r="J93" s="246">
        <f t="shared" si="23"/>
        <v>100</v>
      </c>
    </row>
    <row r="94" spans="1:10" x14ac:dyDescent="0.25">
      <c r="A94" s="94"/>
      <c r="B94" s="94"/>
      <c r="C94" s="6"/>
      <c r="D94" s="6" t="s">
        <v>272</v>
      </c>
      <c r="E94" s="3" t="s">
        <v>273</v>
      </c>
      <c r="F94" s="67">
        <v>42</v>
      </c>
      <c r="G94" s="67">
        <v>42</v>
      </c>
      <c r="H94" s="67">
        <v>42</v>
      </c>
      <c r="I94" s="246">
        <f t="shared" si="22"/>
        <v>100</v>
      </c>
      <c r="J94" s="246">
        <f t="shared" si="23"/>
        <v>100</v>
      </c>
    </row>
    <row r="95" spans="1:10" ht="39" x14ac:dyDescent="0.25">
      <c r="A95" s="30"/>
      <c r="B95" s="30"/>
      <c r="C95" s="30" t="s">
        <v>28</v>
      </c>
      <c r="D95" s="30"/>
      <c r="E95" s="31" t="s">
        <v>29</v>
      </c>
      <c r="F95" s="72">
        <f t="shared" ref="F95:H96" si="33">F96</f>
        <v>1118</v>
      </c>
      <c r="G95" s="72">
        <f t="shared" si="33"/>
        <v>1118</v>
      </c>
      <c r="H95" s="72">
        <f t="shared" si="33"/>
        <v>1118</v>
      </c>
      <c r="I95" s="244">
        <f t="shared" si="22"/>
        <v>100</v>
      </c>
      <c r="J95" s="244">
        <f t="shared" si="23"/>
        <v>100</v>
      </c>
    </row>
    <row r="96" spans="1:10" ht="26.25" x14ac:dyDescent="0.25">
      <c r="A96" s="32"/>
      <c r="B96" s="32"/>
      <c r="C96" s="32" t="s">
        <v>30</v>
      </c>
      <c r="D96" s="35"/>
      <c r="E96" s="33" t="s">
        <v>31</v>
      </c>
      <c r="F96" s="68">
        <f>F97</f>
        <v>1118</v>
      </c>
      <c r="G96" s="68">
        <f t="shared" si="33"/>
        <v>1118</v>
      </c>
      <c r="H96" s="68">
        <f t="shared" si="33"/>
        <v>1118</v>
      </c>
      <c r="I96" s="245">
        <f t="shared" si="22"/>
        <v>100</v>
      </c>
      <c r="J96" s="245">
        <f t="shared" si="23"/>
        <v>100</v>
      </c>
    </row>
    <row r="97" spans="1:10" x14ac:dyDescent="0.25">
      <c r="A97" s="6"/>
      <c r="B97" s="6"/>
      <c r="C97" s="6" t="s">
        <v>44</v>
      </c>
      <c r="D97" s="6"/>
      <c r="E97" s="3" t="s">
        <v>45</v>
      </c>
      <c r="F97" s="76">
        <f>SUM(F98)</f>
        <v>1118</v>
      </c>
      <c r="G97" s="76">
        <f>SUM(G98+G99)</f>
        <v>1118</v>
      </c>
      <c r="H97" s="76">
        <f>SUM(H98+H99)</f>
        <v>1118</v>
      </c>
      <c r="I97" s="240">
        <f t="shared" si="22"/>
        <v>100</v>
      </c>
      <c r="J97" s="240">
        <f t="shared" si="23"/>
        <v>100</v>
      </c>
    </row>
    <row r="98" spans="1:10" ht="39" x14ac:dyDescent="0.25">
      <c r="A98" s="6"/>
      <c r="B98" s="6"/>
      <c r="C98" s="6"/>
      <c r="D98" s="6" t="s">
        <v>383</v>
      </c>
      <c r="E98" s="3" t="s">
        <v>384</v>
      </c>
      <c r="F98" s="76">
        <v>1118</v>
      </c>
      <c r="G98" s="264">
        <v>1095.931</v>
      </c>
      <c r="H98" s="264">
        <v>1095.931</v>
      </c>
      <c r="I98" s="240">
        <f t="shared" si="22"/>
        <v>100</v>
      </c>
      <c r="J98" s="240">
        <f t="shared" si="23"/>
        <v>98.026028622540252</v>
      </c>
    </row>
    <row r="99" spans="1:10" x14ac:dyDescent="0.25">
      <c r="A99" s="6"/>
      <c r="B99" s="6"/>
      <c r="C99" s="6"/>
      <c r="D99" s="6" t="s">
        <v>272</v>
      </c>
      <c r="E99" s="3" t="s">
        <v>273</v>
      </c>
      <c r="F99" s="76">
        <v>0</v>
      </c>
      <c r="G99" s="264">
        <v>22.068999999999999</v>
      </c>
      <c r="H99" s="264">
        <v>22.068999999999999</v>
      </c>
      <c r="I99" s="240">
        <f t="shared" si="22"/>
        <v>100</v>
      </c>
      <c r="J99" s="240"/>
    </row>
    <row r="100" spans="1:10" ht="26.25" x14ac:dyDescent="0.25">
      <c r="A100" s="30"/>
      <c r="B100" s="30"/>
      <c r="C100" s="30" t="s">
        <v>47</v>
      </c>
      <c r="D100" s="30"/>
      <c r="E100" s="31" t="s">
        <v>48</v>
      </c>
      <c r="F100" s="72">
        <f>F101</f>
        <v>81.3</v>
      </c>
      <c r="G100" s="72">
        <f t="shared" ref="G100:H100" si="34">G101</f>
        <v>81.3</v>
      </c>
      <c r="H100" s="72">
        <f t="shared" si="34"/>
        <v>81.3</v>
      </c>
      <c r="I100" s="244">
        <f t="shared" si="22"/>
        <v>100</v>
      </c>
      <c r="J100" s="244">
        <f t="shared" si="23"/>
        <v>100</v>
      </c>
    </row>
    <row r="101" spans="1:10" ht="26.25" x14ac:dyDescent="0.25">
      <c r="A101" s="32"/>
      <c r="B101" s="32"/>
      <c r="C101" s="32" t="s">
        <v>49</v>
      </c>
      <c r="D101" s="35"/>
      <c r="E101" s="33" t="s">
        <v>50</v>
      </c>
      <c r="F101" s="68">
        <f>F102+F104</f>
        <v>81.3</v>
      </c>
      <c r="G101" s="68">
        <f t="shared" ref="G101:H101" si="35">G102+G104</f>
        <v>81.3</v>
      </c>
      <c r="H101" s="68">
        <f t="shared" si="35"/>
        <v>81.3</v>
      </c>
      <c r="I101" s="245">
        <f t="shared" si="22"/>
        <v>100</v>
      </c>
      <c r="J101" s="245">
        <f t="shared" si="23"/>
        <v>100</v>
      </c>
    </row>
    <row r="102" spans="1:10" x14ac:dyDescent="0.25">
      <c r="A102" s="94"/>
      <c r="B102" s="94"/>
      <c r="C102" s="6" t="s">
        <v>51</v>
      </c>
      <c r="D102" s="6"/>
      <c r="E102" s="8" t="s">
        <v>52</v>
      </c>
      <c r="F102" s="76">
        <f>F103</f>
        <v>50</v>
      </c>
      <c r="G102" s="76">
        <f t="shared" ref="G102:H102" si="36">G103</f>
        <v>50</v>
      </c>
      <c r="H102" s="76">
        <f t="shared" si="36"/>
        <v>50</v>
      </c>
      <c r="I102" s="240">
        <f t="shared" si="22"/>
        <v>100</v>
      </c>
      <c r="J102" s="240">
        <f t="shared" si="23"/>
        <v>100</v>
      </c>
    </row>
    <row r="103" spans="1:10" x14ac:dyDescent="0.25">
      <c r="A103" s="94"/>
      <c r="B103" s="94"/>
      <c r="C103" s="6"/>
      <c r="D103" s="6" t="s">
        <v>272</v>
      </c>
      <c r="E103" s="3" t="s">
        <v>273</v>
      </c>
      <c r="F103" s="76">
        <v>50</v>
      </c>
      <c r="G103" s="76">
        <v>50</v>
      </c>
      <c r="H103" s="76">
        <v>50</v>
      </c>
      <c r="I103" s="240">
        <f t="shared" si="22"/>
        <v>100</v>
      </c>
      <c r="J103" s="240">
        <f t="shared" si="23"/>
        <v>100</v>
      </c>
    </row>
    <row r="104" spans="1:10" x14ac:dyDescent="0.25">
      <c r="A104" s="94"/>
      <c r="B104" s="94"/>
      <c r="C104" s="6" t="s">
        <v>53</v>
      </c>
      <c r="D104" s="6"/>
      <c r="E104" s="8" t="s">
        <v>54</v>
      </c>
      <c r="F104" s="76">
        <f>F105</f>
        <v>31.3</v>
      </c>
      <c r="G104" s="76">
        <f t="shared" ref="G104:H104" si="37">G105</f>
        <v>31.3</v>
      </c>
      <c r="H104" s="76">
        <f t="shared" si="37"/>
        <v>31.3</v>
      </c>
      <c r="I104" s="240">
        <f t="shared" si="22"/>
        <v>100</v>
      </c>
      <c r="J104" s="240">
        <f t="shared" si="23"/>
        <v>100</v>
      </c>
    </row>
    <row r="105" spans="1:10" x14ac:dyDescent="0.25">
      <c r="A105" s="94"/>
      <c r="B105" s="94"/>
      <c r="C105" s="6"/>
      <c r="D105" s="6" t="s">
        <v>272</v>
      </c>
      <c r="E105" s="3" t="s">
        <v>273</v>
      </c>
      <c r="F105" s="76">
        <v>31.3</v>
      </c>
      <c r="G105" s="76">
        <v>31.3</v>
      </c>
      <c r="H105" s="76">
        <v>31.3</v>
      </c>
      <c r="I105" s="240">
        <f t="shared" si="22"/>
        <v>100</v>
      </c>
      <c r="J105" s="240">
        <f t="shared" si="23"/>
        <v>100</v>
      </c>
    </row>
    <row r="106" spans="1:10" ht="25.5" x14ac:dyDescent="0.25">
      <c r="A106" s="106"/>
      <c r="B106" s="107"/>
      <c r="C106" s="108" t="s">
        <v>156</v>
      </c>
      <c r="D106" s="107"/>
      <c r="E106" s="109" t="s">
        <v>157</v>
      </c>
      <c r="F106" s="159">
        <f>F107</f>
        <v>300</v>
      </c>
      <c r="G106" s="159">
        <f t="shared" ref="G106:H106" si="38">G107</f>
        <v>300</v>
      </c>
      <c r="H106" s="159">
        <f t="shared" si="38"/>
        <v>300</v>
      </c>
      <c r="I106" s="257">
        <f t="shared" si="22"/>
        <v>100</v>
      </c>
      <c r="J106" s="257">
        <f t="shared" si="23"/>
        <v>100</v>
      </c>
    </row>
    <row r="107" spans="1:10" ht="26.25" x14ac:dyDescent="0.25">
      <c r="A107" s="42"/>
      <c r="B107" s="42"/>
      <c r="C107" s="42" t="s">
        <v>158</v>
      </c>
      <c r="D107" s="42"/>
      <c r="E107" s="43" t="s">
        <v>159</v>
      </c>
      <c r="F107" s="72">
        <f t="shared" ref="F107:H108" si="39">F108</f>
        <v>300</v>
      </c>
      <c r="G107" s="72">
        <f t="shared" si="39"/>
        <v>300</v>
      </c>
      <c r="H107" s="72">
        <f t="shared" si="39"/>
        <v>300</v>
      </c>
      <c r="I107" s="244">
        <f t="shared" si="22"/>
        <v>100</v>
      </c>
      <c r="J107" s="244">
        <f t="shared" si="23"/>
        <v>100</v>
      </c>
    </row>
    <row r="108" spans="1:10" ht="26.25" x14ac:dyDescent="0.25">
      <c r="A108" s="32"/>
      <c r="B108" s="32"/>
      <c r="C108" s="32" t="s">
        <v>160</v>
      </c>
      <c r="D108" s="32"/>
      <c r="E108" s="33" t="s">
        <v>161</v>
      </c>
      <c r="F108" s="68">
        <f t="shared" si="39"/>
        <v>300</v>
      </c>
      <c r="G108" s="68">
        <f t="shared" si="39"/>
        <v>300</v>
      </c>
      <c r="H108" s="68">
        <f t="shared" si="39"/>
        <v>300</v>
      </c>
      <c r="I108" s="245">
        <f t="shared" si="22"/>
        <v>100</v>
      </c>
      <c r="J108" s="245">
        <f t="shared" si="23"/>
        <v>100</v>
      </c>
    </row>
    <row r="109" spans="1:10" ht="26.25" x14ac:dyDescent="0.25">
      <c r="A109" s="6"/>
      <c r="B109" s="6"/>
      <c r="C109" s="6" t="s">
        <v>162</v>
      </c>
      <c r="D109" s="6"/>
      <c r="E109" s="44" t="s">
        <v>163</v>
      </c>
      <c r="F109" s="67">
        <v>300</v>
      </c>
      <c r="G109" s="67">
        <v>300</v>
      </c>
      <c r="H109" s="67">
        <v>300</v>
      </c>
      <c r="I109" s="246">
        <f t="shared" si="22"/>
        <v>100</v>
      </c>
      <c r="J109" s="246">
        <f t="shared" si="23"/>
        <v>100</v>
      </c>
    </row>
    <row r="110" spans="1:10" ht="26.25" x14ac:dyDescent="0.25">
      <c r="A110" s="6"/>
      <c r="B110" s="6"/>
      <c r="C110" s="6"/>
      <c r="D110" s="6" t="s">
        <v>449</v>
      </c>
      <c r="E110" s="3" t="s">
        <v>450</v>
      </c>
      <c r="F110" s="67">
        <v>300</v>
      </c>
      <c r="G110" s="67">
        <v>300</v>
      </c>
      <c r="H110" s="67">
        <v>300</v>
      </c>
      <c r="I110" s="246">
        <f t="shared" si="22"/>
        <v>100</v>
      </c>
      <c r="J110" s="246">
        <f t="shared" si="23"/>
        <v>100</v>
      </c>
    </row>
    <row r="111" spans="1:10" ht="25.5" x14ac:dyDescent="0.25">
      <c r="A111" s="106"/>
      <c r="B111" s="107"/>
      <c r="C111" s="108" t="s">
        <v>193</v>
      </c>
      <c r="D111" s="107"/>
      <c r="E111" s="109" t="s">
        <v>194</v>
      </c>
      <c r="F111" s="159">
        <f>F112</f>
        <v>1530.0775500000002</v>
      </c>
      <c r="G111" s="159">
        <f t="shared" ref="G111:H113" si="40">G112</f>
        <v>1038.06603</v>
      </c>
      <c r="H111" s="159">
        <f t="shared" si="40"/>
        <v>1038.06603</v>
      </c>
      <c r="I111" s="257">
        <f t="shared" si="22"/>
        <v>100</v>
      </c>
      <c r="J111" s="257">
        <f t="shared" si="23"/>
        <v>67.84401418084984</v>
      </c>
    </row>
    <row r="112" spans="1:10" ht="26.25" x14ac:dyDescent="0.25">
      <c r="A112" s="32"/>
      <c r="B112" s="32"/>
      <c r="C112" s="32" t="s">
        <v>195</v>
      </c>
      <c r="D112" s="32"/>
      <c r="E112" s="33" t="s">
        <v>789</v>
      </c>
      <c r="F112" s="68">
        <f>F113</f>
        <v>1530.0775500000002</v>
      </c>
      <c r="G112" s="68">
        <f t="shared" si="40"/>
        <v>1038.06603</v>
      </c>
      <c r="H112" s="68">
        <f t="shared" si="40"/>
        <v>1038.06603</v>
      </c>
      <c r="I112" s="245">
        <f t="shared" si="22"/>
        <v>100</v>
      </c>
      <c r="J112" s="245">
        <f t="shared" si="23"/>
        <v>67.84401418084984</v>
      </c>
    </row>
    <row r="113" spans="1:10" ht="26.25" x14ac:dyDescent="0.25">
      <c r="A113" s="6"/>
      <c r="B113" s="6"/>
      <c r="C113" s="6" t="s">
        <v>468</v>
      </c>
      <c r="D113" s="6"/>
      <c r="E113" s="3" t="s">
        <v>469</v>
      </c>
      <c r="F113" s="67">
        <f>F114</f>
        <v>1530.0775500000002</v>
      </c>
      <c r="G113" s="67">
        <f t="shared" si="40"/>
        <v>1038.06603</v>
      </c>
      <c r="H113" s="67">
        <f t="shared" si="40"/>
        <v>1038.06603</v>
      </c>
      <c r="I113" s="246">
        <f t="shared" si="22"/>
        <v>100</v>
      </c>
      <c r="J113" s="246">
        <f t="shared" si="23"/>
        <v>67.84401418084984</v>
      </c>
    </row>
    <row r="114" spans="1:10" x14ac:dyDescent="0.25">
      <c r="A114" s="6"/>
      <c r="B114" s="6"/>
      <c r="C114" s="6"/>
      <c r="D114" s="6" t="s">
        <v>272</v>
      </c>
      <c r="E114" s="3" t="s">
        <v>273</v>
      </c>
      <c r="F114" s="67">
        <f>F115+F116</f>
        <v>1530.0775500000002</v>
      </c>
      <c r="G114" s="264">
        <v>1038.06603</v>
      </c>
      <c r="H114" s="264">
        <v>1038.06603</v>
      </c>
      <c r="I114" s="246">
        <f t="shared" si="22"/>
        <v>100</v>
      </c>
      <c r="J114" s="246">
        <f t="shared" si="23"/>
        <v>67.84401418084984</v>
      </c>
    </row>
    <row r="115" spans="1:10" x14ac:dyDescent="0.25">
      <c r="A115" s="6"/>
      <c r="B115" s="6"/>
      <c r="C115" s="6"/>
      <c r="D115" s="6"/>
      <c r="E115" s="1" t="s">
        <v>182</v>
      </c>
      <c r="F115" s="67">
        <v>1499.4760000000001</v>
      </c>
      <c r="G115" s="67">
        <v>1017.3047</v>
      </c>
      <c r="H115" s="67">
        <v>1017.3047</v>
      </c>
      <c r="I115" s="246">
        <f t="shared" si="22"/>
        <v>100</v>
      </c>
      <c r="J115" s="246">
        <f t="shared" si="23"/>
        <v>67.844013508719044</v>
      </c>
    </row>
    <row r="116" spans="1:10" x14ac:dyDescent="0.25">
      <c r="A116" s="6"/>
      <c r="B116" s="6"/>
      <c r="C116" s="6"/>
      <c r="D116" s="6"/>
      <c r="E116" s="3" t="s">
        <v>146</v>
      </c>
      <c r="F116" s="67">
        <v>30.60155</v>
      </c>
      <c r="G116" s="67">
        <v>20.761330000000001</v>
      </c>
      <c r="H116" s="67">
        <v>20.761330000000001</v>
      </c>
      <c r="I116" s="246">
        <f t="shared" si="22"/>
        <v>100</v>
      </c>
      <c r="J116" s="246">
        <f t="shared" si="23"/>
        <v>67.844047115260508</v>
      </c>
    </row>
    <row r="117" spans="1:10" x14ac:dyDescent="0.25">
      <c r="A117" s="131"/>
      <c r="B117" s="131"/>
      <c r="C117" s="131" t="s">
        <v>378</v>
      </c>
      <c r="D117" s="131"/>
      <c r="E117" s="132" t="s">
        <v>379</v>
      </c>
      <c r="F117" s="133">
        <f t="shared" ref="F117:H117" si="41">F118</f>
        <v>37492.1</v>
      </c>
      <c r="G117" s="133">
        <f t="shared" si="41"/>
        <v>38053.615420000009</v>
      </c>
      <c r="H117" s="133">
        <f t="shared" si="41"/>
        <v>38009.003050000007</v>
      </c>
      <c r="I117" s="254">
        <f t="shared" si="22"/>
        <v>99.882764437734465</v>
      </c>
      <c r="J117" s="254">
        <f t="shared" si="23"/>
        <v>101.49768996668634</v>
      </c>
    </row>
    <row r="118" spans="1:10" ht="26.25" x14ac:dyDescent="0.25">
      <c r="A118" s="60"/>
      <c r="B118" s="60"/>
      <c r="C118" s="60" t="s">
        <v>386</v>
      </c>
      <c r="D118" s="60"/>
      <c r="E118" s="62" t="s">
        <v>387</v>
      </c>
      <c r="F118" s="80">
        <f>F119+F128+F130+F123+F126</f>
        <v>37492.1</v>
      </c>
      <c r="G118" s="80">
        <f>G119+G128+G130+G123+G126+G132</f>
        <v>38053.615420000009</v>
      </c>
      <c r="H118" s="80">
        <f>H119+H128+H130+H123+H126+H132</f>
        <v>38009.003050000007</v>
      </c>
      <c r="I118" s="255">
        <f t="shared" si="22"/>
        <v>99.882764437734465</v>
      </c>
      <c r="J118" s="255">
        <f t="shared" si="23"/>
        <v>101.49768996668634</v>
      </c>
    </row>
    <row r="119" spans="1:10" ht="26.25" x14ac:dyDescent="0.25">
      <c r="A119" s="94"/>
      <c r="B119" s="94"/>
      <c r="C119" s="6" t="s">
        <v>398</v>
      </c>
      <c r="D119" s="6"/>
      <c r="E119" s="8" t="s">
        <v>399</v>
      </c>
      <c r="F119" s="67">
        <f>F120+F121+F122</f>
        <v>35526.799999999996</v>
      </c>
      <c r="G119" s="67">
        <f t="shared" ref="G119:H119" si="42">G120+G121+G122</f>
        <v>35526.800000000003</v>
      </c>
      <c r="H119" s="67">
        <f t="shared" si="42"/>
        <v>35482.253779999999</v>
      </c>
      <c r="I119" s="246">
        <f t="shared" si="22"/>
        <v>99.874612348987242</v>
      </c>
      <c r="J119" s="246">
        <f t="shared" si="23"/>
        <v>100.00000000000003</v>
      </c>
    </row>
    <row r="120" spans="1:10" ht="39" x14ac:dyDescent="0.25">
      <c r="A120" s="94"/>
      <c r="B120" s="94"/>
      <c r="C120" s="6"/>
      <c r="D120" s="6" t="s">
        <v>383</v>
      </c>
      <c r="E120" s="3" t="s">
        <v>384</v>
      </c>
      <c r="F120" s="67">
        <v>17730.599999999999</v>
      </c>
      <c r="G120" s="264">
        <v>17717.674999999999</v>
      </c>
      <c r="H120" s="264">
        <v>17673.306949999998</v>
      </c>
      <c r="I120" s="246">
        <f t="shared" si="22"/>
        <v>99.74958311403725</v>
      </c>
      <c r="J120" s="246">
        <f t="shared" si="23"/>
        <v>99.927103425715998</v>
      </c>
    </row>
    <row r="121" spans="1:10" x14ac:dyDescent="0.25">
      <c r="A121" s="94"/>
      <c r="B121" s="94"/>
      <c r="C121" s="6"/>
      <c r="D121" s="6" t="s">
        <v>272</v>
      </c>
      <c r="E121" s="3" t="s">
        <v>273</v>
      </c>
      <c r="F121" s="67">
        <v>17357</v>
      </c>
      <c r="G121" s="264">
        <v>17369.809870000001</v>
      </c>
      <c r="H121" s="264">
        <v>17369.631700000002</v>
      </c>
      <c r="I121" s="246">
        <f t="shared" si="22"/>
        <v>99.998974254748134</v>
      </c>
      <c r="J121" s="246">
        <f t="shared" si="23"/>
        <v>100.07380232759118</v>
      </c>
    </row>
    <row r="122" spans="1:10" x14ac:dyDescent="0.25">
      <c r="A122" s="94"/>
      <c r="B122" s="94"/>
      <c r="C122" s="6"/>
      <c r="D122" s="6" t="s">
        <v>390</v>
      </c>
      <c r="E122" s="3" t="s">
        <v>391</v>
      </c>
      <c r="F122" s="67">
        <v>439.2</v>
      </c>
      <c r="G122" s="264">
        <v>439.31513000000001</v>
      </c>
      <c r="H122" s="264">
        <v>439.31513000000001</v>
      </c>
      <c r="I122" s="246">
        <f t="shared" si="22"/>
        <v>100</v>
      </c>
      <c r="J122" s="246">
        <f t="shared" si="23"/>
        <v>100.02621357012751</v>
      </c>
    </row>
    <row r="123" spans="1:10" x14ac:dyDescent="0.25">
      <c r="A123" s="94"/>
      <c r="B123" s="94"/>
      <c r="C123" s="16" t="s">
        <v>400</v>
      </c>
      <c r="D123" s="16"/>
      <c r="E123" s="1" t="s">
        <v>401</v>
      </c>
      <c r="F123" s="67">
        <f>F124+F125</f>
        <v>1315.3</v>
      </c>
      <c r="G123" s="67">
        <f t="shared" ref="G123:H123" si="43">G124+G125</f>
        <v>1315.3</v>
      </c>
      <c r="H123" s="67">
        <f t="shared" si="43"/>
        <v>1315.3</v>
      </c>
      <c r="I123" s="246">
        <f t="shared" si="22"/>
        <v>100</v>
      </c>
      <c r="J123" s="246">
        <f t="shared" si="23"/>
        <v>100</v>
      </c>
    </row>
    <row r="124" spans="1:10" x14ac:dyDescent="0.25">
      <c r="A124" s="94"/>
      <c r="B124" s="94"/>
      <c r="C124" s="16"/>
      <c r="D124" s="16" t="s">
        <v>272</v>
      </c>
      <c r="E124" s="1" t="s">
        <v>273</v>
      </c>
      <c r="F124" s="67">
        <v>715.4</v>
      </c>
      <c r="G124" s="67">
        <v>715.4</v>
      </c>
      <c r="H124" s="67">
        <v>715.4</v>
      </c>
      <c r="I124" s="246">
        <f t="shared" si="22"/>
        <v>100</v>
      </c>
      <c r="J124" s="246">
        <f t="shared" si="23"/>
        <v>100</v>
      </c>
    </row>
    <row r="125" spans="1:10" ht="26.25" x14ac:dyDescent="0.25">
      <c r="A125" s="94"/>
      <c r="B125" s="94"/>
      <c r="C125" s="16"/>
      <c r="D125" s="6" t="s">
        <v>449</v>
      </c>
      <c r="E125" s="3" t="s">
        <v>450</v>
      </c>
      <c r="F125" s="67">
        <v>599.9</v>
      </c>
      <c r="G125" s="67">
        <v>599.9</v>
      </c>
      <c r="H125" s="67">
        <v>599.9</v>
      </c>
      <c r="I125" s="246">
        <f t="shared" si="22"/>
        <v>100</v>
      </c>
      <c r="J125" s="246">
        <f t="shared" si="23"/>
        <v>100</v>
      </c>
    </row>
    <row r="126" spans="1:10" ht="26.25" x14ac:dyDescent="0.25">
      <c r="A126" s="94"/>
      <c r="B126" s="94"/>
      <c r="C126" s="6" t="s">
        <v>761</v>
      </c>
      <c r="D126" s="6"/>
      <c r="E126" s="3" t="s">
        <v>762</v>
      </c>
      <c r="F126" s="67">
        <f>F127</f>
        <v>40</v>
      </c>
      <c r="G126" s="67">
        <f t="shared" ref="G126:H126" si="44">G127</f>
        <v>40</v>
      </c>
      <c r="H126" s="67">
        <f t="shared" si="44"/>
        <v>40</v>
      </c>
      <c r="I126" s="246">
        <f t="shared" si="22"/>
        <v>100</v>
      </c>
      <c r="J126" s="246">
        <f t="shared" si="23"/>
        <v>100</v>
      </c>
    </row>
    <row r="127" spans="1:10" x14ac:dyDescent="0.25">
      <c r="A127" s="94"/>
      <c r="B127" s="94"/>
      <c r="C127" s="16"/>
      <c r="D127" s="6" t="s">
        <v>390</v>
      </c>
      <c r="E127" s="1" t="s">
        <v>391</v>
      </c>
      <c r="F127" s="67">
        <v>40</v>
      </c>
      <c r="G127" s="67">
        <v>40</v>
      </c>
      <c r="H127" s="67">
        <v>40</v>
      </c>
      <c r="I127" s="246">
        <f t="shared" si="22"/>
        <v>100</v>
      </c>
      <c r="J127" s="246">
        <f t="shared" si="23"/>
        <v>100</v>
      </c>
    </row>
    <row r="128" spans="1:10" ht="26.25" x14ac:dyDescent="0.25">
      <c r="A128" s="94"/>
      <c r="B128" s="94"/>
      <c r="C128" s="6" t="s">
        <v>410</v>
      </c>
      <c r="D128" s="6"/>
      <c r="E128" s="3" t="s">
        <v>411</v>
      </c>
      <c r="F128" s="67">
        <f t="shared" ref="F128:H128" si="45">F129</f>
        <v>300</v>
      </c>
      <c r="G128" s="67">
        <f t="shared" si="45"/>
        <v>300</v>
      </c>
      <c r="H128" s="67">
        <f t="shared" si="45"/>
        <v>299.93385000000001</v>
      </c>
      <c r="I128" s="246">
        <f t="shared" si="22"/>
        <v>99.977950000000007</v>
      </c>
      <c r="J128" s="246">
        <f t="shared" si="23"/>
        <v>100</v>
      </c>
    </row>
    <row r="129" spans="1:10" x14ac:dyDescent="0.25">
      <c r="A129" s="94"/>
      <c r="B129" s="94"/>
      <c r="C129" s="6"/>
      <c r="D129" s="6" t="s">
        <v>272</v>
      </c>
      <c r="E129" s="3" t="s">
        <v>273</v>
      </c>
      <c r="F129" s="67">
        <f>200+100</f>
        <v>300</v>
      </c>
      <c r="G129" s="67">
        <f t="shared" ref="G129" si="46">200+100</f>
        <v>300</v>
      </c>
      <c r="H129" s="264">
        <v>299.93385000000001</v>
      </c>
      <c r="I129" s="246">
        <f t="shared" si="22"/>
        <v>99.977950000000007</v>
      </c>
      <c r="J129" s="246">
        <f t="shared" si="23"/>
        <v>100</v>
      </c>
    </row>
    <row r="130" spans="1:10" x14ac:dyDescent="0.25">
      <c r="A130" s="94"/>
      <c r="B130" s="94"/>
      <c r="C130" s="6" t="s">
        <v>412</v>
      </c>
      <c r="D130" s="6"/>
      <c r="E130" s="3" t="s">
        <v>413</v>
      </c>
      <c r="F130" s="77">
        <f>F131</f>
        <v>310</v>
      </c>
      <c r="G130" s="77">
        <f t="shared" ref="G130:H130" si="47">G131</f>
        <v>310</v>
      </c>
      <c r="H130" s="77">
        <f t="shared" si="47"/>
        <v>310</v>
      </c>
      <c r="I130" s="248">
        <f t="shared" si="22"/>
        <v>100</v>
      </c>
      <c r="J130" s="248">
        <f t="shared" si="23"/>
        <v>100</v>
      </c>
    </row>
    <row r="131" spans="1:10" x14ac:dyDescent="0.25">
      <c r="A131" s="94"/>
      <c r="B131" s="94"/>
      <c r="C131" s="6"/>
      <c r="D131" s="6" t="s">
        <v>390</v>
      </c>
      <c r="E131" s="3" t="s">
        <v>391</v>
      </c>
      <c r="F131" s="77">
        <v>310</v>
      </c>
      <c r="G131" s="77">
        <v>310</v>
      </c>
      <c r="H131" s="77">
        <v>310</v>
      </c>
      <c r="I131" s="248">
        <f t="shared" si="22"/>
        <v>100</v>
      </c>
      <c r="J131" s="248">
        <f t="shared" si="23"/>
        <v>100</v>
      </c>
    </row>
    <row r="132" spans="1:10" x14ac:dyDescent="0.25">
      <c r="A132" s="94"/>
      <c r="B132" s="94"/>
      <c r="C132" s="6" t="s">
        <v>406</v>
      </c>
      <c r="D132" s="6"/>
      <c r="E132" s="3" t="s">
        <v>407</v>
      </c>
      <c r="F132" s="77"/>
      <c r="G132" s="77">
        <f>G133+G134</f>
        <v>561.51541999999995</v>
      </c>
      <c r="H132" s="77">
        <f>H133+H134</f>
        <v>561.51541999999995</v>
      </c>
      <c r="I132" s="248">
        <f t="shared" si="22"/>
        <v>100</v>
      </c>
      <c r="J132" s="248"/>
    </row>
    <row r="133" spans="1:10" x14ac:dyDescent="0.25">
      <c r="A133" s="94"/>
      <c r="B133" s="94"/>
      <c r="C133" s="6"/>
      <c r="D133" s="16" t="s">
        <v>272</v>
      </c>
      <c r="E133" s="1" t="s">
        <v>273</v>
      </c>
      <c r="F133" s="77"/>
      <c r="G133" s="264">
        <v>273.96242000000001</v>
      </c>
      <c r="H133" s="264">
        <v>273.96242000000001</v>
      </c>
      <c r="I133" s="248">
        <f t="shared" si="22"/>
        <v>100</v>
      </c>
      <c r="J133" s="248"/>
    </row>
    <row r="134" spans="1:10" x14ac:dyDescent="0.25">
      <c r="A134" s="94"/>
      <c r="B134" s="94"/>
      <c r="C134" s="6"/>
      <c r="D134" s="6" t="s">
        <v>408</v>
      </c>
      <c r="E134" s="3" t="s">
        <v>409</v>
      </c>
      <c r="F134" s="77"/>
      <c r="G134" s="264">
        <v>287.553</v>
      </c>
      <c r="H134" s="264">
        <v>287.553</v>
      </c>
      <c r="I134" s="248">
        <f t="shared" si="22"/>
        <v>100</v>
      </c>
      <c r="J134" s="248"/>
    </row>
    <row r="135" spans="1:10" x14ac:dyDescent="0.25">
      <c r="A135" s="103"/>
      <c r="B135" s="17" t="s">
        <v>547</v>
      </c>
      <c r="C135" s="104"/>
      <c r="D135" s="17"/>
      <c r="E135" s="98" t="s">
        <v>548</v>
      </c>
      <c r="F135" s="124">
        <f t="shared" ref="F135:H140" si="48">F136</f>
        <v>1111.9000000000001</v>
      </c>
      <c r="G135" s="124">
        <f t="shared" si="48"/>
        <v>1291.5</v>
      </c>
      <c r="H135" s="124">
        <f t="shared" si="48"/>
        <v>1291.5</v>
      </c>
      <c r="I135" s="251">
        <f t="shared" si="22"/>
        <v>100</v>
      </c>
      <c r="J135" s="251">
        <f t="shared" si="23"/>
        <v>116.15253170249122</v>
      </c>
    </row>
    <row r="136" spans="1:10" x14ac:dyDescent="0.25">
      <c r="A136" s="103"/>
      <c r="B136" s="17" t="s">
        <v>536</v>
      </c>
      <c r="C136" s="104"/>
      <c r="D136" s="17"/>
      <c r="E136" s="98" t="s">
        <v>549</v>
      </c>
      <c r="F136" s="124">
        <f t="shared" si="48"/>
        <v>1111.9000000000001</v>
      </c>
      <c r="G136" s="124">
        <f t="shared" si="48"/>
        <v>1291.5</v>
      </c>
      <c r="H136" s="124">
        <f t="shared" si="48"/>
        <v>1291.5</v>
      </c>
      <c r="I136" s="251">
        <f t="shared" si="22"/>
        <v>100</v>
      </c>
      <c r="J136" s="251">
        <f t="shared" si="23"/>
        <v>116.15253170249122</v>
      </c>
    </row>
    <row r="137" spans="1:10" x14ac:dyDescent="0.25">
      <c r="A137" s="103"/>
      <c r="B137" s="17"/>
      <c r="C137" s="99" t="s">
        <v>4</v>
      </c>
      <c r="D137" s="99"/>
      <c r="E137" s="111" t="s">
        <v>5</v>
      </c>
      <c r="F137" s="124">
        <f t="shared" si="48"/>
        <v>1111.9000000000001</v>
      </c>
      <c r="G137" s="124">
        <f t="shared" si="48"/>
        <v>1291.5</v>
      </c>
      <c r="H137" s="124">
        <f t="shared" si="48"/>
        <v>1291.5</v>
      </c>
      <c r="I137" s="251">
        <f t="shared" si="22"/>
        <v>100</v>
      </c>
      <c r="J137" s="251">
        <f t="shared" si="23"/>
        <v>116.15253170249122</v>
      </c>
    </row>
    <row r="138" spans="1:10" ht="25.5" x14ac:dyDescent="0.25">
      <c r="A138" s="106"/>
      <c r="B138" s="107"/>
      <c r="C138" s="108" t="s">
        <v>6</v>
      </c>
      <c r="D138" s="107"/>
      <c r="E138" s="109" t="s">
        <v>497</v>
      </c>
      <c r="F138" s="159">
        <f t="shared" si="48"/>
        <v>1111.9000000000001</v>
      </c>
      <c r="G138" s="159">
        <f t="shared" si="48"/>
        <v>1291.5</v>
      </c>
      <c r="H138" s="159">
        <f t="shared" si="48"/>
        <v>1291.5</v>
      </c>
      <c r="I138" s="257">
        <f t="shared" ref="I138:I203" si="49">H138/G138*100</f>
        <v>100</v>
      </c>
      <c r="J138" s="257">
        <f t="shared" ref="J138:J203" si="50">G138/F138*100</f>
        <v>116.15253170249122</v>
      </c>
    </row>
    <row r="139" spans="1:10" ht="38.25" x14ac:dyDescent="0.25">
      <c r="A139" s="126"/>
      <c r="B139" s="127"/>
      <c r="C139" s="128" t="s">
        <v>28</v>
      </c>
      <c r="D139" s="127"/>
      <c r="E139" s="129" t="s">
        <v>550</v>
      </c>
      <c r="F139" s="160">
        <f t="shared" si="48"/>
        <v>1111.9000000000001</v>
      </c>
      <c r="G139" s="160">
        <f t="shared" si="48"/>
        <v>1291.5</v>
      </c>
      <c r="H139" s="160">
        <f t="shared" si="48"/>
        <v>1291.5</v>
      </c>
      <c r="I139" s="258">
        <f t="shared" si="49"/>
        <v>100</v>
      </c>
      <c r="J139" s="258">
        <f t="shared" si="50"/>
        <v>116.15253170249122</v>
      </c>
    </row>
    <row r="140" spans="1:10" ht="25.5" x14ac:dyDescent="0.25">
      <c r="A140" s="130"/>
      <c r="B140" s="114"/>
      <c r="C140" s="113" t="s">
        <v>30</v>
      </c>
      <c r="D140" s="114"/>
      <c r="E140" s="115" t="s">
        <v>551</v>
      </c>
      <c r="F140" s="133">
        <f t="shared" si="48"/>
        <v>1111.9000000000001</v>
      </c>
      <c r="G140" s="133">
        <f t="shared" si="48"/>
        <v>1291.5</v>
      </c>
      <c r="H140" s="133">
        <f t="shared" si="48"/>
        <v>1291.5</v>
      </c>
      <c r="I140" s="254">
        <f t="shared" si="49"/>
        <v>100</v>
      </c>
      <c r="J140" s="254">
        <f t="shared" si="50"/>
        <v>116.15253170249122</v>
      </c>
    </row>
    <row r="141" spans="1:10" ht="26.25" x14ac:dyDescent="0.25">
      <c r="A141" s="6"/>
      <c r="B141" s="6"/>
      <c r="C141" s="6" t="s">
        <v>46</v>
      </c>
      <c r="D141" s="6"/>
      <c r="E141" s="3" t="s">
        <v>453</v>
      </c>
      <c r="F141" s="76">
        <f>SUM(F142+F143)</f>
        <v>1111.9000000000001</v>
      </c>
      <c r="G141" s="76">
        <f t="shared" ref="G141:H141" si="51">SUM(G142+G143)</f>
        <v>1291.5</v>
      </c>
      <c r="H141" s="76">
        <f t="shared" si="51"/>
        <v>1291.5</v>
      </c>
      <c r="I141" s="240">
        <f t="shared" si="49"/>
        <v>100</v>
      </c>
      <c r="J141" s="240">
        <f t="shared" si="50"/>
        <v>116.15253170249122</v>
      </c>
    </row>
    <row r="142" spans="1:10" ht="39" x14ac:dyDescent="0.25">
      <c r="A142" s="6"/>
      <c r="B142" s="6"/>
      <c r="C142" s="6"/>
      <c r="D142" s="6" t="s">
        <v>383</v>
      </c>
      <c r="E142" s="3" t="s">
        <v>384</v>
      </c>
      <c r="F142" s="76">
        <v>1098.5</v>
      </c>
      <c r="G142" s="264">
        <v>1219.56843</v>
      </c>
      <c r="H142" s="264">
        <v>1219.56843</v>
      </c>
      <c r="I142" s="240">
        <f t="shared" si="49"/>
        <v>100</v>
      </c>
      <c r="J142" s="240">
        <f t="shared" si="50"/>
        <v>111.02124988620847</v>
      </c>
    </row>
    <row r="143" spans="1:10" x14ac:dyDescent="0.25">
      <c r="A143" s="6"/>
      <c r="B143" s="6"/>
      <c r="C143" s="6"/>
      <c r="D143" s="6" t="s">
        <v>272</v>
      </c>
      <c r="E143" s="3" t="s">
        <v>273</v>
      </c>
      <c r="F143" s="76">
        <v>13.4</v>
      </c>
      <c r="G143" s="264">
        <v>71.931569999999994</v>
      </c>
      <c r="H143" s="264">
        <v>71.931569999999994</v>
      </c>
      <c r="I143" s="240">
        <f t="shared" si="49"/>
        <v>100</v>
      </c>
      <c r="J143" s="240">
        <f t="shared" si="50"/>
        <v>536.80276119402981</v>
      </c>
    </row>
    <row r="144" spans="1:10" x14ac:dyDescent="0.25">
      <c r="A144" s="103"/>
      <c r="B144" s="17" t="s">
        <v>552</v>
      </c>
      <c r="C144" s="104"/>
      <c r="D144" s="103"/>
      <c r="E144" s="98" t="s">
        <v>553</v>
      </c>
      <c r="F144" s="124">
        <f t="shared" ref="F144:H144" si="52">F145+F157+F172</f>
        <v>22351.599999999999</v>
      </c>
      <c r="G144" s="124">
        <f t="shared" si="52"/>
        <v>22351.600000000002</v>
      </c>
      <c r="H144" s="124">
        <f t="shared" si="52"/>
        <v>22340.581680000003</v>
      </c>
      <c r="I144" s="251">
        <f t="shared" si="49"/>
        <v>99.950704558062966</v>
      </c>
      <c r="J144" s="251">
        <f t="shared" si="50"/>
        <v>100.00000000000003</v>
      </c>
    </row>
    <row r="145" spans="1:10" ht="25.5" x14ac:dyDescent="0.25">
      <c r="A145" s="103"/>
      <c r="B145" s="17" t="s">
        <v>554</v>
      </c>
      <c r="C145" s="104"/>
      <c r="D145" s="17"/>
      <c r="E145" s="123" t="s">
        <v>555</v>
      </c>
      <c r="F145" s="124">
        <f t="shared" ref="F145:H147" si="53">F146</f>
        <v>17885.699999999997</v>
      </c>
      <c r="G145" s="124">
        <f t="shared" si="53"/>
        <v>17885.730000000003</v>
      </c>
      <c r="H145" s="124">
        <f t="shared" si="53"/>
        <v>17885.730000000003</v>
      </c>
      <c r="I145" s="251">
        <f t="shared" si="49"/>
        <v>100</v>
      </c>
      <c r="J145" s="251">
        <f t="shared" si="50"/>
        <v>100.00016773176338</v>
      </c>
    </row>
    <row r="146" spans="1:10" x14ac:dyDescent="0.25">
      <c r="A146" s="103"/>
      <c r="B146" s="17"/>
      <c r="C146" s="104" t="s">
        <v>4</v>
      </c>
      <c r="D146" s="103"/>
      <c r="E146" s="123" t="s">
        <v>5</v>
      </c>
      <c r="F146" s="124">
        <f t="shared" si="53"/>
        <v>17885.699999999997</v>
      </c>
      <c r="G146" s="124">
        <f t="shared" si="53"/>
        <v>17885.730000000003</v>
      </c>
      <c r="H146" s="124">
        <f t="shared" si="53"/>
        <v>17885.730000000003</v>
      </c>
      <c r="I146" s="251">
        <f t="shared" si="49"/>
        <v>100</v>
      </c>
      <c r="J146" s="251">
        <f t="shared" si="50"/>
        <v>100.00016773176338</v>
      </c>
    </row>
    <row r="147" spans="1:10" ht="38.25" x14ac:dyDescent="0.25">
      <c r="A147" s="106"/>
      <c r="B147" s="107"/>
      <c r="C147" s="108" t="s">
        <v>345</v>
      </c>
      <c r="D147" s="107"/>
      <c r="E147" s="109" t="s">
        <v>556</v>
      </c>
      <c r="F147" s="159">
        <f t="shared" si="53"/>
        <v>17885.699999999997</v>
      </c>
      <c r="G147" s="159">
        <f t="shared" si="53"/>
        <v>17885.730000000003</v>
      </c>
      <c r="H147" s="159">
        <f t="shared" si="53"/>
        <v>17885.730000000003</v>
      </c>
      <c r="I147" s="257">
        <f t="shared" si="49"/>
        <v>100</v>
      </c>
      <c r="J147" s="257">
        <f t="shared" si="50"/>
        <v>100.00016773176338</v>
      </c>
    </row>
    <row r="148" spans="1:10" ht="26.25" x14ac:dyDescent="0.25">
      <c r="A148" s="32"/>
      <c r="B148" s="32"/>
      <c r="C148" s="32" t="s">
        <v>347</v>
      </c>
      <c r="D148" s="32"/>
      <c r="E148" s="20" t="s">
        <v>348</v>
      </c>
      <c r="F148" s="68">
        <f>F149+F152+F154</f>
        <v>17885.699999999997</v>
      </c>
      <c r="G148" s="68">
        <f t="shared" ref="G148:H148" si="54">G149+G152+G154</f>
        <v>17885.730000000003</v>
      </c>
      <c r="H148" s="68">
        <f t="shared" si="54"/>
        <v>17885.730000000003</v>
      </c>
      <c r="I148" s="245">
        <f t="shared" si="49"/>
        <v>100</v>
      </c>
      <c r="J148" s="245">
        <f t="shared" si="50"/>
        <v>100.00016773176338</v>
      </c>
    </row>
    <row r="149" spans="1:10" x14ac:dyDescent="0.25">
      <c r="A149" s="6"/>
      <c r="B149" s="6"/>
      <c r="C149" s="6" t="s">
        <v>349</v>
      </c>
      <c r="D149" s="6"/>
      <c r="E149" s="1" t="s">
        <v>350</v>
      </c>
      <c r="F149" s="67">
        <f>SUM(F150)</f>
        <v>24.2</v>
      </c>
      <c r="G149" s="67">
        <f>SUM(G150+G151)</f>
        <v>37.9</v>
      </c>
      <c r="H149" s="67">
        <f>SUM(H150+H151)</f>
        <v>37.9</v>
      </c>
      <c r="I149" s="246">
        <f t="shared" si="49"/>
        <v>100</v>
      </c>
      <c r="J149" s="246">
        <f t="shared" si="50"/>
        <v>156.61157024793388</v>
      </c>
    </row>
    <row r="150" spans="1:10" x14ac:dyDescent="0.25">
      <c r="A150" s="6"/>
      <c r="B150" s="6"/>
      <c r="C150" s="6"/>
      <c r="D150" s="6" t="s">
        <v>272</v>
      </c>
      <c r="E150" s="3" t="s">
        <v>273</v>
      </c>
      <c r="F150" s="67">
        <v>24.2</v>
      </c>
      <c r="G150" s="264">
        <v>35.299999999999997</v>
      </c>
      <c r="H150" s="264">
        <v>35.299999999999997</v>
      </c>
      <c r="I150" s="246">
        <f t="shared" si="49"/>
        <v>100</v>
      </c>
      <c r="J150" s="246">
        <f t="shared" si="50"/>
        <v>145.86776859504133</v>
      </c>
    </row>
    <row r="151" spans="1:10" x14ac:dyDescent="0.25">
      <c r="A151" s="6"/>
      <c r="B151" s="6"/>
      <c r="C151" s="6"/>
      <c r="D151" s="16" t="s">
        <v>390</v>
      </c>
      <c r="E151" s="7" t="s">
        <v>391</v>
      </c>
      <c r="F151" s="67"/>
      <c r="G151" s="264">
        <v>2.6</v>
      </c>
      <c r="H151" s="264">
        <v>2.6</v>
      </c>
      <c r="I151" s="246">
        <f t="shared" si="49"/>
        <v>100</v>
      </c>
      <c r="J151" s="246"/>
    </row>
    <row r="152" spans="1:10" ht="39" x14ac:dyDescent="0.25">
      <c r="A152" s="6"/>
      <c r="B152" s="6"/>
      <c r="C152" s="6" t="s">
        <v>351</v>
      </c>
      <c r="D152" s="6"/>
      <c r="E152" s="8" t="s">
        <v>352</v>
      </c>
      <c r="F152" s="67">
        <f>F153</f>
        <v>120.39999999999991</v>
      </c>
      <c r="G152" s="67">
        <f t="shared" ref="G152:H152" si="55">G153</f>
        <v>106.73</v>
      </c>
      <c r="H152" s="67">
        <f t="shared" si="55"/>
        <v>106.73</v>
      </c>
      <c r="I152" s="246">
        <f t="shared" si="49"/>
        <v>100</v>
      </c>
      <c r="J152" s="246">
        <f t="shared" si="50"/>
        <v>88.646179401993436</v>
      </c>
    </row>
    <row r="153" spans="1:10" x14ac:dyDescent="0.25">
      <c r="A153" s="6"/>
      <c r="B153" s="6"/>
      <c r="C153" s="6"/>
      <c r="D153" s="6" t="s">
        <v>272</v>
      </c>
      <c r="E153" s="3" t="s">
        <v>273</v>
      </c>
      <c r="F153" s="67">
        <f>815.3-674.7-20.2</f>
        <v>120.39999999999991</v>
      </c>
      <c r="G153" s="264">
        <v>106.73</v>
      </c>
      <c r="H153" s="264">
        <v>106.73</v>
      </c>
      <c r="I153" s="246">
        <f t="shared" si="49"/>
        <v>100</v>
      </c>
      <c r="J153" s="246">
        <f t="shared" si="50"/>
        <v>88.646179401993436</v>
      </c>
    </row>
    <row r="154" spans="1:10" x14ac:dyDescent="0.25">
      <c r="A154" s="6"/>
      <c r="B154" s="6"/>
      <c r="C154" s="6" t="s">
        <v>353</v>
      </c>
      <c r="D154" s="6"/>
      <c r="E154" s="56" t="s">
        <v>460</v>
      </c>
      <c r="F154" s="67">
        <f>F155+F156</f>
        <v>17741.099999999999</v>
      </c>
      <c r="G154" s="67">
        <f t="shared" ref="G154:H154" si="56">G155+G156</f>
        <v>17741.100000000002</v>
      </c>
      <c r="H154" s="67">
        <f t="shared" si="56"/>
        <v>17741.100000000002</v>
      </c>
      <c r="I154" s="246">
        <f t="shared" si="49"/>
        <v>100</v>
      </c>
      <c r="J154" s="246">
        <f t="shared" si="50"/>
        <v>100.00000000000003</v>
      </c>
    </row>
    <row r="155" spans="1:10" ht="39" x14ac:dyDescent="0.25">
      <c r="A155" s="6"/>
      <c r="B155" s="6"/>
      <c r="C155" s="6"/>
      <c r="D155" s="6" t="s">
        <v>383</v>
      </c>
      <c r="E155" s="3" t="s">
        <v>384</v>
      </c>
      <c r="F155" s="76">
        <v>16220.5</v>
      </c>
      <c r="G155" s="264">
        <v>16466.478910000002</v>
      </c>
      <c r="H155" s="264">
        <v>16466.478910000002</v>
      </c>
      <c r="I155" s="240">
        <f t="shared" si="49"/>
        <v>100</v>
      </c>
      <c r="J155" s="240">
        <f t="shared" si="50"/>
        <v>101.51646934434821</v>
      </c>
    </row>
    <row r="156" spans="1:10" x14ac:dyDescent="0.25">
      <c r="A156" s="6"/>
      <c r="B156" s="6"/>
      <c r="C156" s="6"/>
      <c r="D156" s="6" t="s">
        <v>272</v>
      </c>
      <c r="E156" s="3" t="s">
        <v>273</v>
      </c>
      <c r="F156" s="67">
        <v>1520.6</v>
      </c>
      <c r="G156" s="264">
        <v>1274.6210900000001</v>
      </c>
      <c r="H156" s="264">
        <v>1274.6210900000001</v>
      </c>
      <c r="I156" s="246">
        <f t="shared" si="49"/>
        <v>100</v>
      </c>
      <c r="J156" s="246">
        <f t="shared" si="50"/>
        <v>83.823562409575175</v>
      </c>
    </row>
    <row r="157" spans="1:10" x14ac:dyDescent="0.25">
      <c r="A157" s="6"/>
      <c r="B157" s="17" t="s">
        <v>557</v>
      </c>
      <c r="C157" s="104"/>
      <c r="D157" s="17"/>
      <c r="E157" s="98" t="s">
        <v>558</v>
      </c>
      <c r="F157" s="71">
        <f t="shared" ref="F157:H159" si="57">F158</f>
        <v>3391.4999999999995</v>
      </c>
      <c r="G157" s="71">
        <f t="shared" si="57"/>
        <v>3391.49</v>
      </c>
      <c r="H157" s="71">
        <f t="shared" si="57"/>
        <v>3391.4896799999997</v>
      </c>
      <c r="I157" s="247">
        <f t="shared" si="49"/>
        <v>99.999990564619097</v>
      </c>
      <c r="J157" s="247">
        <f t="shared" si="50"/>
        <v>99.999705145215984</v>
      </c>
    </row>
    <row r="158" spans="1:10" x14ac:dyDescent="0.25">
      <c r="A158" s="6"/>
      <c r="B158" s="16"/>
      <c r="C158" s="104" t="s">
        <v>4</v>
      </c>
      <c r="D158" s="103"/>
      <c r="E158" s="123" t="s">
        <v>559</v>
      </c>
      <c r="F158" s="71">
        <f t="shared" si="57"/>
        <v>3391.4999999999995</v>
      </c>
      <c r="G158" s="71">
        <f t="shared" si="57"/>
        <v>3391.49</v>
      </c>
      <c r="H158" s="71">
        <f t="shared" si="57"/>
        <v>3391.4896799999997</v>
      </c>
      <c r="I158" s="247">
        <f t="shared" si="49"/>
        <v>99.999990564619097</v>
      </c>
      <c r="J158" s="247">
        <f t="shared" si="50"/>
        <v>99.999705145215984</v>
      </c>
    </row>
    <row r="159" spans="1:10" ht="38.25" x14ac:dyDescent="0.25">
      <c r="A159" s="107"/>
      <c r="B159" s="107"/>
      <c r="C159" s="108" t="s">
        <v>345</v>
      </c>
      <c r="D159" s="107"/>
      <c r="E159" s="109" t="s">
        <v>346</v>
      </c>
      <c r="F159" s="159">
        <f t="shared" si="57"/>
        <v>3391.4999999999995</v>
      </c>
      <c r="G159" s="159">
        <f t="shared" si="57"/>
        <v>3391.49</v>
      </c>
      <c r="H159" s="159">
        <f t="shared" si="57"/>
        <v>3391.4896799999997</v>
      </c>
      <c r="I159" s="257">
        <f t="shared" si="49"/>
        <v>99.999990564619097</v>
      </c>
      <c r="J159" s="257">
        <f t="shared" si="50"/>
        <v>99.999705145215984</v>
      </c>
    </row>
    <row r="160" spans="1:10" ht="26.25" x14ac:dyDescent="0.25">
      <c r="A160" s="32"/>
      <c r="B160" s="32"/>
      <c r="C160" s="32" t="s">
        <v>354</v>
      </c>
      <c r="D160" s="32"/>
      <c r="E160" s="20" t="s">
        <v>355</v>
      </c>
      <c r="F160" s="68">
        <f>F161+F163+F169+F166</f>
        <v>3391.4999999999995</v>
      </c>
      <c r="G160" s="68">
        <f t="shared" ref="G160:H160" si="58">G161+G163+G169+G166</f>
        <v>3391.49</v>
      </c>
      <c r="H160" s="68">
        <f t="shared" si="58"/>
        <v>3391.4896799999997</v>
      </c>
      <c r="I160" s="245">
        <f t="shared" si="49"/>
        <v>99.999990564619097</v>
      </c>
      <c r="J160" s="245">
        <f t="shared" si="50"/>
        <v>99.999705145215984</v>
      </c>
    </row>
    <row r="161" spans="1:10" x14ac:dyDescent="0.25">
      <c r="A161" s="6"/>
      <c r="B161" s="6"/>
      <c r="C161" s="6" t="s">
        <v>356</v>
      </c>
      <c r="D161" s="6"/>
      <c r="E161" s="52" t="s">
        <v>650</v>
      </c>
      <c r="F161" s="67">
        <f>F162</f>
        <v>110.29999999999973</v>
      </c>
      <c r="G161" s="67">
        <f t="shared" ref="G161:H161" si="59">G162</f>
        <v>110.19655</v>
      </c>
      <c r="H161" s="67">
        <f t="shared" si="59"/>
        <v>110.19655</v>
      </c>
      <c r="I161" s="246">
        <f t="shared" si="49"/>
        <v>100</v>
      </c>
      <c r="J161" s="246">
        <f t="shared" si="50"/>
        <v>99.906210335449032</v>
      </c>
    </row>
    <row r="162" spans="1:10" x14ac:dyDescent="0.25">
      <c r="A162" s="6"/>
      <c r="B162" s="6"/>
      <c r="C162" s="6"/>
      <c r="D162" s="6" t="s">
        <v>272</v>
      </c>
      <c r="E162" s="3" t="s">
        <v>273</v>
      </c>
      <c r="F162" s="67">
        <f>4060.2-3949.9</f>
        <v>110.29999999999973</v>
      </c>
      <c r="G162" s="264">
        <v>110.19655</v>
      </c>
      <c r="H162" s="264">
        <v>110.19655</v>
      </c>
      <c r="I162" s="246">
        <f t="shared" si="49"/>
        <v>100</v>
      </c>
      <c r="J162" s="246">
        <f t="shared" si="50"/>
        <v>99.906210335449032</v>
      </c>
    </row>
    <row r="163" spans="1:10" ht="26.25" x14ac:dyDescent="0.25">
      <c r="A163" s="6"/>
      <c r="B163" s="6"/>
      <c r="C163" s="6" t="s">
        <v>357</v>
      </c>
      <c r="D163" s="6"/>
      <c r="E163" s="53" t="s">
        <v>727</v>
      </c>
      <c r="F163" s="67">
        <f>F164+F165</f>
        <v>981.49999999999977</v>
      </c>
      <c r="G163" s="67">
        <f t="shared" ref="G163:H163" si="60">G164+G165</f>
        <v>981.47766999999999</v>
      </c>
      <c r="H163" s="67">
        <f t="shared" si="60"/>
        <v>981.47735</v>
      </c>
      <c r="I163" s="246">
        <f t="shared" si="49"/>
        <v>99.999967396099805</v>
      </c>
      <c r="J163" s="246">
        <f t="shared" si="50"/>
        <v>99.997724910850764</v>
      </c>
    </row>
    <row r="164" spans="1:10" x14ac:dyDescent="0.25">
      <c r="A164" s="6"/>
      <c r="B164" s="6"/>
      <c r="C164" s="6"/>
      <c r="D164" s="6" t="s">
        <v>272</v>
      </c>
      <c r="E164" s="3" t="s">
        <v>273</v>
      </c>
      <c r="F164" s="67">
        <f>2792.1-1844.9</f>
        <v>947.19999999999982</v>
      </c>
      <c r="G164" s="264">
        <v>947.17767000000003</v>
      </c>
      <c r="H164" s="264">
        <v>947.17735000000005</v>
      </c>
      <c r="I164" s="246">
        <f t="shared" si="49"/>
        <v>99.999966215419761</v>
      </c>
      <c r="J164" s="246">
        <f t="shared" si="50"/>
        <v>99.997642525337866</v>
      </c>
    </row>
    <row r="165" spans="1:10" ht="26.25" x14ac:dyDescent="0.25">
      <c r="A165" s="6"/>
      <c r="B165" s="6"/>
      <c r="C165" s="6"/>
      <c r="D165" s="6" t="s">
        <v>449</v>
      </c>
      <c r="E165" s="3" t="s">
        <v>450</v>
      </c>
      <c r="F165" s="67">
        <v>34.299999999999997</v>
      </c>
      <c r="G165" s="264">
        <v>34.299999999999997</v>
      </c>
      <c r="H165" s="264">
        <v>34.299999999999997</v>
      </c>
      <c r="I165" s="246">
        <f t="shared" si="49"/>
        <v>100</v>
      </c>
      <c r="J165" s="246">
        <f t="shared" si="50"/>
        <v>100</v>
      </c>
    </row>
    <row r="166" spans="1:10" ht="26.25" x14ac:dyDescent="0.25">
      <c r="A166" s="6"/>
      <c r="B166" s="6"/>
      <c r="C166" s="6" t="s">
        <v>358</v>
      </c>
      <c r="D166" s="6"/>
      <c r="E166" s="3" t="s">
        <v>359</v>
      </c>
      <c r="F166" s="67">
        <f>F167</f>
        <v>1781.6</v>
      </c>
      <c r="G166" s="67">
        <f>G167+G168</f>
        <v>1781.7287799999999</v>
      </c>
      <c r="H166" s="67">
        <f>H167+H168</f>
        <v>1781.7287799999999</v>
      </c>
      <c r="I166" s="246">
        <f t="shared" si="49"/>
        <v>100</v>
      </c>
      <c r="J166" s="246">
        <f t="shared" si="50"/>
        <v>100.00722833408173</v>
      </c>
    </row>
    <row r="167" spans="1:10" x14ac:dyDescent="0.25">
      <c r="A167" s="6"/>
      <c r="B167" s="6"/>
      <c r="C167" s="6"/>
      <c r="D167" s="6" t="s">
        <v>272</v>
      </c>
      <c r="E167" s="3" t="s">
        <v>273</v>
      </c>
      <c r="F167" s="67">
        <f>1785-3.4</f>
        <v>1781.6</v>
      </c>
      <c r="G167" s="264">
        <v>1026.7287799999999</v>
      </c>
      <c r="H167" s="264">
        <v>1026.7287799999999</v>
      </c>
      <c r="I167" s="246">
        <f t="shared" si="49"/>
        <v>100</v>
      </c>
      <c r="J167" s="246">
        <f t="shared" si="50"/>
        <v>57.629590255949701</v>
      </c>
    </row>
    <row r="168" spans="1:10" x14ac:dyDescent="0.25">
      <c r="A168" s="6"/>
      <c r="B168" s="6"/>
      <c r="C168" s="6"/>
      <c r="D168" s="16" t="s">
        <v>390</v>
      </c>
      <c r="E168" s="7" t="s">
        <v>391</v>
      </c>
      <c r="F168" s="67"/>
      <c r="G168" s="264">
        <v>755</v>
      </c>
      <c r="H168" s="264">
        <v>755</v>
      </c>
      <c r="I168" s="246">
        <f t="shared" si="49"/>
        <v>100</v>
      </c>
      <c r="J168" s="246"/>
    </row>
    <row r="169" spans="1:10" ht="26.25" x14ac:dyDescent="0.25">
      <c r="A169" s="6"/>
      <c r="B169" s="6"/>
      <c r="C169" s="6" t="s">
        <v>360</v>
      </c>
      <c r="D169" s="6"/>
      <c r="E169" s="64" t="s">
        <v>448</v>
      </c>
      <c r="F169" s="67">
        <f>SUM(F171)</f>
        <v>518.1</v>
      </c>
      <c r="G169" s="67">
        <f>G170</f>
        <v>518.08699999999999</v>
      </c>
      <c r="H169" s="67">
        <f>H170</f>
        <v>518.08699999999999</v>
      </c>
      <c r="I169" s="246">
        <f t="shared" si="49"/>
        <v>100</v>
      </c>
      <c r="J169" s="246">
        <f t="shared" si="50"/>
        <v>99.997490831885727</v>
      </c>
    </row>
    <row r="170" spans="1:10" ht="39" x14ac:dyDescent="0.25">
      <c r="A170" s="6"/>
      <c r="B170" s="6"/>
      <c r="C170" s="6"/>
      <c r="D170" s="6" t="s">
        <v>383</v>
      </c>
      <c r="E170" s="3" t="s">
        <v>384</v>
      </c>
      <c r="F170" s="67"/>
      <c r="G170" s="264">
        <v>518.08699999999999</v>
      </c>
      <c r="H170" s="264">
        <v>518.08699999999999</v>
      </c>
      <c r="I170" s="246"/>
      <c r="J170" s="246"/>
    </row>
    <row r="171" spans="1:10" x14ac:dyDescent="0.25">
      <c r="A171" s="6"/>
      <c r="B171" s="6"/>
      <c r="C171" s="6"/>
      <c r="D171" s="6" t="s">
        <v>272</v>
      </c>
      <c r="E171" s="3" t="s">
        <v>273</v>
      </c>
      <c r="F171" s="67">
        <v>518.1</v>
      </c>
      <c r="G171" s="264"/>
      <c r="H171" s="264"/>
      <c r="I171" s="246" t="e">
        <f t="shared" si="49"/>
        <v>#DIV/0!</v>
      </c>
      <c r="J171" s="246">
        <f t="shared" si="50"/>
        <v>0</v>
      </c>
    </row>
    <row r="172" spans="1:10" ht="25.5" x14ac:dyDescent="0.25">
      <c r="A172" s="6"/>
      <c r="B172" s="17" t="s">
        <v>560</v>
      </c>
      <c r="C172" s="104"/>
      <c r="D172" s="17"/>
      <c r="E172" s="123" t="s">
        <v>561</v>
      </c>
      <c r="F172" s="71">
        <f t="shared" ref="F172:H172" si="61">F173</f>
        <v>1074.3999999999999</v>
      </c>
      <c r="G172" s="71">
        <f t="shared" si="61"/>
        <v>1074.3799999999999</v>
      </c>
      <c r="H172" s="71">
        <f t="shared" si="61"/>
        <v>1063.3620000000001</v>
      </c>
      <c r="I172" s="247">
        <f t="shared" si="49"/>
        <v>98.974478303765906</v>
      </c>
      <c r="J172" s="247">
        <f t="shared" si="50"/>
        <v>99.998138495904698</v>
      </c>
    </row>
    <row r="173" spans="1:10" x14ac:dyDescent="0.25">
      <c r="A173" s="6"/>
      <c r="B173" s="17"/>
      <c r="C173" s="104" t="s">
        <v>4</v>
      </c>
      <c r="D173" s="103"/>
      <c r="E173" s="123" t="s">
        <v>5</v>
      </c>
      <c r="F173" s="71">
        <f t="shared" ref="F173:H173" si="62">F174+F196</f>
        <v>1074.3999999999999</v>
      </c>
      <c r="G173" s="71">
        <f t="shared" si="62"/>
        <v>1074.3799999999999</v>
      </c>
      <c r="H173" s="71">
        <f t="shared" si="62"/>
        <v>1063.3620000000001</v>
      </c>
      <c r="I173" s="247">
        <f t="shared" si="49"/>
        <v>98.974478303765906</v>
      </c>
      <c r="J173" s="247">
        <f t="shared" si="50"/>
        <v>99.998138495904698</v>
      </c>
    </row>
    <row r="174" spans="1:10" ht="25.5" x14ac:dyDescent="0.25">
      <c r="A174" s="107"/>
      <c r="B174" s="107"/>
      <c r="C174" s="108" t="s">
        <v>258</v>
      </c>
      <c r="D174" s="107"/>
      <c r="E174" s="109" t="s">
        <v>259</v>
      </c>
      <c r="F174" s="159">
        <f t="shared" ref="F174:H174" si="63">F175+F181</f>
        <v>905.59999999999991</v>
      </c>
      <c r="G174" s="159">
        <f t="shared" si="63"/>
        <v>905.59999999999991</v>
      </c>
      <c r="H174" s="159">
        <f t="shared" si="63"/>
        <v>894.58199999999999</v>
      </c>
      <c r="I174" s="257">
        <f t="shared" si="49"/>
        <v>98.783348056537108</v>
      </c>
      <c r="J174" s="257">
        <f t="shared" si="50"/>
        <v>100</v>
      </c>
    </row>
    <row r="175" spans="1:10" ht="26.25" x14ac:dyDescent="0.25">
      <c r="A175" s="30"/>
      <c r="B175" s="30"/>
      <c r="C175" s="30" t="s">
        <v>260</v>
      </c>
      <c r="D175" s="30"/>
      <c r="E175" s="31" t="s">
        <v>261</v>
      </c>
      <c r="F175" s="72">
        <f>F176</f>
        <v>474.4</v>
      </c>
      <c r="G175" s="72">
        <f t="shared" ref="G175:H175" si="64">G176</f>
        <v>474.4</v>
      </c>
      <c r="H175" s="72">
        <f t="shared" si="64"/>
        <v>474.36399999999998</v>
      </c>
      <c r="I175" s="244">
        <f t="shared" si="49"/>
        <v>99.992411467116355</v>
      </c>
      <c r="J175" s="244">
        <f t="shared" si="50"/>
        <v>100</v>
      </c>
    </row>
    <row r="176" spans="1:10" ht="26.25" x14ac:dyDescent="0.25">
      <c r="A176" s="32"/>
      <c r="B176" s="32"/>
      <c r="C176" s="32" t="s">
        <v>262</v>
      </c>
      <c r="D176" s="35"/>
      <c r="E176" s="33" t="s">
        <v>263</v>
      </c>
      <c r="F176" s="68">
        <f>F177+F179</f>
        <v>474.4</v>
      </c>
      <c r="G176" s="68">
        <f t="shared" ref="G176:H176" si="65">G177+G179</f>
        <v>474.4</v>
      </c>
      <c r="H176" s="68">
        <f t="shared" si="65"/>
        <v>474.36399999999998</v>
      </c>
      <c r="I176" s="245">
        <f t="shared" si="49"/>
        <v>99.992411467116355</v>
      </c>
      <c r="J176" s="245">
        <f t="shared" si="50"/>
        <v>100</v>
      </c>
    </row>
    <row r="177" spans="1:10" ht="39" x14ac:dyDescent="0.25">
      <c r="A177" s="6"/>
      <c r="B177" s="6"/>
      <c r="C177" s="6" t="s">
        <v>264</v>
      </c>
      <c r="D177" s="6"/>
      <c r="E177" s="3" t="s">
        <v>265</v>
      </c>
      <c r="F177" s="67">
        <f>F178</f>
        <v>3.5</v>
      </c>
      <c r="G177" s="67">
        <f t="shared" ref="G177:H177" si="66">G178</f>
        <v>3.5</v>
      </c>
      <c r="H177" s="67">
        <f t="shared" si="66"/>
        <v>3.5</v>
      </c>
      <c r="I177" s="246">
        <f t="shared" si="49"/>
        <v>100</v>
      </c>
      <c r="J177" s="246">
        <f t="shared" si="50"/>
        <v>100</v>
      </c>
    </row>
    <row r="178" spans="1:10" x14ac:dyDescent="0.25">
      <c r="A178" s="6"/>
      <c r="B178" s="6"/>
      <c r="C178" s="6"/>
      <c r="D178" s="6" t="s">
        <v>272</v>
      </c>
      <c r="E178" s="3" t="s">
        <v>273</v>
      </c>
      <c r="F178" s="67">
        <v>3.5</v>
      </c>
      <c r="G178" s="67">
        <v>3.5</v>
      </c>
      <c r="H178" s="67">
        <v>3.5</v>
      </c>
      <c r="I178" s="246">
        <f t="shared" si="49"/>
        <v>100</v>
      </c>
      <c r="J178" s="246">
        <f t="shared" si="50"/>
        <v>100</v>
      </c>
    </row>
    <row r="179" spans="1:10" ht="39" x14ac:dyDescent="0.25">
      <c r="A179" s="6"/>
      <c r="B179" s="6"/>
      <c r="C179" s="6" t="s">
        <v>266</v>
      </c>
      <c r="D179" s="6"/>
      <c r="E179" s="3" t="s">
        <v>267</v>
      </c>
      <c r="F179" s="67">
        <f>F180</f>
        <v>470.9</v>
      </c>
      <c r="G179" s="67">
        <f t="shared" ref="G179:H179" si="67">G180</f>
        <v>470.9</v>
      </c>
      <c r="H179" s="67">
        <f t="shared" si="67"/>
        <v>470.86399999999998</v>
      </c>
      <c r="I179" s="246">
        <f t="shared" si="49"/>
        <v>99.992355064769583</v>
      </c>
      <c r="J179" s="246">
        <f t="shared" si="50"/>
        <v>100</v>
      </c>
    </row>
    <row r="180" spans="1:10" x14ac:dyDescent="0.25">
      <c r="A180" s="6"/>
      <c r="B180" s="6"/>
      <c r="C180" s="6"/>
      <c r="D180" s="6" t="s">
        <v>272</v>
      </c>
      <c r="E180" s="3" t="s">
        <v>273</v>
      </c>
      <c r="F180" s="67">
        <v>470.9</v>
      </c>
      <c r="G180" s="67">
        <v>470.9</v>
      </c>
      <c r="H180" s="264">
        <v>470.86399999999998</v>
      </c>
      <c r="I180" s="246">
        <f t="shared" si="49"/>
        <v>99.992355064769583</v>
      </c>
      <c r="J180" s="246">
        <f t="shared" si="50"/>
        <v>100</v>
      </c>
    </row>
    <row r="181" spans="1:10" ht="26.25" x14ac:dyDescent="0.25">
      <c r="A181" s="30"/>
      <c r="B181" s="30"/>
      <c r="C181" s="30" t="s">
        <v>268</v>
      </c>
      <c r="D181" s="30"/>
      <c r="E181" s="31" t="s">
        <v>269</v>
      </c>
      <c r="F181" s="72">
        <f t="shared" ref="F181:H181" si="68">F182</f>
        <v>431.2</v>
      </c>
      <c r="G181" s="72">
        <f t="shared" si="68"/>
        <v>431.2</v>
      </c>
      <c r="H181" s="72">
        <f t="shared" si="68"/>
        <v>420.21800000000002</v>
      </c>
      <c r="I181" s="244">
        <f t="shared" si="49"/>
        <v>97.45315398886828</v>
      </c>
      <c r="J181" s="244">
        <f t="shared" si="50"/>
        <v>100</v>
      </c>
    </row>
    <row r="182" spans="1:10" ht="26.25" x14ac:dyDescent="0.25">
      <c r="A182" s="32"/>
      <c r="B182" s="32"/>
      <c r="C182" s="32" t="s">
        <v>425</v>
      </c>
      <c r="D182" s="35"/>
      <c r="E182" s="33" t="s">
        <v>270</v>
      </c>
      <c r="F182" s="68">
        <f t="shared" ref="F182:H182" si="69">F183+F193+F190</f>
        <v>431.2</v>
      </c>
      <c r="G182" s="68">
        <f t="shared" si="69"/>
        <v>431.2</v>
      </c>
      <c r="H182" s="68">
        <f t="shared" si="69"/>
        <v>420.21800000000002</v>
      </c>
      <c r="I182" s="245">
        <f t="shared" si="49"/>
        <v>97.45315398886828</v>
      </c>
      <c r="J182" s="245">
        <f t="shared" si="50"/>
        <v>100</v>
      </c>
    </row>
    <row r="183" spans="1:10" ht="26.25" x14ac:dyDescent="0.25">
      <c r="A183" s="94"/>
      <c r="B183" s="94"/>
      <c r="C183" s="6" t="s">
        <v>424</v>
      </c>
      <c r="D183" s="6"/>
      <c r="E183" s="44" t="s">
        <v>271</v>
      </c>
      <c r="F183" s="67">
        <f>F189+F188</f>
        <v>342.9</v>
      </c>
      <c r="G183" s="67">
        <f>G184+G187</f>
        <v>342.9</v>
      </c>
      <c r="H183" s="67">
        <f>H184+H187</f>
        <v>331.95800000000003</v>
      </c>
      <c r="I183" s="246">
        <f t="shared" si="49"/>
        <v>96.808982210557019</v>
      </c>
      <c r="J183" s="246">
        <f t="shared" si="50"/>
        <v>100</v>
      </c>
    </row>
    <row r="184" spans="1:10" ht="39" x14ac:dyDescent="0.25">
      <c r="A184" s="94"/>
      <c r="B184" s="94"/>
      <c r="C184" s="6"/>
      <c r="D184" s="6" t="s">
        <v>383</v>
      </c>
      <c r="E184" s="3" t="s">
        <v>384</v>
      </c>
      <c r="F184" s="67"/>
      <c r="G184" s="67">
        <f>G185+G186</f>
        <v>322.89999999999998</v>
      </c>
      <c r="H184" s="67">
        <f>H185+H186</f>
        <v>312.22500000000002</v>
      </c>
      <c r="I184" s="246">
        <f t="shared" si="49"/>
        <v>96.694022917311869</v>
      </c>
      <c r="J184" s="246"/>
    </row>
    <row r="185" spans="1:10" x14ac:dyDescent="0.25">
      <c r="A185" s="94"/>
      <c r="B185" s="94"/>
      <c r="C185" s="6"/>
      <c r="D185" s="6"/>
      <c r="E185" s="3" t="s">
        <v>149</v>
      </c>
      <c r="F185" s="67"/>
      <c r="G185" s="67">
        <v>114.1</v>
      </c>
      <c r="H185" s="67">
        <v>111.855</v>
      </c>
      <c r="I185" s="246">
        <f t="shared" si="49"/>
        <v>98.032427695004387</v>
      </c>
      <c r="J185" s="246"/>
    </row>
    <row r="186" spans="1:10" x14ac:dyDescent="0.25">
      <c r="A186" s="94"/>
      <c r="B186" s="94"/>
      <c r="C186" s="6"/>
      <c r="D186" s="6"/>
      <c r="E186" s="3" t="s">
        <v>102</v>
      </c>
      <c r="F186" s="67"/>
      <c r="G186" s="67">
        <v>208.8</v>
      </c>
      <c r="H186" s="67">
        <v>200.37</v>
      </c>
      <c r="I186" s="246">
        <f t="shared" si="49"/>
        <v>95.962643678160916</v>
      </c>
      <c r="J186" s="246"/>
    </row>
    <row r="187" spans="1:10" x14ac:dyDescent="0.25">
      <c r="A187" s="94"/>
      <c r="B187" s="94"/>
      <c r="C187" s="6"/>
      <c r="D187" s="6" t="s">
        <v>272</v>
      </c>
      <c r="E187" s="3" t="s">
        <v>273</v>
      </c>
      <c r="F187" s="67">
        <f>SUM(F188:F189)</f>
        <v>342.9</v>
      </c>
      <c r="G187" s="67">
        <f t="shared" ref="G187:H187" si="70">SUM(G188:G189)</f>
        <v>20</v>
      </c>
      <c r="H187" s="67">
        <f t="shared" si="70"/>
        <v>19.733000000000001</v>
      </c>
      <c r="I187" s="246">
        <f t="shared" si="49"/>
        <v>98.665000000000006</v>
      </c>
      <c r="J187" s="246">
        <f t="shared" si="50"/>
        <v>5.8326042578011084</v>
      </c>
    </row>
    <row r="188" spans="1:10" x14ac:dyDescent="0.25">
      <c r="A188" s="94"/>
      <c r="B188" s="94"/>
      <c r="C188" s="6"/>
      <c r="D188" s="6"/>
      <c r="E188" s="3" t="s">
        <v>149</v>
      </c>
      <c r="F188" s="67">
        <v>114.1</v>
      </c>
      <c r="G188" s="67"/>
      <c r="H188" s="67"/>
      <c r="I188" s="246"/>
      <c r="J188" s="246">
        <f t="shared" si="50"/>
        <v>0</v>
      </c>
    </row>
    <row r="189" spans="1:10" x14ac:dyDescent="0.25">
      <c r="A189" s="94"/>
      <c r="B189" s="94"/>
      <c r="C189" s="6"/>
      <c r="D189" s="6"/>
      <c r="E189" s="3" t="s">
        <v>102</v>
      </c>
      <c r="F189" s="67">
        <v>228.8</v>
      </c>
      <c r="G189" s="67">
        <v>20</v>
      </c>
      <c r="H189" s="67">
        <v>19.733000000000001</v>
      </c>
      <c r="I189" s="246">
        <f t="shared" si="49"/>
        <v>98.665000000000006</v>
      </c>
      <c r="J189" s="246">
        <f t="shared" si="50"/>
        <v>8.7412587412587417</v>
      </c>
    </row>
    <row r="190" spans="1:10" ht="39" x14ac:dyDescent="0.25">
      <c r="A190" s="94"/>
      <c r="B190" s="94"/>
      <c r="C190" s="6" t="s">
        <v>426</v>
      </c>
      <c r="D190" s="6"/>
      <c r="E190" s="3" t="s">
        <v>456</v>
      </c>
      <c r="F190" s="77">
        <f>F191+F192</f>
        <v>68.3</v>
      </c>
      <c r="G190" s="77">
        <f t="shared" ref="G190:H190" si="71">G191+G192</f>
        <v>68.3</v>
      </c>
      <c r="H190" s="77">
        <f t="shared" si="71"/>
        <v>68.260000000000005</v>
      </c>
      <c r="I190" s="248">
        <f t="shared" si="49"/>
        <v>99.941434846266489</v>
      </c>
      <c r="J190" s="248">
        <f t="shared" si="50"/>
        <v>100</v>
      </c>
    </row>
    <row r="191" spans="1:10" x14ac:dyDescent="0.25">
      <c r="A191" s="94"/>
      <c r="B191" s="94"/>
      <c r="C191" s="6"/>
      <c r="D191" s="6" t="s">
        <v>272</v>
      </c>
      <c r="E191" s="3" t="s">
        <v>273</v>
      </c>
      <c r="F191" s="77">
        <v>64.5</v>
      </c>
      <c r="G191" s="264">
        <v>68.3</v>
      </c>
      <c r="H191" s="264">
        <v>68.260000000000005</v>
      </c>
      <c r="I191" s="248">
        <f t="shared" si="49"/>
        <v>99.941434846266489</v>
      </c>
      <c r="J191" s="248">
        <f t="shared" si="50"/>
        <v>105.89147286821705</v>
      </c>
    </row>
    <row r="192" spans="1:10" ht="26.25" x14ac:dyDescent="0.25">
      <c r="A192" s="94"/>
      <c r="B192" s="94"/>
      <c r="C192" s="6"/>
      <c r="D192" s="6" t="s">
        <v>449</v>
      </c>
      <c r="E192" s="3" t="s">
        <v>450</v>
      </c>
      <c r="F192" s="77">
        <v>3.8</v>
      </c>
      <c r="G192" s="77"/>
      <c r="H192" s="77"/>
      <c r="I192" s="248"/>
      <c r="J192" s="248">
        <f t="shared" si="50"/>
        <v>0</v>
      </c>
    </row>
    <row r="193" spans="1:10" x14ac:dyDescent="0.25">
      <c r="A193" s="94"/>
      <c r="B193" s="94"/>
      <c r="C193" s="6" t="s">
        <v>427</v>
      </c>
      <c r="D193" s="6"/>
      <c r="E193" s="3" t="s">
        <v>457</v>
      </c>
      <c r="F193" s="77">
        <f>F195</f>
        <v>20</v>
      </c>
      <c r="G193" s="77">
        <v>20</v>
      </c>
      <c r="H193" s="77">
        <v>20</v>
      </c>
      <c r="I193" s="248">
        <f t="shared" si="49"/>
        <v>100</v>
      </c>
      <c r="J193" s="248">
        <f t="shared" si="50"/>
        <v>100</v>
      </c>
    </row>
    <row r="194" spans="1:10" x14ac:dyDescent="0.25">
      <c r="A194" s="94"/>
      <c r="B194" s="94"/>
      <c r="C194" s="6"/>
      <c r="D194" s="6" t="s">
        <v>272</v>
      </c>
      <c r="E194" s="3" t="s">
        <v>273</v>
      </c>
      <c r="F194" s="77"/>
      <c r="G194" s="77">
        <v>20</v>
      </c>
      <c r="H194" s="77">
        <v>20</v>
      </c>
      <c r="I194" s="248">
        <f t="shared" ref="I194" si="72">H194/G194*100</f>
        <v>100</v>
      </c>
      <c r="J194" s="248"/>
    </row>
    <row r="195" spans="1:10" ht="26.25" x14ac:dyDescent="0.25">
      <c r="A195" s="94"/>
      <c r="B195" s="94"/>
      <c r="C195" s="6"/>
      <c r="D195" s="6" t="s">
        <v>449</v>
      </c>
      <c r="E195" s="3" t="s">
        <v>450</v>
      </c>
      <c r="F195" s="77">
        <v>20</v>
      </c>
      <c r="G195" s="77"/>
      <c r="H195" s="77"/>
      <c r="I195" s="248"/>
      <c r="J195" s="248">
        <f t="shared" si="50"/>
        <v>0</v>
      </c>
    </row>
    <row r="196" spans="1:10" ht="38.25" x14ac:dyDescent="0.25">
      <c r="A196" s="107"/>
      <c r="B196" s="107"/>
      <c r="C196" s="108" t="s">
        <v>345</v>
      </c>
      <c r="D196" s="107"/>
      <c r="E196" s="109" t="s">
        <v>346</v>
      </c>
      <c r="F196" s="159">
        <f t="shared" ref="F196:H198" si="73">F197</f>
        <v>168.79999999999998</v>
      </c>
      <c r="G196" s="159">
        <f t="shared" si="73"/>
        <v>168.78</v>
      </c>
      <c r="H196" s="159">
        <f t="shared" si="73"/>
        <v>168.78</v>
      </c>
      <c r="I196" s="257">
        <f t="shared" si="49"/>
        <v>100</v>
      </c>
      <c r="J196" s="257">
        <f t="shared" si="50"/>
        <v>99.988151658767791</v>
      </c>
    </row>
    <row r="197" spans="1:10" x14ac:dyDescent="0.25">
      <c r="A197" s="32"/>
      <c r="B197" s="32"/>
      <c r="C197" s="32" t="s">
        <v>361</v>
      </c>
      <c r="D197" s="32"/>
      <c r="E197" s="20" t="s">
        <v>362</v>
      </c>
      <c r="F197" s="68">
        <f t="shared" si="73"/>
        <v>168.79999999999998</v>
      </c>
      <c r="G197" s="68">
        <f t="shared" si="73"/>
        <v>168.78</v>
      </c>
      <c r="H197" s="68">
        <f t="shared" si="73"/>
        <v>168.78</v>
      </c>
      <c r="I197" s="245">
        <f t="shared" si="49"/>
        <v>100</v>
      </c>
      <c r="J197" s="245">
        <f t="shared" si="50"/>
        <v>99.988151658767791</v>
      </c>
    </row>
    <row r="198" spans="1:10" x14ac:dyDescent="0.25">
      <c r="A198" s="94"/>
      <c r="B198" s="94"/>
      <c r="C198" s="6" t="s">
        <v>363</v>
      </c>
      <c r="D198" s="6"/>
      <c r="E198" s="56" t="s">
        <v>458</v>
      </c>
      <c r="F198" s="67">
        <f>F199</f>
        <v>168.79999999999998</v>
      </c>
      <c r="G198" s="67">
        <f t="shared" si="73"/>
        <v>168.78</v>
      </c>
      <c r="H198" s="67">
        <f t="shared" si="73"/>
        <v>168.78</v>
      </c>
      <c r="I198" s="246">
        <f t="shared" si="49"/>
        <v>100</v>
      </c>
      <c r="J198" s="246">
        <f t="shared" si="50"/>
        <v>99.988151658767791</v>
      </c>
    </row>
    <row r="199" spans="1:10" x14ac:dyDescent="0.25">
      <c r="A199" s="94"/>
      <c r="B199" s="94"/>
      <c r="C199" s="6"/>
      <c r="D199" s="6" t="s">
        <v>272</v>
      </c>
      <c r="E199" s="3" t="s">
        <v>273</v>
      </c>
      <c r="F199" s="67">
        <f>145.2+23.6</f>
        <v>168.79999999999998</v>
      </c>
      <c r="G199" s="67">
        <v>168.78</v>
      </c>
      <c r="H199" s="67">
        <v>168.78</v>
      </c>
      <c r="I199" s="246">
        <f t="shared" si="49"/>
        <v>100</v>
      </c>
      <c r="J199" s="246">
        <f t="shared" si="50"/>
        <v>99.988151658767791</v>
      </c>
    </row>
    <row r="200" spans="1:10" x14ac:dyDescent="0.25">
      <c r="A200" s="103"/>
      <c r="B200" s="17" t="s">
        <v>562</v>
      </c>
      <c r="C200" s="104"/>
      <c r="D200" s="103"/>
      <c r="E200" s="98" t="s">
        <v>563</v>
      </c>
      <c r="F200" s="71">
        <f>F201+F228+F235+F287</f>
        <v>124413.30485000001</v>
      </c>
      <c r="G200" s="71">
        <f>G201+G228+G235+G287</f>
        <v>123638.02227000002</v>
      </c>
      <c r="H200" s="71">
        <f>H201+H228+H235+H287</f>
        <v>123632.91972000001</v>
      </c>
      <c r="I200" s="247">
        <f t="shared" si="49"/>
        <v>99.995872992865515</v>
      </c>
      <c r="J200" s="247">
        <f t="shared" si="50"/>
        <v>99.376849139298457</v>
      </c>
    </row>
    <row r="201" spans="1:10" x14ac:dyDescent="0.25">
      <c r="A201" s="103"/>
      <c r="B201" s="17" t="s">
        <v>564</v>
      </c>
      <c r="C201" s="104"/>
      <c r="D201" s="17"/>
      <c r="E201" s="123" t="s">
        <v>565</v>
      </c>
      <c r="F201" s="71">
        <f>F202+F222</f>
        <v>519.40000000000009</v>
      </c>
      <c r="G201" s="71">
        <f t="shared" ref="G201:H201" si="74">G202+G222</f>
        <v>534.6</v>
      </c>
      <c r="H201" s="71">
        <f t="shared" si="74"/>
        <v>534.6</v>
      </c>
      <c r="I201" s="247">
        <f t="shared" si="49"/>
        <v>100</v>
      </c>
      <c r="J201" s="247">
        <f t="shared" si="50"/>
        <v>102.92645360030804</v>
      </c>
    </row>
    <row r="202" spans="1:10" x14ac:dyDescent="0.25">
      <c r="A202" s="103"/>
      <c r="B202" s="17"/>
      <c r="C202" s="104" t="s">
        <v>4</v>
      </c>
      <c r="D202" s="103"/>
      <c r="E202" s="123" t="s">
        <v>5</v>
      </c>
      <c r="F202" s="71">
        <f>F203+F217</f>
        <v>346.6</v>
      </c>
      <c r="G202" s="71">
        <f t="shared" ref="G202:H202" si="75">G203+G217</f>
        <v>346.6</v>
      </c>
      <c r="H202" s="71">
        <f t="shared" si="75"/>
        <v>346.6</v>
      </c>
      <c r="I202" s="247">
        <f t="shared" si="49"/>
        <v>100</v>
      </c>
      <c r="J202" s="247">
        <f t="shared" si="50"/>
        <v>100</v>
      </c>
    </row>
    <row r="203" spans="1:10" ht="25.5" x14ac:dyDescent="0.25">
      <c r="A203" s="107"/>
      <c r="B203" s="107"/>
      <c r="C203" s="108" t="s">
        <v>274</v>
      </c>
      <c r="D203" s="107"/>
      <c r="E203" s="109" t="s">
        <v>275</v>
      </c>
      <c r="F203" s="159">
        <f>F204</f>
        <v>233.60000000000002</v>
      </c>
      <c r="G203" s="159">
        <f t="shared" ref="G203:H203" si="76">G204</f>
        <v>233.60000000000002</v>
      </c>
      <c r="H203" s="159">
        <f t="shared" si="76"/>
        <v>233.60000000000002</v>
      </c>
      <c r="I203" s="257">
        <f t="shared" si="49"/>
        <v>100</v>
      </c>
      <c r="J203" s="257">
        <f t="shared" si="50"/>
        <v>100</v>
      </c>
    </row>
    <row r="204" spans="1:10" ht="26.25" x14ac:dyDescent="0.25">
      <c r="A204" s="30"/>
      <c r="B204" s="30"/>
      <c r="C204" s="30" t="s">
        <v>430</v>
      </c>
      <c r="D204" s="30"/>
      <c r="E204" s="51" t="s">
        <v>431</v>
      </c>
      <c r="F204" s="72">
        <f>F205+F208</f>
        <v>233.60000000000002</v>
      </c>
      <c r="G204" s="72">
        <f t="shared" ref="G204:H204" si="77">G205+G208</f>
        <v>233.60000000000002</v>
      </c>
      <c r="H204" s="72">
        <f t="shared" si="77"/>
        <v>233.60000000000002</v>
      </c>
      <c r="I204" s="244">
        <f t="shared" ref="I204:I269" si="78">H204/G204*100</f>
        <v>100</v>
      </c>
      <c r="J204" s="244">
        <f t="shared" ref="J204:J269" si="79">G204/F204*100</f>
        <v>100</v>
      </c>
    </row>
    <row r="205" spans="1:10" x14ac:dyDescent="0.25">
      <c r="A205" s="32"/>
      <c r="B205" s="32"/>
      <c r="C205" s="32" t="s">
        <v>432</v>
      </c>
      <c r="D205" s="32"/>
      <c r="E205" s="20" t="s">
        <v>343</v>
      </c>
      <c r="F205" s="68">
        <f t="shared" ref="F205:H206" si="80">F206</f>
        <v>112.7</v>
      </c>
      <c r="G205" s="68">
        <f t="shared" si="80"/>
        <v>112.7</v>
      </c>
      <c r="H205" s="68">
        <f t="shared" si="80"/>
        <v>112.7</v>
      </c>
      <c r="I205" s="245">
        <f t="shared" si="78"/>
        <v>100</v>
      </c>
      <c r="J205" s="245">
        <f t="shared" si="79"/>
        <v>100</v>
      </c>
    </row>
    <row r="206" spans="1:10" x14ac:dyDescent="0.25">
      <c r="A206" s="6"/>
      <c r="B206" s="6"/>
      <c r="C206" s="6" t="s">
        <v>433</v>
      </c>
      <c r="D206" s="6"/>
      <c r="E206" s="19" t="s">
        <v>276</v>
      </c>
      <c r="F206" s="77">
        <f t="shared" si="80"/>
        <v>112.7</v>
      </c>
      <c r="G206" s="77">
        <f t="shared" si="80"/>
        <v>112.7</v>
      </c>
      <c r="H206" s="77">
        <f t="shared" si="80"/>
        <v>112.7</v>
      </c>
      <c r="I206" s="248">
        <f t="shared" si="78"/>
        <v>100</v>
      </c>
      <c r="J206" s="248">
        <f t="shared" si="79"/>
        <v>100</v>
      </c>
    </row>
    <row r="207" spans="1:10" x14ac:dyDescent="0.25">
      <c r="A207" s="6"/>
      <c r="B207" s="6"/>
      <c r="C207" s="6"/>
      <c r="D207" s="6" t="s">
        <v>272</v>
      </c>
      <c r="E207" s="3" t="s">
        <v>273</v>
      </c>
      <c r="F207" s="77">
        <v>112.7</v>
      </c>
      <c r="G207" s="77">
        <v>112.7</v>
      </c>
      <c r="H207" s="77">
        <v>112.7</v>
      </c>
      <c r="I207" s="248">
        <f t="shared" si="78"/>
        <v>100</v>
      </c>
      <c r="J207" s="248">
        <f t="shared" si="79"/>
        <v>100</v>
      </c>
    </row>
    <row r="208" spans="1:10" x14ac:dyDescent="0.25">
      <c r="A208" s="32"/>
      <c r="B208" s="32"/>
      <c r="C208" s="32" t="s">
        <v>434</v>
      </c>
      <c r="D208" s="32"/>
      <c r="E208" s="20" t="s">
        <v>344</v>
      </c>
      <c r="F208" s="68">
        <f>F209+F211+F213+F215</f>
        <v>120.9</v>
      </c>
      <c r="G208" s="68">
        <f t="shared" ref="G208:H208" si="81">G209+G211+G213+G215</f>
        <v>120.9</v>
      </c>
      <c r="H208" s="68">
        <f t="shared" si="81"/>
        <v>120.9</v>
      </c>
      <c r="I208" s="245">
        <f t="shared" si="78"/>
        <v>100</v>
      </c>
      <c r="J208" s="245">
        <f t="shared" si="79"/>
        <v>100</v>
      </c>
    </row>
    <row r="209" spans="1:10" ht="26.25" x14ac:dyDescent="0.25">
      <c r="A209" s="94"/>
      <c r="B209" s="94"/>
      <c r="C209" s="6" t="s">
        <v>435</v>
      </c>
      <c r="D209" s="6"/>
      <c r="E209" s="19" t="s">
        <v>277</v>
      </c>
      <c r="F209" s="77">
        <f>F210</f>
        <v>32.6</v>
      </c>
      <c r="G209" s="77">
        <f t="shared" ref="G209:H209" si="82">G210</f>
        <v>32.6</v>
      </c>
      <c r="H209" s="77">
        <f t="shared" si="82"/>
        <v>32.6</v>
      </c>
      <c r="I209" s="248">
        <f t="shared" si="78"/>
        <v>100</v>
      </c>
      <c r="J209" s="248">
        <f t="shared" si="79"/>
        <v>100</v>
      </c>
    </row>
    <row r="210" spans="1:10" x14ac:dyDescent="0.25">
      <c r="A210" s="94"/>
      <c r="B210" s="94"/>
      <c r="C210" s="6"/>
      <c r="D210" s="6" t="s">
        <v>272</v>
      </c>
      <c r="E210" s="3" t="s">
        <v>273</v>
      </c>
      <c r="F210" s="77">
        <v>32.6</v>
      </c>
      <c r="G210" s="77">
        <v>32.6</v>
      </c>
      <c r="H210" s="77">
        <v>32.6</v>
      </c>
      <c r="I210" s="248">
        <f t="shared" si="78"/>
        <v>100</v>
      </c>
      <c r="J210" s="248">
        <f t="shared" si="79"/>
        <v>100</v>
      </c>
    </row>
    <row r="211" spans="1:10" x14ac:dyDescent="0.25">
      <c r="A211" s="94"/>
      <c r="B211" s="94"/>
      <c r="C211" s="6" t="s">
        <v>436</v>
      </c>
      <c r="D211" s="6"/>
      <c r="E211" s="19" t="s">
        <v>278</v>
      </c>
      <c r="F211" s="77">
        <f>F212</f>
        <v>40</v>
      </c>
      <c r="G211" s="77">
        <f t="shared" ref="G211:H211" si="83">G212</f>
        <v>40</v>
      </c>
      <c r="H211" s="77">
        <f t="shared" si="83"/>
        <v>40</v>
      </c>
      <c r="I211" s="248">
        <f t="shared" si="78"/>
        <v>100</v>
      </c>
      <c r="J211" s="248">
        <f t="shared" si="79"/>
        <v>100</v>
      </c>
    </row>
    <row r="212" spans="1:10" x14ac:dyDescent="0.25">
      <c r="A212" s="94"/>
      <c r="B212" s="94"/>
      <c r="C212" s="6"/>
      <c r="D212" s="6" t="s">
        <v>272</v>
      </c>
      <c r="E212" s="3" t="s">
        <v>273</v>
      </c>
      <c r="F212" s="77">
        <v>40</v>
      </c>
      <c r="G212" s="77">
        <v>40</v>
      </c>
      <c r="H212" s="77">
        <v>40</v>
      </c>
      <c r="I212" s="248">
        <f t="shared" si="78"/>
        <v>100</v>
      </c>
      <c r="J212" s="248">
        <f t="shared" si="79"/>
        <v>100</v>
      </c>
    </row>
    <row r="213" spans="1:10" x14ac:dyDescent="0.25">
      <c r="A213" s="94"/>
      <c r="B213" s="94"/>
      <c r="C213" s="6" t="s">
        <v>437</v>
      </c>
      <c r="D213" s="6"/>
      <c r="E213" s="19" t="s">
        <v>279</v>
      </c>
      <c r="F213" s="77">
        <f>F214</f>
        <v>25.4</v>
      </c>
      <c r="G213" s="77">
        <f t="shared" ref="G213:H213" si="84">G214</f>
        <v>25.4</v>
      </c>
      <c r="H213" s="77">
        <f t="shared" si="84"/>
        <v>25.4</v>
      </c>
      <c r="I213" s="248">
        <f t="shared" si="78"/>
        <v>100</v>
      </c>
      <c r="J213" s="248">
        <f t="shared" si="79"/>
        <v>100</v>
      </c>
    </row>
    <row r="214" spans="1:10" x14ac:dyDescent="0.25">
      <c r="A214" s="94"/>
      <c r="B214" s="94"/>
      <c r="C214" s="6"/>
      <c r="D214" s="6" t="s">
        <v>272</v>
      </c>
      <c r="E214" s="3" t="s">
        <v>273</v>
      </c>
      <c r="F214" s="77">
        <v>25.4</v>
      </c>
      <c r="G214" s="77">
        <v>25.4</v>
      </c>
      <c r="H214" s="77">
        <v>25.4</v>
      </c>
      <c r="I214" s="248">
        <f t="shared" si="78"/>
        <v>100</v>
      </c>
      <c r="J214" s="248">
        <f t="shared" si="79"/>
        <v>100</v>
      </c>
    </row>
    <row r="215" spans="1:10" x14ac:dyDescent="0.25">
      <c r="A215" s="94"/>
      <c r="B215" s="94"/>
      <c r="C215" s="6" t="s">
        <v>438</v>
      </c>
      <c r="D215" s="6"/>
      <c r="E215" s="19" t="s">
        <v>280</v>
      </c>
      <c r="F215" s="77">
        <f>F216</f>
        <v>22.9</v>
      </c>
      <c r="G215" s="77">
        <f t="shared" ref="G215:H215" si="85">G216</f>
        <v>22.9</v>
      </c>
      <c r="H215" s="77">
        <f t="shared" si="85"/>
        <v>22.9</v>
      </c>
      <c r="I215" s="248">
        <f t="shared" si="78"/>
        <v>100</v>
      </c>
      <c r="J215" s="248">
        <f t="shared" si="79"/>
        <v>100</v>
      </c>
    </row>
    <row r="216" spans="1:10" x14ac:dyDescent="0.25">
      <c r="A216" s="94"/>
      <c r="B216" s="94"/>
      <c r="C216" s="6"/>
      <c r="D216" s="6" t="s">
        <v>272</v>
      </c>
      <c r="E216" s="3" t="s">
        <v>273</v>
      </c>
      <c r="F216" s="77">
        <v>22.9</v>
      </c>
      <c r="G216" s="77">
        <v>22.9</v>
      </c>
      <c r="H216" s="77">
        <v>22.9</v>
      </c>
      <c r="I216" s="248">
        <f t="shared" si="78"/>
        <v>100</v>
      </c>
      <c r="J216" s="248">
        <f t="shared" si="79"/>
        <v>100</v>
      </c>
    </row>
    <row r="217" spans="1:10" ht="25.5" x14ac:dyDescent="0.25">
      <c r="A217" s="107"/>
      <c r="B217" s="107"/>
      <c r="C217" s="108" t="s">
        <v>281</v>
      </c>
      <c r="D217" s="107"/>
      <c r="E217" s="109" t="s">
        <v>282</v>
      </c>
      <c r="F217" s="159">
        <f t="shared" ref="F217:H220" si="86">F218</f>
        <v>113</v>
      </c>
      <c r="G217" s="159">
        <f t="shared" si="86"/>
        <v>113</v>
      </c>
      <c r="H217" s="159">
        <f t="shared" si="86"/>
        <v>113</v>
      </c>
      <c r="I217" s="257">
        <f t="shared" si="78"/>
        <v>100</v>
      </c>
      <c r="J217" s="257">
        <f t="shared" si="79"/>
        <v>100</v>
      </c>
    </row>
    <row r="218" spans="1:10" ht="26.25" x14ac:dyDescent="0.25">
      <c r="A218" s="30"/>
      <c r="B218" s="30"/>
      <c r="C218" s="30" t="s">
        <v>292</v>
      </c>
      <c r="D218" s="30"/>
      <c r="E218" s="51" t="s">
        <v>293</v>
      </c>
      <c r="F218" s="72">
        <f t="shared" si="86"/>
        <v>113</v>
      </c>
      <c r="G218" s="72">
        <f t="shared" si="86"/>
        <v>113</v>
      </c>
      <c r="H218" s="72">
        <f t="shared" si="86"/>
        <v>113</v>
      </c>
      <c r="I218" s="244">
        <f t="shared" si="78"/>
        <v>100</v>
      </c>
      <c r="J218" s="244">
        <f t="shared" si="79"/>
        <v>100</v>
      </c>
    </row>
    <row r="219" spans="1:10" ht="26.25" x14ac:dyDescent="0.25">
      <c r="A219" s="32"/>
      <c r="B219" s="32"/>
      <c r="C219" s="32" t="s">
        <v>308</v>
      </c>
      <c r="D219" s="35"/>
      <c r="E219" s="20" t="s">
        <v>451</v>
      </c>
      <c r="F219" s="68">
        <f t="shared" si="86"/>
        <v>113</v>
      </c>
      <c r="G219" s="68">
        <f t="shared" si="86"/>
        <v>113</v>
      </c>
      <c r="H219" s="68">
        <f t="shared" si="86"/>
        <v>113</v>
      </c>
      <c r="I219" s="245">
        <f t="shared" si="78"/>
        <v>100</v>
      </c>
      <c r="J219" s="245">
        <f t="shared" si="79"/>
        <v>100</v>
      </c>
    </row>
    <row r="220" spans="1:10" ht="25.5" x14ac:dyDescent="0.25">
      <c r="A220" s="94"/>
      <c r="B220" s="94"/>
      <c r="C220" s="16" t="s">
        <v>483</v>
      </c>
      <c r="D220" s="16"/>
      <c r="E220" s="1" t="s">
        <v>514</v>
      </c>
      <c r="F220" s="77">
        <f>F221</f>
        <v>113</v>
      </c>
      <c r="G220" s="77">
        <f t="shared" si="86"/>
        <v>113</v>
      </c>
      <c r="H220" s="77">
        <f t="shared" si="86"/>
        <v>113</v>
      </c>
      <c r="I220" s="248">
        <f t="shared" si="78"/>
        <v>100</v>
      </c>
      <c r="J220" s="248">
        <f t="shared" si="79"/>
        <v>100</v>
      </c>
    </row>
    <row r="221" spans="1:10" x14ac:dyDescent="0.25">
      <c r="A221" s="94"/>
      <c r="B221" s="94"/>
      <c r="C221" s="16"/>
      <c r="D221" s="6" t="s">
        <v>272</v>
      </c>
      <c r="E221" s="3" t="s">
        <v>273</v>
      </c>
      <c r="F221" s="77">
        <v>113</v>
      </c>
      <c r="G221" s="77">
        <v>113</v>
      </c>
      <c r="H221" s="77">
        <v>113</v>
      </c>
      <c r="I221" s="248">
        <f t="shared" si="78"/>
        <v>100</v>
      </c>
      <c r="J221" s="248">
        <f t="shared" si="79"/>
        <v>100</v>
      </c>
    </row>
    <row r="222" spans="1:10" x14ac:dyDescent="0.25">
      <c r="A222" s="112"/>
      <c r="B222" s="112"/>
      <c r="C222" s="113" t="s">
        <v>540</v>
      </c>
      <c r="D222" s="114"/>
      <c r="E222" s="134" t="s">
        <v>541</v>
      </c>
      <c r="F222" s="116">
        <f t="shared" ref="F222:H224" si="87">F223</f>
        <v>172.8</v>
      </c>
      <c r="G222" s="116">
        <f t="shared" si="87"/>
        <v>188</v>
      </c>
      <c r="H222" s="116">
        <f t="shared" si="87"/>
        <v>188</v>
      </c>
      <c r="I222" s="249">
        <f t="shared" si="78"/>
        <v>100</v>
      </c>
      <c r="J222" s="249">
        <f t="shared" si="79"/>
        <v>108.79629629629628</v>
      </c>
    </row>
    <row r="223" spans="1:10" ht="25.5" x14ac:dyDescent="0.25">
      <c r="A223" s="135"/>
      <c r="B223" s="135"/>
      <c r="C223" s="136" t="s">
        <v>386</v>
      </c>
      <c r="D223" s="137"/>
      <c r="E223" s="138" t="s">
        <v>387</v>
      </c>
      <c r="F223" s="139">
        <f t="shared" si="87"/>
        <v>172.8</v>
      </c>
      <c r="G223" s="139">
        <f>G226</f>
        <v>188</v>
      </c>
      <c r="H223" s="139">
        <f>H226</f>
        <v>188</v>
      </c>
      <c r="I223" s="252">
        <f t="shared" si="78"/>
        <v>100</v>
      </c>
      <c r="J223" s="252">
        <f t="shared" si="79"/>
        <v>108.79629629629628</v>
      </c>
    </row>
    <row r="224" spans="1:10" ht="26.25" x14ac:dyDescent="0.25">
      <c r="A224" s="94"/>
      <c r="B224" s="94"/>
      <c r="C224" s="6" t="s">
        <v>402</v>
      </c>
      <c r="D224" s="6"/>
      <c r="E224" s="8" t="s">
        <v>403</v>
      </c>
      <c r="F224" s="67">
        <f t="shared" si="87"/>
        <v>172.8</v>
      </c>
      <c r="G224" s="67"/>
      <c r="H224" s="67"/>
      <c r="I224" s="246"/>
      <c r="J224" s="246">
        <f t="shared" si="79"/>
        <v>0</v>
      </c>
    </row>
    <row r="225" spans="1:10" x14ac:dyDescent="0.25">
      <c r="A225" s="94"/>
      <c r="B225" s="94"/>
      <c r="C225" s="6"/>
      <c r="D225" s="6" t="s">
        <v>272</v>
      </c>
      <c r="E225" s="3" t="s">
        <v>273</v>
      </c>
      <c r="F225" s="67">
        <v>172.8</v>
      </c>
      <c r="G225" s="67"/>
      <c r="H225" s="67"/>
      <c r="I225" s="246"/>
      <c r="J225" s="246">
        <f t="shared" si="79"/>
        <v>0</v>
      </c>
    </row>
    <row r="226" spans="1:10" ht="26.25" x14ac:dyDescent="0.25">
      <c r="A226" s="94"/>
      <c r="B226" s="94"/>
      <c r="C226" s="6" t="s">
        <v>1508</v>
      </c>
      <c r="D226" s="6"/>
      <c r="E226" s="8" t="s">
        <v>403</v>
      </c>
      <c r="F226" s="67"/>
      <c r="G226" s="67">
        <v>188</v>
      </c>
      <c r="H226" s="67">
        <v>188</v>
      </c>
      <c r="I226" s="246">
        <f t="shared" ref="I226:I227" si="88">H226/G226*100</f>
        <v>100</v>
      </c>
      <c r="J226" s="246"/>
    </row>
    <row r="227" spans="1:10" ht="26.25" x14ac:dyDescent="0.25">
      <c r="A227" s="94"/>
      <c r="B227" s="94"/>
      <c r="C227" s="6"/>
      <c r="D227" s="6" t="s">
        <v>449</v>
      </c>
      <c r="E227" s="3" t="s">
        <v>450</v>
      </c>
      <c r="F227" s="67"/>
      <c r="G227" s="67">
        <v>188</v>
      </c>
      <c r="H227" s="67">
        <v>188</v>
      </c>
      <c r="I227" s="246">
        <f t="shared" si="88"/>
        <v>100</v>
      </c>
      <c r="J227" s="246"/>
    </row>
    <row r="228" spans="1:10" x14ac:dyDescent="0.25">
      <c r="A228" s="103"/>
      <c r="B228" s="17" t="s">
        <v>566</v>
      </c>
      <c r="C228" s="104"/>
      <c r="D228" s="103"/>
      <c r="E228" s="98" t="s">
        <v>567</v>
      </c>
      <c r="F228" s="124">
        <f t="shared" ref="F228:H228" si="89">F230</f>
        <v>4229.7000000000007</v>
      </c>
      <c r="G228" s="124">
        <f t="shared" si="89"/>
        <v>4229.7000000000007</v>
      </c>
      <c r="H228" s="124">
        <f t="shared" si="89"/>
        <v>4229.6769800000002</v>
      </c>
      <c r="I228" s="251">
        <f t="shared" si="78"/>
        <v>99.999455753363108</v>
      </c>
      <c r="J228" s="251">
        <f t="shared" si="79"/>
        <v>100</v>
      </c>
    </row>
    <row r="229" spans="1:10" x14ac:dyDescent="0.25">
      <c r="A229" s="103"/>
      <c r="B229" s="17"/>
      <c r="C229" s="104" t="s">
        <v>4</v>
      </c>
      <c r="D229" s="103"/>
      <c r="E229" s="123" t="s">
        <v>5</v>
      </c>
      <c r="F229" s="124">
        <f t="shared" ref="F229:H230" si="90">F230</f>
        <v>4229.7000000000007</v>
      </c>
      <c r="G229" s="124">
        <f t="shared" si="90"/>
        <v>4229.7000000000007</v>
      </c>
      <c r="H229" s="124">
        <f t="shared" si="90"/>
        <v>4229.6769800000002</v>
      </c>
      <c r="I229" s="251">
        <f t="shared" si="78"/>
        <v>99.999455753363108</v>
      </c>
      <c r="J229" s="251">
        <f t="shared" si="79"/>
        <v>100</v>
      </c>
    </row>
    <row r="230" spans="1:10" ht="25.5" x14ac:dyDescent="0.25">
      <c r="A230" s="107"/>
      <c r="B230" s="107"/>
      <c r="C230" s="108" t="s">
        <v>320</v>
      </c>
      <c r="D230" s="107"/>
      <c r="E230" s="109" t="s">
        <v>321</v>
      </c>
      <c r="F230" s="159">
        <f t="shared" si="90"/>
        <v>4229.7000000000007</v>
      </c>
      <c r="G230" s="159">
        <f t="shared" si="90"/>
        <v>4229.7000000000007</v>
      </c>
      <c r="H230" s="159">
        <f t="shared" si="90"/>
        <v>4229.6769800000002</v>
      </c>
      <c r="I230" s="257">
        <f t="shared" si="78"/>
        <v>99.999455753363108</v>
      </c>
      <c r="J230" s="257">
        <f t="shared" si="79"/>
        <v>100</v>
      </c>
    </row>
    <row r="231" spans="1:10" ht="26.25" x14ac:dyDescent="0.25">
      <c r="A231" s="30"/>
      <c r="B231" s="30"/>
      <c r="C231" s="30" t="s">
        <v>333</v>
      </c>
      <c r="D231" s="30"/>
      <c r="E231" s="31" t="s">
        <v>334</v>
      </c>
      <c r="F231" s="72">
        <f t="shared" ref="F231:H233" si="91">F232</f>
        <v>4229.7000000000007</v>
      </c>
      <c r="G231" s="72">
        <f t="shared" si="91"/>
        <v>4229.7000000000007</v>
      </c>
      <c r="H231" s="72">
        <f t="shared" si="91"/>
        <v>4229.6769800000002</v>
      </c>
      <c r="I231" s="244">
        <f t="shared" si="78"/>
        <v>99.999455753363108</v>
      </c>
      <c r="J231" s="244">
        <f t="shared" si="79"/>
        <v>100</v>
      </c>
    </row>
    <row r="232" spans="1:10" ht="26.25" x14ac:dyDescent="0.25">
      <c r="A232" s="32"/>
      <c r="B232" s="32"/>
      <c r="C232" s="32" t="s">
        <v>335</v>
      </c>
      <c r="D232" s="32"/>
      <c r="E232" s="33" t="s">
        <v>336</v>
      </c>
      <c r="F232" s="68">
        <f t="shared" si="91"/>
        <v>4229.7000000000007</v>
      </c>
      <c r="G232" s="68">
        <f t="shared" si="91"/>
        <v>4229.7000000000007</v>
      </c>
      <c r="H232" s="68">
        <f t="shared" si="91"/>
        <v>4229.6769800000002</v>
      </c>
      <c r="I232" s="245">
        <f t="shared" si="78"/>
        <v>99.999455753363108</v>
      </c>
      <c r="J232" s="245">
        <f t="shared" si="79"/>
        <v>100</v>
      </c>
    </row>
    <row r="233" spans="1:10" ht="39" x14ac:dyDescent="0.25">
      <c r="A233" s="94"/>
      <c r="B233" s="94"/>
      <c r="C233" s="6" t="s">
        <v>337</v>
      </c>
      <c r="D233" s="12"/>
      <c r="E233" s="236" t="s">
        <v>519</v>
      </c>
      <c r="F233" s="67">
        <f>F234</f>
        <v>4229.7000000000007</v>
      </c>
      <c r="G233" s="67">
        <f t="shared" si="91"/>
        <v>4229.7000000000007</v>
      </c>
      <c r="H233" s="67">
        <f t="shared" si="91"/>
        <v>4229.6769800000002</v>
      </c>
      <c r="I233" s="246">
        <f t="shared" si="78"/>
        <v>99.999455753363108</v>
      </c>
      <c r="J233" s="246">
        <f t="shared" si="79"/>
        <v>100</v>
      </c>
    </row>
    <row r="234" spans="1:10" x14ac:dyDescent="0.25">
      <c r="A234" s="94"/>
      <c r="B234" s="94"/>
      <c r="C234" s="6"/>
      <c r="D234" s="6" t="s">
        <v>272</v>
      </c>
      <c r="E234" s="3" t="s">
        <v>273</v>
      </c>
      <c r="F234" s="67">
        <f>4247.1-17.4</f>
        <v>4229.7000000000007</v>
      </c>
      <c r="G234" s="67">
        <f t="shared" ref="G234" si="92">4247.1-17.4</f>
        <v>4229.7000000000007</v>
      </c>
      <c r="H234" s="264">
        <v>4229.6769800000002</v>
      </c>
      <c r="I234" s="246">
        <f t="shared" si="78"/>
        <v>99.999455753363108</v>
      </c>
      <c r="J234" s="246">
        <f t="shared" si="79"/>
        <v>100</v>
      </c>
    </row>
    <row r="235" spans="1:10" x14ac:dyDescent="0.25">
      <c r="A235" s="65"/>
      <c r="B235" s="17" t="s">
        <v>568</v>
      </c>
      <c r="C235" s="104"/>
      <c r="D235" s="103"/>
      <c r="E235" s="98" t="s">
        <v>569</v>
      </c>
      <c r="F235" s="124">
        <f t="shared" ref="F235:H236" si="93">F236</f>
        <v>110023.78245000001</v>
      </c>
      <c r="G235" s="124">
        <f t="shared" si="93"/>
        <v>108898.42670000001</v>
      </c>
      <c r="H235" s="124">
        <f t="shared" si="93"/>
        <v>108898.23685000002</v>
      </c>
      <c r="I235" s="251">
        <f t="shared" si="78"/>
        <v>99.999825663229728</v>
      </c>
      <c r="J235" s="251">
        <f t="shared" si="79"/>
        <v>98.977170458113079</v>
      </c>
    </row>
    <row r="236" spans="1:10" x14ac:dyDescent="0.25">
      <c r="A236" s="65"/>
      <c r="B236" s="17"/>
      <c r="C236" s="104" t="s">
        <v>4</v>
      </c>
      <c r="D236" s="103"/>
      <c r="E236" s="123" t="s">
        <v>5</v>
      </c>
      <c r="F236" s="124">
        <f t="shared" si="93"/>
        <v>110023.78245000001</v>
      </c>
      <c r="G236" s="124">
        <f t="shared" si="93"/>
        <v>108898.42670000001</v>
      </c>
      <c r="H236" s="124">
        <f t="shared" si="93"/>
        <v>108898.23685000002</v>
      </c>
      <c r="I236" s="251">
        <f t="shared" si="78"/>
        <v>99.999825663229728</v>
      </c>
      <c r="J236" s="251">
        <f t="shared" si="79"/>
        <v>98.977170458113079</v>
      </c>
    </row>
    <row r="237" spans="1:10" ht="25.5" x14ac:dyDescent="0.25">
      <c r="A237" s="107"/>
      <c r="B237" s="107"/>
      <c r="C237" s="108" t="s">
        <v>320</v>
      </c>
      <c r="D237" s="107"/>
      <c r="E237" s="109" t="s">
        <v>321</v>
      </c>
      <c r="F237" s="159">
        <f>F238+F270</f>
        <v>110023.78245000001</v>
      </c>
      <c r="G237" s="159">
        <f t="shared" ref="G237:H237" si="94">G238+G270</f>
        <v>108898.42670000001</v>
      </c>
      <c r="H237" s="159">
        <f t="shared" si="94"/>
        <v>108898.23685000002</v>
      </c>
      <c r="I237" s="257">
        <f t="shared" si="78"/>
        <v>99.999825663229728</v>
      </c>
      <c r="J237" s="257">
        <f t="shared" si="79"/>
        <v>98.977170458113079</v>
      </c>
    </row>
    <row r="238" spans="1:10" ht="26.25" x14ac:dyDescent="0.25">
      <c r="A238" s="30"/>
      <c r="B238" s="30"/>
      <c r="C238" s="30" t="s">
        <v>322</v>
      </c>
      <c r="D238" s="30"/>
      <c r="E238" s="31" t="s">
        <v>323</v>
      </c>
      <c r="F238" s="72">
        <f t="shared" ref="F238:H238" si="95">F239+F242+F249+F252+F261+F264</f>
        <v>105173.87000000001</v>
      </c>
      <c r="G238" s="72">
        <f t="shared" si="95"/>
        <v>104048.51425000001</v>
      </c>
      <c r="H238" s="72">
        <f t="shared" si="95"/>
        <v>104048.32440000001</v>
      </c>
      <c r="I238" s="244">
        <f t="shared" si="78"/>
        <v>99.999817537038979</v>
      </c>
      <c r="J238" s="244">
        <f t="shared" si="79"/>
        <v>98.930004429807511</v>
      </c>
    </row>
    <row r="239" spans="1:10" x14ac:dyDescent="0.25">
      <c r="A239" s="32"/>
      <c r="B239" s="32"/>
      <c r="C239" s="32" t="s">
        <v>324</v>
      </c>
      <c r="D239" s="32"/>
      <c r="E239" s="33" t="s">
        <v>325</v>
      </c>
      <c r="F239" s="68">
        <f>F240</f>
        <v>500</v>
      </c>
      <c r="G239" s="68">
        <f t="shared" ref="G239:H239" si="96">G240</f>
        <v>500</v>
      </c>
      <c r="H239" s="68">
        <f t="shared" si="96"/>
        <v>500</v>
      </c>
      <c r="I239" s="245">
        <f t="shared" si="78"/>
        <v>100</v>
      </c>
      <c r="J239" s="245">
        <f t="shared" si="79"/>
        <v>100</v>
      </c>
    </row>
    <row r="240" spans="1:10" ht="26.25" x14ac:dyDescent="0.25">
      <c r="A240" s="6"/>
      <c r="B240" s="6"/>
      <c r="C240" s="6" t="s">
        <v>326</v>
      </c>
      <c r="D240" s="12"/>
      <c r="E240" s="3" t="s">
        <v>520</v>
      </c>
      <c r="F240" s="67">
        <f>SUM(F241)</f>
        <v>500</v>
      </c>
      <c r="G240" s="67">
        <f t="shared" ref="G240:H240" si="97">SUM(G241)</f>
        <v>500</v>
      </c>
      <c r="H240" s="67">
        <f t="shared" si="97"/>
        <v>500</v>
      </c>
      <c r="I240" s="246">
        <f t="shared" si="78"/>
        <v>100</v>
      </c>
      <c r="J240" s="246">
        <f t="shared" si="79"/>
        <v>100</v>
      </c>
    </row>
    <row r="241" spans="1:10" x14ac:dyDescent="0.25">
      <c r="A241" s="6"/>
      <c r="B241" s="6"/>
      <c r="C241" s="6"/>
      <c r="D241" s="6" t="s">
        <v>272</v>
      </c>
      <c r="E241" s="3" t="s">
        <v>273</v>
      </c>
      <c r="F241" s="67">
        <f>516-16</f>
        <v>500</v>
      </c>
      <c r="G241" s="67">
        <f t="shared" ref="G241:H241" si="98">516-16</f>
        <v>500</v>
      </c>
      <c r="H241" s="67">
        <f t="shared" si="98"/>
        <v>500</v>
      </c>
      <c r="I241" s="246">
        <f t="shared" si="78"/>
        <v>100</v>
      </c>
      <c r="J241" s="246">
        <f t="shared" si="79"/>
        <v>100</v>
      </c>
    </row>
    <row r="242" spans="1:10" x14ac:dyDescent="0.25">
      <c r="A242" s="32"/>
      <c r="B242" s="32"/>
      <c r="C242" s="32" t="s">
        <v>769</v>
      </c>
      <c r="D242" s="32"/>
      <c r="E242" s="33" t="s">
        <v>770</v>
      </c>
      <c r="F242" s="68">
        <f>F243+F245+F247</f>
        <v>3220.5</v>
      </c>
      <c r="G242" s="68">
        <f t="shared" ref="G242:H242" si="99">G243+G245+G247</f>
        <v>3220.5</v>
      </c>
      <c r="H242" s="68">
        <f t="shared" si="99"/>
        <v>3220.4184799999998</v>
      </c>
      <c r="I242" s="245">
        <f t="shared" si="78"/>
        <v>99.997468716037872</v>
      </c>
      <c r="J242" s="245">
        <f t="shared" si="79"/>
        <v>100</v>
      </c>
    </row>
    <row r="243" spans="1:10" ht="26.25" x14ac:dyDescent="0.25">
      <c r="A243" s="6"/>
      <c r="B243" s="6"/>
      <c r="C243" s="6" t="s">
        <v>771</v>
      </c>
      <c r="D243" s="12"/>
      <c r="E243" s="3" t="s">
        <v>772</v>
      </c>
      <c r="F243" s="67">
        <f>SUM(F244)</f>
        <v>3150</v>
      </c>
      <c r="G243" s="67">
        <f t="shared" ref="G243:H243" si="100">SUM(G244)</f>
        <v>3150</v>
      </c>
      <c r="H243" s="67">
        <f t="shared" si="100"/>
        <v>3150</v>
      </c>
      <c r="I243" s="246">
        <f t="shared" si="78"/>
        <v>100</v>
      </c>
      <c r="J243" s="246">
        <f t="shared" si="79"/>
        <v>100</v>
      </c>
    </row>
    <row r="244" spans="1:10" x14ac:dyDescent="0.25">
      <c r="A244" s="6"/>
      <c r="B244" s="6"/>
      <c r="C244" s="6"/>
      <c r="D244" s="6" t="s">
        <v>272</v>
      </c>
      <c r="E244" s="3" t="s">
        <v>273</v>
      </c>
      <c r="F244" s="67">
        <v>3150</v>
      </c>
      <c r="G244" s="67">
        <v>3150</v>
      </c>
      <c r="H244" s="67">
        <v>3150</v>
      </c>
      <c r="I244" s="246">
        <f t="shared" si="78"/>
        <v>100</v>
      </c>
      <c r="J244" s="246">
        <f t="shared" si="79"/>
        <v>100</v>
      </c>
    </row>
    <row r="245" spans="1:10" ht="39" x14ac:dyDescent="0.25">
      <c r="A245" s="6"/>
      <c r="B245" s="6"/>
      <c r="C245" s="6" t="s">
        <v>790</v>
      </c>
      <c r="D245" s="6"/>
      <c r="E245" s="3" t="s">
        <v>791</v>
      </c>
      <c r="F245" s="67">
        <f>F246</f>
        <v>70.5</v>
      </c>
      <c r="G245" s="67">
        <f t="shared" ref="G245:H245" si="101">G246</f>
        <v>70.5</v>
      </c>
      <c r="H245" s="67">
        <f t="shared" si="101"/>
        <v>70.418480000000002</v>
      </c>
      <c r="I245" s="246">
        <f t="shared" si="78"/>
        <v>99.884368794326235</v>
      </c>
      <c r="J245" s="246">
        <f t="shared" si="79"/>
        <v>100</v>
      </c>
    </row>
    <row r="246" spans="1:10" x14ac:dyDescent="0.25">
      <c r="A246" s="6"/>
      <c r="B246" s="6"/>
      <c r="C246" s="6"/>
      <c r="D246" s="6" t="s">
        <v>272</v>
      </c>
      <c r="E246" s="3" t="s">
        <v>273</v>
      </c>
      <c r="F246" s="67">
        <v>70.5</v>
      </c>
      <c r="G246" s="67">
        <v>70.5</v>
      </c>
      <c r="H246" s="264">
        <v>70.418480000000002</v>
      </c>
      <c r="I246" s="246">
        <f t="shared" si="78"/>
        <v>99.884368794326235</v>
      </c>
      <c r="J246" s="246">
        <f t="shared" si="79"/>
        <v>100</v>
      </c>
    </row>
    <row r="247" spans="1:10" ht="26.25" x14ac:dyDescent="0.25">
      <c r="A247" s="6"/>
      <c r="B247" s="6"/>
      <c r="C247" s="6" t="s">
        <v>817</v>
      </c>
      <c r="D247" s="12"/>
      <c r="E247" s="3" t="s">
        <v>818</v>
      </c>
      <c r="F247" s="67">
        <f>F248</f>
        <v>0</v>
      </c>
      <c r="G247" s="67">
        <f t="shared" ref="G247:H247" si="102">G248</f>
        <v>0</v>
      </c>
      <c r="H247" s="67">
        <f t="shared" si="102"/>
        <v>0</v>
      </c>
      <c r="I247" s="246"/>
      <c r="J247" s="246"/>
    </row>
    <row r="248" spans="1:10" x14ac:dyDescent="0.25">
      <c r="A248" s="6"/>
      <c r="B248" s="6"/>
      <c r="C248" s="6"/>
      <c r="D248" s="6" t="s">
        <v>272</v>
      </c>
      <c r="E248" s="3" t="s">
        <v>273</v>
      </c>
      <c r="F248" s="67">
        <v>0</v>
      </c>
      <c r="G248" s="67">
        <v>0</v>
      </c>
      <c r="H248" s="67">
        <v>0</v>
      </c>
      <c r="I248" s="246"/>
      <c r="J248" s="246"/>
    </row>
    <row r="249" spans="1:10" ht="26.25" x14ac:dyDescent="0.25">
      <c r="A249" s="32"/>
      <c r="B249" s="32"/>
      <c r="C249" s="32" t="s">
        <v>778</v>
      </c>
      <c r="D249" s="32"/>
      <c r="E249" s="33" t="s">
        <v>777</v>
      </c>
      <c r="F249" s="68">
        <f>F250</f>
        <v>974.9</v>
      </c>
      <c r="G249" s="68">
        <f t="shared" ref="G249:H249" si="103">G250</f>
        <v>974.9</v>
      </c>
      <c r="H249" s="68">
        <f t="shared" si="103"/>
        <v>974.9</v>
      </c>
      <c r="I249" s="245">
        <f t="shared" si="78"/>
        <v>100</v>
      </c>
      <c r="J249" s="245">
        <f t="shared" si="79"/>
        <v>100</v>
      </c>
    </row>
    <row r="250" spans="1:10" ht="25.5" x14ac:dyDescent="0.25">
      <c r="A250" s="6"/>
      <c r="B250" s="6"/>
      <c r="C250" s="4" t="s">
        <v>779</v>
      </c>
      <c r="D250" s="4"/>
      <c r="E250" s="5" t="s">
        <v>780</v>
      </c>
      <c r="F250" s="67">
        <f>SUM(F251)</f>
        <v>974.9</v>
      </c>
      <c r="G250" s="67">
        <f t="shared" ref="G250:H250" si="104">SUM(G251)</f>
        <v>974.9</v>
      </c>
      <c r="H250" s="67">
        <f t="shared" si="104"/>
        <v>974.9</v>
      </c>
      <c r="I250" s="246">
        <f t="shared" si="78"/>
        <v>100</v>
      </c>
      <c r="J250" s="246">
        <f t="shared" si="79"/>
        <v>100</v>
      </c>
    </row>
    <row r="251" spans="1:10" x14ac:dyDescent="0.25">
      <c r="A251" s="6"/>
      <c r="B251" s="6"/>
      <c r="C251" s="6"/>
      <c r="D251" s="6" t="s">
        <v>272</v>
      </c>
      <c r="E251" s="3" t="s">
        <v>273</v>
      </c>
      <c r="F251" s="67">
        <v>974.9</v>
      </c>
      <c r="G251" s="67">
        <v>974.9</v>
      </c>
      <c r="H251" s="67">
        <v>974.9</v>
      </c>
      <c r="I251" s="246">
        <f t="shared" si="78"/>
        <v>100</v>
      </c>
      <c r="J251" s="246">
        <f t="shared" si="79"/>
        <v>100</v>
      </c>
    </row>
    <row r="252" spans="1:10" ht="26.25" x14ac:dyDescent="0.25">
      <c r="A252" s="32"/>
      <c r="B252" s="32"/>
      <c r="C252" s="32" t="s">
        <v>327</v>
      </c>
      <c r="D252" s="32"/>
      <c r="E252" s="33" t="s">
        <v>328</v>
      </c>
      <c r="F252" s="68">
        <f>F253+F257+F259</f>
        <v>35896</v>
      </c>
      <c r="G252" s="68">
        <f t="shared" ref="G252:H252" si="105">G253+G257+G259</f>
        <v>34770.644249999998</v>
      </c>
      <c r="H252" s="68">
        <f t="shared" si="105"/>
        <v>34770.544249999999</v>
      </c>
      <c r="I252" s="245">
        <f t="shared" si="78"/>
        <v>99.999712401072344</v>
      </c>
      <c r="J252" s="245">
        <f t="shared" si="79"/>
        <v>96.864955008914635</v>
      </c>
    </row>
    <row r="253" spans="1:10" x14ac:dyDescent="0.25">
      <c r="A253" s="6"/>
      <c r="B253" s="6"/>
      <c r="C253" s="6" t="s">
        <v>329</v>
      </c>
      <c r="D253" s="12"/>
      <c r="E253" s="3" t="s">
        <v>521</v>
      </c>
      <c r="F253" s="67">
        <f>F255+F256</f>
        <v>29008.6</v>
      </c>
      <c r="G253" s="67">
        <f t="shared" ref="G253:H253" si="106">G255+G256</f>
        <v>27770.655210000001</v>
      </c>
      <c r="H253" s="67">
        <f t="shared" si="106"/>
        <v>27770.655210000001</v>
      </c>
      <c r="I253" s="246">
        <f t="shared" si="78"/>
        <v>100</v>
      </c>
      <c r="J253" s="246">
        <f t="shared" si="79"/>
        <v>95.732490399398813</v>
      </c>
    </row>
    <row r="254" spans="1:10" x14ac:dyDescent="0.25">
      <c r="A254" s="6"/>
      <c r="B254" s="6"/>
      <c r="C254" s="6"/>
      <c r="D254" s="6" t="s">
        <v>272</v>
      </c>
      <c r="E254" s="3" t="s">
        <v>273</v>
      </c>
      <c r="F254" s="67">
        <f>SUM(F255+F256)</f>
        <v>29008.6</v>
      </c>
      <c r="G254" s="264">
        <v>27770.655210000001</v>
      </c>
      <c r="H254" s="264">
        <v>27770.655210000001</v>
      </c>
      <c r="I254" s="246">
        <f t="shared" si="78"/>
        <v>100</v>
      </c>
      <c r="J254" s="246">
        <f t="shared" si="79"/>
        <v>95.732490399398813</v>
      </c>
    </row>
    <row r="255" spans="1:10" x14ac:dyDescent="0.25">
      <c r="A255" s="6"/>
      <c r="B255" s="6"/>
      <c r="C255" s="6"/>
      <c r="D255" s="6"/>
      <c r="E255" s="3" t="s">
        <v>81</v>
      </c>
      <c r="F255" s="67">
        <v>26107.599999999999</v>
      </c>
      <c r="G255" s="67">
        <v>24982.24425</v>
      </c>
      <c r="H255" s="67">
        <v>24982.24425</v>
      </c>
      <c r="I255" s="246">
        <f t="shared" si="78"/>
        <v>100</v>
      </c>
      <c r="J255" s="246">
        <f t="shared" si="79"/>
        <v>95.689547296572655</v>
      </c>
    </row>
    <row r="256" spans="1:10" x14ac:dyDescent="0.25">
      <c r="A256" s="6"/>
      <c r="B256" s="6"/>
      <c r="C256" s="6"/>
      <c r="D256" s="6"/>
      <c r="E256" s="3" t="s">
        <v>146</v>
      </c>
      <c r="F256" s="67">
        <v>2901</v>
      </c>
      <c r="G256" s="67">
        <v>2788.4109600000002</v>
      </c>
      <c r="H256" s="67">
        <v>2788.4109600000002</v>
      </c>
      <c r="I256" s="246">
        <f t="shared" si="78"/>
        <v>100</v>
      </c>
      <c r="J256" s="246">
        <f t="shared" si="79"/>
        <v>96.118957600827301</v>
      </c>
    </row>
    <row r="257" spans="1:10" x14ac:dyDescent="0.25">
      <c r="A257" s="6"/>
      <c r="B257" s="6"/>
      <c r="C257" s="6" t="s">
        <v>441</v>
      </c>
      <c r="D257" s="12"/>
      <c r="E257" s="3" t="s">
        <v>522</v>
      </c>
      <c r="F257" s="67">
        <f>F258</f>
        <v>4287.5</v>
      </c>
      <c r="G257" s="67">
        <f t="shared" ref="G257:H257" si="107">G258</f>
        <v>4221.6342000000004</v>
      </c>
      <c r="H257" s="67">
        <f t="shared" si="107"/>
        <v>4221.6342000000004</v>
      </c>
      <c r="I257" s="246">
        <f t="shared" si="78"/>
        <v>100</v>
      </c>
      <c r="J257" s="246">
        <f t="shared" si="79"/>
        <v>98.463771428571434</v>
      </c>
    </row>
    <row r="258" spans="1:10" x14ac:dyDescent="0.25">
      <c r="A258" s="6"/>
      <c r="B258" s="6"/>
      <c r="C258" s="6"/>
      <c r="D258" s="6" t="s">
        <v>272</v>
      </c>
      <c r="E258" s="3" t="s">
        <v>273</v>
      </c>
      <c r="F258" s="67">
        <v>4287.5</v>
      </c>
      <c r="G258" s="264">
        <v>4221.6342000000004</v>
      </c>
      <c r="H258" s="264">
        <v>4221.6342000000004</v>
      </c>
      <c r="I258" s="246">
        <f t="shared" si="78"/>
        <v>100</v>
      </c>
      <c r="J258" s="246">
        <f t="shared" si="79"/>
        <v>98.463771428571434</v>
      </c>
    </row>
    <row r="259" spans="1:10" x14ac:dyDescent="0.25">
      <c r="A259" s="6"/>
      <c r="B259" s="6"/>
      <c r="C259" s="6" t="s">
        <v>330</v>
      </c>
      <c r="D259" s="12"/>
      <c r="E259" s="3" t="s">
        <v>647</v>
      </c>
      <c r="F259" s="67">
        <f>F260</f>
        <v>2599.9</v>
      </c>
      <c r="G259" s="67">
        <f t="shared" ref="G259:H259" si="108">G260</f>
        <v>2778.35484</v>
      </c>
      <c r="H259" s="67">
        <f t="shared" si="108"/>
        <v>2778.2548400000001</v>
      </c>
      <c r="I259" s="246">
        <f t="shared" si="78"/>
        <v>99.996400747717303</v>
      </c>
      <c r="J259" s="246">
        <f t="shared" si="79"/>
        <v>106.86391168891112</v>
      </c>
    </row>
    <row r="260" spans="1:10" x14ac:dyDescent="0.25">
      <c r="A260" s="4"/>
      <c r="B260" s="4"/>
      <c r="C260" s="4"/>
      <c r="D260" s="6" t="s">
        <v>272</v>
      </c>
      <c r="E260" s="3" t="s">
        <v>273</v>
      </c>
      <c r="F260" s="67">
        <v>2599.9</v>
      </c>
      <c r="G260" s="264">
        <v>2778.35484</v>
      </c>
      <c r="H260" s="264">
        <v>2778.2548400000001</v>
      </c>
      <c r="I260" s="246">
        <f t="shared" si="78"/>
        <v>99.996400747717303</v>
      </c>
      <c r="J260" s="246">
        <f t="shared" si="79"/>
        <v>106.86391168891112</v>
      </c>
    </row>
    <row r="261" spans="1:10" x14ac:dyDescent="0.25">
      <c r="A261" s="32"/>
      <c r="B261" s="32"/>
      <c r="C261" s="32" t="s">
        <v>331</v>
      </c>
      <c r="D261" s="32"/>
      <c r="E261" s="33" t="s">
        <v>648</v>
      </c>
      <c r="F261" s="68">
        <f>F262</f>
        <v>22717.7</v>
      </c>
      <c r="G261" s="68">
        <f t="shared" ref="G261:H262" si="109">G262</f>
        <v>22717.7</v>
      </c>
      <c r="H261" s="68">
        <f t="shared" si="109"/>
        <v>22717.69167</v>
      </c>
      <c r="I261" s="245">
        <f t="shared" si="78"/>
        <v>99.99996333255568</v>
      </c>
      <c r="J261" s="245">
        <f t="shared" si="79"/>
        <v>100</v>
      </c>
    </row>
    <row r="262" spans="1:10" ht="26.25" x14ac:dyDescent="0.25">
      <c r="A262" s="6"/>
      <c r="B262" s="6"/>
      <c r="C262" s="6" t="s">
        <v>332</v>
      </c>
      <c r="D262" s="12"/>
      <c r="E262" s="3" t="s">
        <v>649</v>
      </c>
      <c r="F262" s="67">
        <f>F263</f>
        <v>22717.7</v>
      </c>
      <c r="G262" s="67">
        <f t="shared" si="109"/>
        <v>22717.7</v>
      </c>
      <c r="H262" s="67">
        <f t="shared" si="109"/>
        <v>22717.69167</v>
      </c>
      <c r="I262" s="246">
        <f t="shared" si="78"/>
        <v>99.99996333255568</v>
      </c>
      <c r="J262" s="246">
        <f t="shared" si="79"/>
        <v>100</v>
      </c>
    </row>
    <row r="263" spans="1:10" x14ac:dyDescent="0.25">
      <c r="A263" s="6"/>
      <c r="B263" s="6"/>
      <c r="C263" s="6"/>
      <c r="D263" s="6" t="s">
        <v>272</v>
      </c>
      <c r="E263" s="3" t="s">
        <v>273</v>
      </c>
      <c r="F263" s="67">
        <v>22717.7</v>
      </c>
      <c r="G263" s="67">
        <v>22717.7</v>
      </c>
      <c r="H263" s="264">
        <v>22717.69167</v>
      </c>
      <c r="I263" s="246">
        <f t="shared" si="78"/>
        <v>99.99996333255568</v>
      </c>
      <c r="J263" s="246">
        <f t="shared" si="79"/>
        <v>100</v>
      </c>
    </row>
    <row r="264" spans="1:10" ht="26.25" x14ac:dyDescent="0.25">
      <c r="A264" s="32"/>
      <c r="B264" s="32"/>
      <c r="C264" s="32" t="s">
        <v>484</v>
      </c>
      <c r="D264" s="32"/>
      <c r="E264" s="33" t="s">
        <v>485</v>
      </c>
      <c r="F264" s="68">
        <f>F265</f>
        <v>41864.770000000004</v>
      </c>
      <c r="G264" s="68">
        <f t="shared" ref="G264:H265" si="110">G265</f>
        <v>41864.770000000004</v>
      </c>
      <c r="H264" s="68">
        <f t="shared" si="110"/>
        <v>41864.770000000004</v>
      </c>
      <c r="I264" s="245">
        <f t="shared" si="78"/>
        <v>100</v>
      </c>
      <c r="J264" s="245">
        <f t="shared" si="79"/>
        <v>100</v>
      </c>
    </row>
    <row r="265" spans="1:10" x14ac:dyDescent="0.25">
      <c r="A265" s="6"/>
      <c r="B265" s="6"/>
      <c r="C265" s="6" t="s">
        <v>486</v>
      </c>
      <c r="D265" s="6"/>
      <c r="E265" s="3" t="s">
        <v>487</v>
      </c>
      <c r="F265" s="67">
        <f>F266</f>
        <v>41864.770000000004</v>
      </c>
      <c r="G265" s="67">
        <f t="shared" si="110"/>
        <v>41864.770000000004</v>
      </c>
      <c r="H265" s="67">
        <f t="shared" si="110"/>
        <v>41864.770000000004</v>
      </c>
      <c r="I265" s="246">
        <f t="shared" si="78"/>
        <v>100</v>
      </c>
      <c r="J265" s="246">
        <f t="shared" si="79"/>
        <v>100</v>
      </c>
    </row>
    <row r="266" spans="1:10" x14ac:dyDescent="0.25">
      <c r="A266" s="6"/>
      <c r="B266" s="6"/>
      <c r="C266" s="6"/>
      <c r="D266" s="6" t="s">
        <v>272</v>
      </c>
      <c r="E266" s="3" t="s">
        <v>273</v>
      </c>
      <c r="F266" s="67">
        <f>F267+F268+F269</f>
        <v>41864.770000000004</v>
      </c>
      <c r="G266" s="67">
        <f t="shared" ref="G266:H266" si="111">G267+G268+G269</f>
        <v>41864.770000000004</v>
      </c>
      <c r="H266" s="67">
        <f t="shared" si="111"/>
        <v>41864.770000000004</v>
      </c>
      <c r="I266" s="246">
        <f t="shared" si="78"/>
        <v>100</v>
      </c>
      <c r="J266" s="246">
        <f t="shared" si="79"/>
        <v>100</v>
      </c>
    </row>
    <row r="267" spans="1:10" x14ac:dyDescent="0.25">
      <c r="A267" s="6"/>
      <c r="B267" s="6"/>
      <c r="C267" s="6"/>
      <c r="D267" s="6"/>
      <c r="E267" s="3" t="s">
        <v>184</v>
      </c>
      <c r="F267" s="67">
        <v>39572.673840000003</v>
      </c>
      <c r="G267" s="67">
        <v>39572.673840000003</v>
      </c>
      <c r="H267" s="67">
        <v>39572.673840000003</v>
      </c>
      <c r="I267" s="246">
        <f t="shared" si="78"/>
        <v>100</v>
      </c>
      <c r="J267" s="246">
        <f t="shared" si="79"/>
        <v>100</v>
      </c>
    </row>
    <row r="268" spans="1:10" x14ac:dyDescent="0.25">
      <c r="A268" s="6"/>
      <c r="B268" s="6"/>
      <c r="C268" s="6"/>
      <c r="D268" s="6"/>
      <c r="E268" s="3" t="s">
        <v>182</v>
      </c>
      <c r="F268" s="67">
        <v>2082.7723099999998</v>
      </c>
      <c r="G268" s="67">
        <v>2082.7723099999998</v>
      </c>
      <c r="H268" s="67">
        <v>2082.7723099999998</v>
      </c>
      <c r="I268" s="246">
        <f t="shared" si="78"/>
        <v>100</v>
      </c>
      <c r="J268" s="246">
        <f t="shared" si="79"/>
        <v>100</v>
      </c>
    </row>
    <row r="269" spans="1:10" x14ac:dyDescent="0.25">
      <c r="A269" s="6"/>
      <c r="B269" s="6"/>
      <c r="C269" s="6"/>
      <c r="D269" s="6"/>
      <c r="E269" s="3" t="s">
        <v>146</v>
      </c>
      <c r="F269" s="67">
        <v>209.32384999999999</v>
      </c>
      <c r="G269" s="67">
        <v>209.32384999999999</v>
      </c>
      <c r="H269" s="67">
        <v>209.32384999999999</v>
      </c>
      <c r="I269" s="246">
        <f t="shared" si="78"/>
        <v>100</v>
      </c>
      <c r="J269" s="246">
        <f t="shared" si="79"/>
        <v>100</v>
      </c>
    </row>
    <row r="270" spans="1:10" ht="26.25" x14ac:dyDescent="0.25">
      <c r="A270" s="30"/>
      <c r="B270" s="30"/>
      <c r="C270" s="30" t="s">
        <v>338</v>
      </c>
      <c r="D270" s="30"/>
      <c r="E270" s="31" t="s">
        <v>339</v>
      </c>
      <c r="F270" s="72">
        <f>F271+F282</f>
        <v>4849.9124499999998</v>
      </c>
      <c r="G270" s="72">
        <f t="shared" ref="G270:H270" si="112">G271+G282</f>
        <v>4849.9124499999998</v>
      </c>
      <c r="H270" s="72">
        <f t="shared" si="112"/>
        <v>4849.9124499999998</v>
      </c>
      <c r="I270" s="244">
        <f t="shared" ref="I270:I328" si="113">H270/G270*100</f>
        <v>100</v>
      </c>
      <c r="J270" s="244">
        <f t="shared" ref="J270:J328" si="114">G270/F270*100</f>
        <v>100</v>
      </c>
    </row>
    <row r="271" spans="1:10" ht="26.25" x14ac:dyDescent="0.25">
      <c r="A271" s="32"/>
      <c r="B271" s="32"/>
      <c r="C271" s="32" t="s">
        <v>340</v>
      </c>
      <c r="D271" s="32"/>
      <c r="E271" s="55" t="s">
        <v>518</v>
      </c>
      <c r="F271" s="68">
        <f>F272+F274</f>
        <v>4642.9124499999998</v>
      </c>
      <c r="G271" s="68">
        <f>G272+G274+G278</f>
        <v>4642.9124499999998</v>
      </c>
      <c r="H271" s="68">
        <f>H272+H274+H278</f>
        <v>4642.9124499999998</v>
      </c>
      <c r="I271" s="245">
        <f t="shared" si="113"/>
        <v>100</v>
      </c>
      <c r="J271" s="245">
        <f t="shared" si="114"/>
        <v>100</v>
      </c>
    </row>
    <row r="272" spans="1:10" ht="26.25" x14ac:dyDescent="0.25">
      <c r="A272" s="94"/>
      <c r="B272" s="94"/>
      <c r="C272" s="6" t="s">
        <v>341</v>
      </c>
      <c r="D272" s="6"/>
      <c r="E272" s="9" t="s">
        <v>725</v>
      </c>
      <c r="F272" s="67">
        <f>F273</f>
        <v>1663.8</v>
      </c>
      <c r="G272" s="67">
        <f t="shared" ref="G272:H272" si="115">G273</f>
        <v>1663.8</v>
      </c>
      <c r="H272" s="67">
        <f t="shared" si="115"/>
        <v>1663.8</v>
      </c>
      <c r="I272" s="246">
        <f t="shared" si="113"/>
        <v>100</v>
      </c>
      <c r="J272" s="246">
        <f t="shared" si="114"/>
        <v>100</v>
      </c>
    </row>
    <row r="273" spans="1:10" x14ac:dyDescent="0.25">
      <c r="A273" s="94"/>
      <c r="B273" s="94"/>
      <c r="C273" s="6"/>
      <c r="D273" s="6" t="s">
        <v>272</v>
      </c>
      <c r="E273" s="3" t="s">
        <v>273</v>
      </c>
      <c r="F273" s="67">
        <v>1663.8</v>
      </c>
      <c r="G273" s="67">
        <v>1663.8</v>
      </c>
      <c r="H273" s="67">
        <v>1663.8</v>
      </c>
      <c r="I273" s="246">
        <f t="shared" si="113"/>
        <v>100</v>
      </c>
      <c r="J273" s="246">
        <f t="shared" si="114"/>
        <v>100</v>
      </c>
    </row>
    <row r="274" spans="1:10" ht="26.25" x14ac:dyDescent="0.25">
      <c r="A274" s="94"/>
      <c r="B274" s="94"/>
      <c r="C274" s="6" t="s">
        <v>721</v>
      </c>
      <c r="D274" s="6"/>
      <c r="E274" s="3" t="s">
        <v>722</v>
      </c>
      <c r="F274" s="67">
        <f>F275</f>
        <v>2979.1124500000001</v>
      </c>
      <c r="G274" s="67"/>
      <c r="H274" s="67"/>
      <c r="I274" s="246"/>
      <c r="J274" s="246">
        <f t="shared" si="114"/>
        <v>0</v>
      </c>
    </row>
    <row r="275" spans="1:10" x14ac:dyDescent="0.25">
      <c r="A275" s="94"/>
      <c r="B275" s="94"/>
      <c r="C275" s="6"/>
      <c r="D275" s="6" t="s">
        <v>272</v>
      </c>
      <c r="E275" s="3" t="s">
        <v>273</v>
      </c>
      <c r="F275" s="67">
        <f>F276+F277</f>
        <v>2979.1124500000001</v>
      </c>
      <c r="G275" s="67"/>
      <c r="H275" s="67"/>
      <c r="I275" s="246"/>
      <c r="J275" s="246">
        <f t="shared" si="114"/>
        <v>0</v>
      </c>
    </row>
    <row r="276" spans="1:10" x14ac:dyDescent="0.25">
      <c r="A276" s="94"/>
      <c r="B276" s="94"/>
      <c r="C276" s="6"/>
      <c r="D276" s="6"/>
      <c r="E276" s="3" t="s">
        <v>182</v>
      </c>
      <c r="F276" s="67">
        <v>2681.2012</v>
      </c>
      <c r="G276" s="67"/>
      <c r="H276" s="67"/>
      <c r="I276" s="246"/>
      <c r="J276" s="246">
        <f t="shared" si="114"/>
        <v>0</v>
      </c>
    </row>
    <row r="277" spans="1:10" x14ac:dyDescent="0.25">
      <c r="A277" s="94"/>
      <c r="B277" s="94"/>
      <c r="C277" s="6"/>
      <c r="D277" s="6"/>
      <c r="E277" s="3" t="s">
        <v>146</v>
      </c>
      <c r="F277" s="67">
        <v>297.91125</v>
      </c>
      <c r="G277" s="67"/>
      <c r="H277" s="67"/>
      <c r="I277" s="246"/>
      <c r="J277" s="246">
        <f t="shared" si="114"/>
        <v>0</v>
      </c>
    </row>
    <row r="278" spans="1:10" ht="26.25" x14ac:dyDescent="0.25">
      <c r="A278" s="94"/>
      <c r="B278" s="94"/>
      <c r="C278" s="6" t="s">
        <v>843</v>
      </c>
      <c r="D278" s="6"/>
      <c r="E278" s="3" t="s">
        <v>722</v>
      </c>
      <c r="F278" s="67"/>
      <c r="G278" s="67">
        <f t="shared" ref="G278" si="116">G279</f>
        <v>2979.1124500000001</v>
      </c>
      <c r="H278" s="67">
        <f t="shared" ref="H278" si="117">H279</f>
        <v>2979.1124500000001</v>
      </c>
      <c r="I278" s="246">
        <f t="shared" si="113"/>
        <v>100</v>
      </c>
      <c r="J278" s="246"/>
    </row>
    <row r="279" spans="1:10" x14ac:dyDescent="0.25">
      <c r="A279" s="94"/>
      <c r="B279" s="94"/>
      <c r="C279" s="6"/>
      <c r="D279" s="6" t="s">
        <v>272</v>
      </c>
      <c r="E279" s="3" t="s">
        <v>273</v>
      </c>
      <c r="F279" s="67"/>
      <c r="G279" s="67">
        <f t="shared" ref="G279" si="118">G280+G281</f>
        <v>2979.1124500000001</v>
      </c>
      <c r="H279" s="67">
        <f t="shared" ref="H279" si="119">H280+H281</f>
        <v>2979.1124500000001</v>
      </c>
      <c r="I279" s="246">
        <f t="shared" si="113"/>
        <v>100</v>
      </c>
      <c r="J279" s="246"/>
    </row>
    <row r="280" spans="1:10" x14ac:dyDescent="0.25">
      <c r="A280" s="94"/>
      <c r="B280" s="94"/>
      <c r="C280" s="6"/>
      <c r="D280" s="6"/>
      <c r="E280" s="3" t="s">
        <v>182</v>
      </c>
      <c r="F280" s="67"/>
      <c r="G280" s="67">
        <v>2681.2012</v>
      </c>
      <c r="H280" s="67">
        <v>2681.2012</v>
      </c>
      <c r="I280" s="246">
        <f t="shared" si="113"/>
        <v>100</v>
      </c>
      <c r="J280" s="246"/>
    </row>
    <row r="281" spans="1:10" x14ac:dyDescent="0.25">
      <c r="A281" s="94"/>
      <c r="B281" s="94"/>
      <c r="C281" s="6"/>
      <c r="D281" s="6"/>
      <c r="E281" s="3" t="s">
        <v>146</v>
      </c>
      <c r="F281" s="67"/>
      <c r="G281" s="67">
        <v>297.91125</v>
      </c>
      <c r="H281" s="67">
        <v>297.91125</v>
      </c>
      <c r="I281" s="246">
        <f t="shared" si="113"/>
        <v>100</v>
      </c>
      <c r="J281" s="246"/>
    </row>
    <row r="282" spans="1:10" ht="26.25" x14ac:dyDescent="0.25">
      <c r="A282" s="32"/>
      <c r="B282" s="32"/>
      <c r="C282" s="32" t="s">
        <v>488</v>
      </c>
      <c r="D282" s="32"/>
      <c r="E282" s="55" t="s">
        <v>471</v>
      </c>
      <c r="F282" s="68">
        <f>F283+F285</f>
        <v>207</v>
      </c>
      <c r="G282" s="68">
        <f t="shared" ref="G282:H282" si="120">G283+G285</f>
        <v>207</v>
      </c>
      <c r="H282" s="68">
        <f t="shared" si="120"/>
        <v>207</v>
      </c>
      <c r="I282" s="245">
        <f t="shared" si="113"/>
        <v>100</v>
      </c>
      <c r="J282" s="245">
        <f t="shared" si="114"/>
        <v>100</v>
      </c>
    </row>
    <row r="283" spans="1:10" x14ac:dyDescent="0.25">
      <c r="A283" s="94"/>
      <c r="B283" s="94"/>
      <c r="C283" s="6" t="s">
        <v>489</v>
      </c>
      <c r="D283" s="6"/>
      <c r="E283" s="9" t="s">
        <v>472</v>
      </c>
      <c r="F283" s="67">
        <f>F284</f>
        <v>192</v>
      </c>
      <c r="G283" s="67">
        <f t="shared" ref="G283:H283" si="121">G284</f>
        <v>192</v>
      </c>
      <c r="H283" s="67">
        <f t="shared" si="121"/>
        <v>192</v>
      </c>
      <c r="I283" s="246">
        <f t="shared" si="113"/>
        <v>100</v>
      </c>
      <c r="J283" s="246">
        <f t="shared" si="114"/>
        <v>100</v>
      </c>
    </row>
    <row r="284" spans="1:10" x14ac:dyDescent="0.25">
      <c r="A284" s="94"/>
      <c r="B284" s="94"/>
      <c r="C284" s="6"/>
      <c r="D284" s="6" t="s">
        <v>272</v>
      </c>
      <c r="E284" s="3" t="s">
        <v>273</v>
      </c>
      <c r="F284" s="67">
        <v>192</v>
      </c>
      <c r="G284" s="67">
        <v>192</v>
      </c>
      <c r="H284" s="67">
        <v>192</v>
      </c>
      <c r="I284" s="246">
        <f t="shared" si="113"/>
        <v>100</v>
      </c>
      <c r="J284" s="246">
        <f t="shared" si="114"/>
        <v>100</v>
      </c>
    </row>
    <row r="285" spans="1:10" ht="26.25" x14ac:dyDescent="0.25">
      <c r="A285" s="94"/>
      <c r="B285" s="94"/>
      <c r="C285" s="6" t="s">
        <v>490</v>
      </c>
      <c r="D285" s="6"/>
      <c r="E285" s="9" t="s">
        <v>473</v>
      </c>
      <c r="F285" s="67">
        <f>F286</f>
        <v>15</v>
      </c>
      <c r="G285" s="67">
        <f t="shared" ref="G285:H285" si="122">G286</f>
        <v>15</v>
      </c>
      <c r="H285" s="67">
        <f t="shared" si="122"/>
        <v>15</v>
      </c>
      <c r="I285" s="246">
        <f t="shared" si="113"/>
        <v>100</v>
      </c>
      <c r="J285" s="246">
        <f t="shared" si="114"/>
        <v>100</v>
      </c>
    </row>
    <row r="286" spans="1:10" x14ac:dyDescent="0.25">
      <c r="A286" s="94"/>
      <c r="B286" s="94"/>
      <c r="C286" s="6"/>
      <c r="D286" s="6" t="s">
        <v>272</v>
      </c>
      <c r="E286" s="3" t="s">
        <v>273</v>
      </c>
      <c r="F286" s="67">
        <v>15</v>
      </c>
      <c r="G286" s="67">
        <v>15</v>
      </c>
      <c r="H286" s="67">
        <v>15</v>
      </c>
      <c r="I286" s="246">
        <f t="shared" si="113"/>
        <v>100</v>
      </c>
      <c r="J286" s="246">
        <f t="shared" si="114"/>
        <v>100</v>
      </c>
    </row>
    <row r="287" spans="1:10" x14ac:dyDescent="0.25">
      <c r="A287" s="94"/>
      <c r="B287" s="17" t="s">
        <v>570</v>
      </c>
      <c r="C287" s="122"/>
      <c r="D287" s="65"/>
      <c r="E287" s="98" t="s">
        <v>571</v>
      </c>
      <c r="F287" s="71">
        <f>F288+F313</f>
        <v>9640.4223999999995</v>
      </c>
      <c r="G287" s="71">
        <f>G288+G313</f>
        <v>9975.2955699999984</v>
      </c>
      <c r="H287" s="71">
        <f>H288+H313</f>
        <v>9970.40589</v>
      </c>
      <c r="I287" s="247">
        <f t="shared" si="113"/>
        <v>99.950982104082172</v>
      </c>
      <c r="J287" s="247">
        <f t="shared" si="114"/>
        <v>103.47363586475214</v>
      </c>
    </row>
    <row r="288" spans="1:10" x14ac:dyDescent="0.25">
      <c r="A288" s="94"/>
      <c r="B288" s="17"/>
      <c r="C288" s="104" t="s">
        <v>4</v>
      </c>
      <c r="D288" s="103"/>
      <c r="E288" s="123" t="s">
        <v>5</v>
      </c>
      <c r="F288" s="71">
        <f>F289+F294+F301</f>
        <v>7053.1224000000002</v>
      </c>
      <c r="G288" s="71">
        <f>G289+G294+G301</f>
        <v>7387.9955699999991</v>
      </c>
      <c r="H288" s="71">
        <f>H289+H294+H301</f>
        <v>7383.1390899999997</v>
      </c>
      <c r="I288" s="247">
        <f t="shared" si="113"/>
        <v>99.934265255657166</v>
      </c>
      <c r="J288" s="247">
        <f t="shared" si="114"/>
        <v>104.74787124068624</v>
      </c>
    </row>
    <row r="289" spans="1:10" s="46" customFormat="1" ht="25.5" x14ac:dyDescent="0.25">
      <c r="A289" s="107"/>
      <c r="B289" s="107"/>
      <c r="C289" s="108" t="s">
        <v>193</v>
      </c>
      <c r="D289" s="107"/>
      <c r="E289" s="109" t="s">
        <v>194</v>
      </c>
      <c r="F289" s="159">
        <f>F290</f>
        <v>1121.9000000000001</v>
      </c>
      <c r="G289" s="159">
        <f t="shared" ref="G289:H289" si="123">G290</f>
        <v>1457.6082099999999</v>
      </c>
      <c r="H289" s="159">
        <f t="shared" si="123"/>
        <v>1453.22909</v>
      </c>
      <c r="I289" s="257">
        <f t="shared" si="113"/>
        <v>99.69956810273456</v>
      </c>
      <c r="J289" s="257">
        <f t="shared" si="114"/>
        <v>129.92318477582668</v>
      </c>
    </row>
    <row r="290" spans="1:10" ht="26.25" x14ac:dyDescent="0.25">
      <c r="A290" s="32"/>
      <c r="B290" s="32"/>
      <c r="C290" s="32" t="s">
        <v>195</v>
      </c>
      <c r="D290" s="32"/>
      <c r="E290" s="33" t="s">
        <v>789</v>
      </c>
      <c r="F290" s="68">
        <f t="shared" ref="F290:H291" si="124">F291</f>
        <v>1121.9000000000001</v>
      </c>
      <c r="G290" s="68">
        <f t="shared" si="124"/>
        <v>1457.6082099999999</v>
      </c>
      <c r="H290" s="68">
        <f t="shared" si="124"/>
        <v>1453.22909</v>
      </c>
      <c r="I290" s="245">
        <f t="shared" si="113"/>
        <v>99.69956810273456</v>
      </c>
      <c r="J290" s="245">
        <f t="shared" si="114"/>
        <v>129.92318477582668</v>
      </c>
    </row>
    <row r="291" spans="1:10" ht="38.25" x14ac:dyDescent="0.25">
      <c r="A291" s="94"/>
      <c r="B291" s="94"/>
      <c r="C291" s="6" t="s">
        <v>196</v>
      </c>
      <c r="D291" s="6"/>
      <c r="E291" s="23" t="s">
        <v>508</v>
      </c>
      <c r="F291" s="67">
        <f t="shared" si="124"/>
        <v>1121.9000000000001</v>
      </c>
      <c r="G291" s="67">
        <f>G292+G293</f>
        <v>1457.6082099999999</v>
      </c>
      <c r="H291" s="67">
        <f>H292+H293</f>
        <v>1453.22909</v>
      </c>
      <c r="I291" s="246">
        <f t="shared" si="113"/>
        <v>99.69956810273456</v>
      </c>
      <c r="J291" s="246">
        <f t="shared" si="114"/>
        <v>129.92318477582668</v>
      </c>
    </row>
    <row r="292" spans="1:10" x14ac:dyDescent="0.25">
      <c r="A292" s="94"/>
      <c r="B292" s="94"/>
      <c r="C292" s="6"/>
      <c r="D292" s="6" t="s">
        <v>272</v>
      </c>
      <c r="E292" s="3" t="s">
        <v>273</v>
      </c>
      <c r="F292" s="67">
        <f>864.2+257.7</f>
        <v>1121.9000000000001</v>
      </c>
      <c r="G292" s="264">
        <v>1239.1922099999999</v>
      </c>
      <c r="H292" s="264">
        <v>1234.8130900000001</v>
      </c>
      <c r="I292" s="246">
        <f t="shared" si="113"/>
        <v>99.646614950879979</v>
      </c>
      <c r="J292" s="246">
        <f t="shared" si="114"/>
        <v>110.45478295748283</v>
      </c>
    </row>
    <row r="293" spans="1:10" x14ac:dyDescent="0.25">
      <c r="A293" s="94"/>
      <c r="B293" s="94"/>
      <c r="C293" s="6"/>
      <c r="D293" s="16" t="s">
        <v>390</v>
      </c>
      <c r="E293" s="7" t="s">
        <v>391</v>
      </c>
      <c r="F293" s="67"/>
      <c r="G293" s="264">
        <v>218.416</v>
      </c>
      <c r="H293" s="264">
        <v>218.416</v>
      </c>
      <c r="I293" s="246">
        <f t="shared" si="113"/>
        <v>100</v>
      </c>
      <c r="J293" s="246"/>
    </row>
    <row r="294" spans="1:10" ht="25.5" x14ac:dyDescent="0.25">
      <c r="A294" s="107"/>
      <c r="B294" s="107"/>
      <c r="C294" s="108" t="s">
        <v>274</v>
      </c>
      <c r="D294" s="107"/>
      <c r="E294" s="109" t="s">
        <v>275</v>
      </c>
      <c r="F294" s="159">
        <f>F295</f>
        <v>13.5</v>
      </c>
      <c r="G294" s="159">
        <f t="shared" ref="G294:H295" si="125">G295</f>
        <v>13.5</v>
      </c>
      <c r="H294" s="159">
        <f t="shared" si="125"/>
        <v>13.5</v>
      </c>
      <c r="I294" s="257">
        <f t="shared" si="113"/>
        <v>100</v>
      </c>
      <c r="J294" s="257">
        <f t="shared" si="114"/>
        <v>100</v>
      </c>
    </row>
    <row r="295" spans="1:10" ht="26.25" x14ac:dyDescent="0.25">
      <c r="A295" s="30"/>
      <c r="B295" s="30"/>
      <c r="C295" s="30" t="s">
        <v>428</v>
      </c>
      <c r="D295" s="30"/>
      <c r="E295" s="51" t="s">
        <v>429</v>
      </c>
      <c r="F295" s="72">
        <f>F296</f>
        <v>13.5</v>
      </c>
      <c r="G295" s="72">
        <f t="shared" si="125"/>
        <v>13.5</v>
      </c>
      <c r="H295" s="72">
        <f t="shared" si="125"/>
        <v>13.5</v>
      </c>
      <c r="I295" s="244">
        <f t="shared" si="113"/>
        <v>100</v>
      </c>
      <c r="J295" s="244">
        <f t="shared" si="114"/>
        <v>100</v>
      </c>
    </row>
    <row r="296" spans="1:10" ht="26.25" x14ac:dyDescent="0.25">
      <c r="A296" s="32"/>
      <c r="B296" s="32"/>
      <c r="C296" s="32" t="s">
        <v>479</v>
      </c>
      <c r="D296" s="35"/>
      <c r="E296" s="20" t="s">
        <v>474</v>
      </c>
      <c r="F296" s="68">
        <f>F297+F299</f>
        <v>13.5</v>
      </c>
      <c r="G296" s="68">
        <f t="shared" ref="G296:H296" si="126">G297+G299</f>
        <v>13.5</v>
      </c>
      <c r="H296" s="68">
        <f t="shared" si="126"/>
        <v>13.5</v>
      </c>
      <c r="I296" s="245">
        <f t="shared" si="113"/>
        <v>100</v>
      </c>
      <c r="J296" s="245">
        <f t="shared" si="114"/>
        <v>100</v>
      </c>
    </row>
    <row r="297" spans="1:10" x14ac:dyDescent="0.25">
      <c r="A297" s="12"/>
      <c r="B297" s="12"/>
      <c r="C297" s="6" t="s">
        <v>480</v>
      </c>
      <c r="D297" s="6"/>
      <c r="E297" s="19" t="s">
        <v>475</v>
      </c>
      <c r="F297" s="67">
        <f>F298</f>
        <v>13.5</v>
      </c>
      <c r="G297" s="67">
        <f t="shared" ref="G297:H297" si="127">G298</f>
        <v>13.5</v>
      </c>
      <c r="H297" s="67">
        <f t="shared" si="127"/>
        <v>13.5</v>
      </c>
      <c r="I297" s="246">
        <f t="shared" si="113"/>
        <v>100</v>
      </c>
      <c r="J297" s="246">
        <f t="shared" si="114"/>
        <v>100</v>
      </c>
    </row>
    <row r="298" spans="1:10" x14ac:dyDescent="0.25">
      <c r="A298" s="12"/>
      <c r="B298" s="12"/>
      <c r="C298" s="6"/>
      <c r="D298" s="6" t="s">
        <v>272</v>
      </c>
      <c r="E298" s="3" t="s">
        <v>273</v>
      </c>
      <c r="F298" s="67">
        <v>13.5</v>
      </c>
      <c r="G298" s="67">
        <v>13.5</v>
      </c>
      <c r="H298" s="67">
        <v>13.5</v>
      </c>
      <c r="I298" s="246">
        <f t="shared" si="113"/>
        <v>100</v>
      </c>
      <c r="J298" s="246">
        <f t="shared" si="114"/>
        <v>100</v>
      </c>
    </row>
    <row r="299" spans="1:10" x14ac:dyDescent="0.25">
      <c r="A299" s="12"/>
      <c r="B299" s="12"/>
      <c r="C299" s="6" t="s">
        <v>481</v>
      </c>
      <c r="D299" s="6"/>
      <c r="E299" s="19" t="s">
        <v>646</v>
      </c>
      <c r="F299" s="67">
        <f>F300</f>
        <v>0</v>
      </c>
      <c r="G299" s="67">
        <f t="shared" ref="G299:H299" si="128">G300</f>
        <v>0</v>
      </c>
      <c r="H299" s="67">
        <f t="shared" si="128"/>
        <v>0</v>
      </c>
      <c r="I299" s="246"/>
      <c r="J299" s="246"/>
    </row>
    <row r="300" spans="1:10" x14ac:dyDescent="0.25">
      <c r="A300" s="12"/>
      <c r="B300" s="12"/>
      <c r="C300" s="6"/>
      <c r="D300" s="6" t="s">
        <v>272</v>
      </c>
      <c r="E300" s="3" t="s">
        <v>273</v>
      </c>
      <c r="F300" s="67">
        <f>30-30</f>
        <v>0</v>
      </c>
      <c r="G300" s="67">
        <f t="shared" ref="G300:H300" si="129">30-30</f>
        <v>0</v>
      </c>
      <c r="H300" s="67">
        <f t="shared" si="129"/>
        <v>0</v>
      </c>
      <c r="I300" s="246"/>
      <c r="J300" s="246"/>
    </row>
    <row r="301" spans="1:10" ht="38.25" x14ac:dyDescent="0.25">
      <c r="A301" s="107"/>
      <c r="B301" s="107"/>
      <c r="C301" s="108" t="s">
        <v>364</v>
      </c>
      <c r="D301" s="107"/>
      <c r="E301" s="109" t="s">
        <v>572</v>
      </c>
      <c r="F301" s="159">
        <f>F302+F309</f>
        <v>5917.7224000000006</v>
      </c>
      <c r="G301" s="159">
        <f t="shared" ref="G301:H301" si="130">G302+G309</f>
        <v>5916.8873599999997</v>
      </c>
      <c r="H301" s="159">
        <f t="shared" si="130"/>
        <v>5916.41</v>
      </c>
      <c r="I301" s="257">
        <f t="shared" si="113"/>
        <v>99.991932244591524</v>
      </c>
      <c r="J301" s="257">
        <f t="shared" si="114"/>
        <v>99.985889165737134</v>
      </c>
    </row>
    <row r="302" spans="1:10" x14ac:dyDescent="0.25">
      <c r="A302" s="32"/>
      <c r="B302" s="32"/>
      <c r="C302" s="32" t="s">
        <v>365</v>
      </c>
      <c r="D302" s="35"/>
      <c r="E302" s="33" t="s">
        <v>366</v>
      </c>
      <c r="F302" s="68">
        <f>F303+F305</f>
        <v>5717.7224000000006</v>
      </c>
      <c r="G302" s="68">
        <f t="shared" ref="G302:H302" si="131">G303+G305</f>
        <v>5716.8873599999997</v>
      </c>
      <c r="H302" s="68">
        <f t="shared" si="131"/>
        <v>5716.41</v>
      </c>
      <c r="I302" s="245">
        <f t="shared" si="113"/>
        <v>99.991650001654051</v>
      </c>
      <c r="J302" s="245">
        <f t="shared" si="114"/>
        <v>99.985395583388225</v>
      </c>
    </row>
    <row r="303" spans="1:10" x14ac:dyDescent="0.25">
      <c r="A303" s="6"/>
      <c r="B303" s="6"/>
      <c r="C303" s="6" t="s">
        <v>367</v>
      </c>
      <c r="D303" s="6"/>
      <c r="E303" s="3" t="s">
        <v>368</v>
      </c>
      <c r="F303" s="67">
        <f>F304</f>
        <v>300</v>
      </c>
      <c r="G303" s="67">
        <f t="shared" ref="G303:H303" si="132">G304</f>
        <v>300</v>
      </c>
      <c r="H303" s="67">
        <f t="shared" si="132"/>
        <v>299.67</v>
      </c>
      <c r="I303" s="246">
        <f t="shared" si="113"/>
        <v>99.89</v>
      </c>
      <c r="J303" s="246">
        <f t="shared" si="114"/>
        <v>100</v>
      </c>
    </row>
    <row r="304" spans="1:10" x14ac:dyDescent="0.25">
      <c r="A304" s="6"/>
      <c r="B304" s="6"/>
      <c r="C304" s="6"/>
      <c r="D304" s="6" t="s">
        <v>272</v>
      </c>
      <c r="E304" s="3" t="s">
        <v>273</v>
      </c>
      <c r="F304" s="67">
        <v>300</v>
      </c>
      <c r="G304" s="67">
        <v>300</v>
      </c>
      <c r="H304" s="67">
        <v>299.67</v>
      </c>
      <c r="I304" s="246">
        <f t="shared" si="113"/>
        <v>99.89</v>
      </c>
      <c r="J304" s="246">
        <f t="shared" si="114"/>
        <v>100</v>
      </c>
    </row>
    <row r="305" spans="1:10" ht="25.5" x14ac:dyDescent="0.25">
      <c r="A305" s="6"/>
      <c r="B305" s="6"/>
      <c r="C305" s="6" t="s">
        <v>370</v>
      </c>
      <c r="D305" s="6"/>
      <c r="E305" s="1" t="s">
        <v>459</v>
      </c>
      <c r="F305" s="67">
        <f>F306</f>
        <v>5417.7224000000006</v>
      </c>
      <c r="G305" s="67">
        <f t="shared" ref="G305:H305" si="133">G306</f>
        <v>5416.8873599999997</v>
      </c>
      <c r="H305" s="67">
        <f t="shared" si="133"/>
        <v>5416.74</v>
      </c>
      <c r="I305" s="246">
        <f t="shared" si="113"/>
        <v>99.997279618529859</v>
      </c>
      <c r="J305" s="246">
        <f t="shared" si="114"/>
        <v>99.984586881011097</v>
      </c>
    </row>
    <row r="306" spans="1:10" x14ac:dyDescent="0.25">
      <c r="A306" s="6"/>
      <c r="B306" s="6"/>
      <c r="C306" s="6"/>
      <c r="D306" s="6" t="s">
        <v>272</v>
      </c>
      <c r="E306" s="3" t="s">
        <v>273</v>
      </c>
      <c r="F306" s="67">
        <f>F307+F308</f>
        <v>5417.7224000000006</v>
      </c>
      <c r="G306" s="264">
        <v>5416.8873599999997</v>
      </c>
      <c r="H306" s="264">
        <v>5416.74</v>
      </c>
      <c r="I306" s="246">
        <f t="shared" si="113"/>
        <v>99.997279618529859</v>
      </c>
      <c r="J306" s="246">
        <f t="shared" si="114"/>
        <v>99.984586881011097</v>
      </c>
    </row>
    <row r="307" spans="1:10" x14ac:dyDescent="0.25">
      <c r="A307" s="6"/>
      <c r="B307" s="6"/>
      <c r="C307" s="6"/>
      <c r="D307" s="6"/>
      <c r="E307" s="9" t="s">
        <v>202</v>
      </c>
      <c r="F307" s="67">
        <v>4605.0640400000002</v>
      </c>
      <c r="G307" s="67">
        <v>4604.2290000000003</v>
      </c>
      <c r="H307" s="67">
        <v>4604.2290000000003</v>
      </c>
      <c r="I307" s="246">
        <f t="shared" si="113"/>
        <v>100</v>
      </c>
      <c r="J307" s="246">
        <f t="shared" si="114"/>
        <v>99.981866918836587</v>
      </c>
    </row>
    <row r="308" spans="1:10" x14ac:dyDescent="0.25">
      <c r="A308" s="6"/>
      <c r="B308" s="6"/>
      <c r="C308" s="6"/>
      <c r="D308" s="6"/>
      <c r="E308" s="3" t="s">
        <v>369</v>
      </c>
      <c r="F308" s="67">
        <v>812.65836000000002</v>
      </c>
      <c r="G308" s="67">
        <v>812.65836000000002</v>
      </c>
      <c r="H308" s="67">
        <v>812.51099999999997</v>
      </c>
      <c r="I308" s="246">
        <f t="shared" si="113"/>
        <v>99.981866918836587</v>
      </c>
      <c r="J308" s="246">
        <f t="shared" si="114"/>
        <v>100</v>
      </c>
    </row>
    <row r="309" spans="1:10" ht="39" x14ac:dyDescent="0.25">
      <c r="A309" s="32"/>
      <c r="B309" s="32"/>
      <c r="C309" s="32" t="s">
        <v>371</v>
      </c>
      <c r="D309" s="35"/>
      <c r="E309" s="33" t="s">
        <v>372</v>
      </c>
      <c r="F309" s="68">
        <f>F310</f>
        <v>200</v>
      </c>
      <c r="G309" s="68">
        <f t="shared" ref="G309:H310" si="134">G310</f>
        <v>200</v>
      </c>
      <c r="H309" s="68">
        <f t="shared" si="134"/>
        <v>200</v>
      </c>
      <c r="I309" s="245">
        <f t="shared" si="113"/>
        <v>100</v>
      </c>
      <c r="J309" s="245">
        <f t="shared" si="114"/>
        <v>100</v>
      </c>
    </row>
    <row r="310" spans="1:10" ht="26.25" x14ac:dyDescent="0.25">
      <c r="A310" s="94"/>
      <c r="B310" s="94"/>
      <c r="C310" s="6" t="s">
        <v>373</v>
      </c>
      <c r="D310" s="6"/>
      <c r="E310" s="3" t="s">
        <v>374</v>
      </c>
      <c r="F310" s="67">
        <f>F311</f>
        <v>200</v>
      </c>
      <c r="G310" s="67">
        <f t="shared" si="134"/>
        <v>200</v>
      </c>
      <c r="H310" s="67">
        <f t="shared" si="134"/>
        <v>200</v>
      </c>
      <c r="I310" s="246">
        <f t="shared" si="113"/>
        <v>100</v>
      </c>
      <c r="J310" s="246">
        <f t="shared" si="114"/>
        <v>100</v>
      </c>
    </row>
    <row r="311" spans="1:10" x14ac:dyDescent="0.25">
      <c r="A311" s="94"/>
      <c r="B311" s="94"/>
      <c r="C311" s="6"/>
      <c r="D311" s="6" t="s">
        <v>272</v>
      </c>
      <c r="E311" s="3" t="s">
        <v>273</v>
      </c>
      <c r="F311" s="67">
        <v>200</v>
      </c>
      <c r="G311" s="67">
        <v>200</v>
      </c>
      <c r="H311" s="67">
        <v>200</v>
      </c>
      <c r="I311" s="246">
        <f t="shared" si="113"/>
        <v>100</v>
      </c>
      <c r="J311" s="246">
        <f t="shared" si="114"/>
        <v>100</v>
      </c>
    </row>
    <row r="312" spans="1:10" x14ac:dyDescent="0.25">
      <c r="A312" s="140"/>
      <c r="B312" s="140"/>
      <c r="C312" s="131" t="s">
        <v>540</v>
      </c>
      <c r="D312" s="141"/>
      <c r="E312" s="132" t="s">
        <v>541</v>
      </c>
      <c r="F312" s="133">
        <f t="shared" ref="F312:H313" si="135">F313</f>
        <v>2587.2999999999997</v>
      </c>
      <c r="G312" s="133">
        <f t="shared" si="135"/>
        <v>2587.2999999999997</v>
      </c>
      <c r="H312" s="133">
        <f t="shared" si="135"/>
        <v>2587.2667999999999</v>
      </c>
      <c r="I312" s="254">
        <f t="shared" si="113"/>
        <v>99.998716809028721</v>
      </c>
      <c r="J312" s="254">
        <f t="shared" si="114"/>
        <v>100</v>
      </c>
    </row>
    <row r="313" spans="1:10" s="41" customFormat="1" ht="25.5" x14ac:dyDescent="0.25">
      <c r="A313" s="135"/>
      <c r="B313" s="135"/>
      <c r="C313" s="136" t="s">
        <v>386</v>
      </c>
      <c r="D313" s="137"/>
      <c r="E313" s="138" t="s">
        <v>387</v>
      </c>
      <c r="F313" s="80">
        <f t="shared" si="135"/>
        <v>2587.2999999999997</v>
      </c>
      <c r="G313" s="80">
        <f t="shared" si="135"/>
        <v>2587.2999999999997</v>
      </c>
      <c r="H313" s="80">
        <f t="shared" si="135"/>
        <v>2587.2667999999999</v>
      </c>
      <c r="I313" s="255">
        <f t="shared" si="113"/>
        <v>99.998716809028721</v>
      </c>
      <c r="J313" s="255">
        <f t="shared" si="114"/>
        <v>100</v>
      </c>
    </row>
    <row r="314" spans="1:10" ht="26.25" x14ac:dyDescent="0.25">
      <c r="A314" s="94"/>
      <c r="B314" s="94"/>
      <c r="C314" s="6" t="s">
        <v>388</v>
      </c>
      <c r="D314" s="6"/>
      <c r="E314" s="3" t="s">
        <v>389</v>
      </c>
      <c r="F314" s="67">
        <f t="shared" ref="F314:H314" si="136">F315+F316+F317</f>
        <v>2587.2999999999997</v>
      </c>
      <c r="G314" s="67">
        <f t="shared" si="136"/>
        <v>2587.2999999999997</v>
      </c>
      <c r="H314" s="67">
        <f t="shared" si="136"/>
        <v>2587.2667999999999</v>
      </c>
      <c r="I314" s="246">
        <f t="shared" si="113"/>
        <v>99.998716809028721</v>
      </c>
      <c r="J314" s="246">
        <f t="shared" si="114"/>
        <v>100</v>
      </c>
    </row>
    <row r="315" spans="1:10" ht="39" x14ac:dyDescent="0.25">
      <c r="A315" s="94"/>
      <c r="B315" s="94"/>
      <c r="C315" s="12"/>
      <c r="D315" s="6" t="s">
        <v>383</v>
      </c>
      <c r="E315" s="3" t="s">
        <v>384</v>
      </c>
      <c r="F315" s="67">
        <v>2447.6999999999998</v>
      </c>
      <c r="G315" s="264">
        <v>2447.6999999999998</v>
      </c>
      <c r="H315" s="264">
        <v>2447.6999999999998</v>
      </c>
      <c r="I315" s="246">
        <f t="shared" si="113"/>
        <v>100</v>
      </c>
      <c r="J315" s="246">
        <f t="shared" si="114"/>
        <v>100</v>
      </c>
    </row>
    <row r="316" spans="1:10" x14ac:dyDescent="0.25">
      <c r="A316" s="94"/>
      <c r="B316" s="94"/>
      <c r="C316" s="12"/>
      <c r="D316" s="6" t="s">
        <v>272</v>
      </c>
      <c r="E316" s="3" t="s">
        <v>273</v>
      </c>
      <c r="F316" s="67">
        <f>105.6-2.1</f>
        <v>103.5</v>
      </c>
      <c r="G316" s="264">
        <v>103.5</v>
      </c>
      <c r="H316" s="264">
        <v>103.49979999999999</v>
      </c>
      <c r="I316" s="246">
        <f t="shared" si="113"/>
        <v>99.999806763285022</v>
      </c>
      <c r="J316" s="246">
        <f t="shared" si="114"/>
        <v>100</v>
      </c>
    </row>
    <row r="317" spans="1:10" x14ac:dyDescent="0.25">
      <c r="A317" s="94"/>
      <c r="B317" s="94"/>
      <c r="C317" s="12"/>
      <c r="D317" s="16" t="s">
        <v>390</v>
      </c>
      <c r="E317" s="7" t="s">
        <v>391</v>
      </c>
      <c r="F317" s="67">
        <f>119.6-83.5</f>
        <v>36.099999999999994</v>
      </c>
      <c r="G317" s="264">
        <v>36.1</v>
      </c>
      <c r="H317" s="264">
        <v>36.067</v>
      </c>
      <c r="I317" s="246">
        <f t="shared" si="113"/>
        <v>99.908587257617725</v>
      </c>
      <c r="J317" s="246">
        <f t="shared" si="114"/>
        <v>100.00000000000003</v>
      </c>
    </row>
    <row r="318" spans="1:10" x14ac:dyDescent="0.25">
      <c r="A318" s="103"/>
      <c r="B318" s="17" t="s">
        <v>573</v>
      </c>
      <c r="C318" s="104"/>
      <c r="D318" s="103"/>
      <c r="E318" s="98" t="s">
        <v>574</v>
      </c>
      <c r="F318" s="71">
        <f>F319+F329+F366</f>
        <v>60386.114110000002</v>
      </c>
      <c r="G318" s="71">
        <f>G319+G329+G366</f>
        <v>70342.615669999999</v>
      </c>
      <c r="H318" s="71">
        <f>H319+H329+H366</f>
        <v>65470.210919999998</v>
      </c>
      <c r="I318" s="247">
        <f t="shared" si="113"/>
        <v>93.073324465416491</v>
      </c>
      <c r="J318" s="247">
        <f t="shared" si="114"/>
        <v>116.48806469292448</v>
      </c>
    </row>
    <row r="319" spans="1:10" x14ac:dyDescent="0.25">
      <c r="A319" s="103"/>
      <c r="B319" s="17" t="s">
        <v>575</v>
      </c>
      <c r="C319" s="104"/>
      <c r="D319" s="103"/>
      <c r="E319" s="98" t="s">
        <v>576</v>
      </c>
      <c r="F319" s="71">
        <f>F320</f>
        <v>1271</v>
      </c>
      <c r="G319" s="71">
        <f t="shared" ref="G319:H320" si="137">G320</f>
        <v>1216.55323</v>
      </c>
      <c r="H319" s="71">
        <f t="shared" si="137"/>
        <v>1215.91041</v>
      </c>
      <c r="I319" s="247">
        <f t="shared" si="113"/>
        <v>99.947160552933639</v>
      </c>
      <c r="J319" s="247">
        <f t="shared" si="114"/>
        <v>95.716225806451618</v>
      </c>
    </row>
    <row r="320" spans="1:10" x14ac:dyDescent="0.25">
      <c r="A320" s="103"/>
      <c r="B320" s="17"/>
      <c r="C320" s="104" t="s">
        <v>4</v>
      </c>
      <c r="D320" s="103"/>
      <c r="E320" s="123" t="s">
        <v>5</v>
      </c>
      <c r="F320" s="71">
        <f>F321</f>
        <v>1271</v>
      </c>
      <c r="G320" s="71">
        <f t="shared" si="137"/>
        <v>1216.55323</v>
      </c>
      <c r="H320" s="71">
        <f t="shared" si="137"/>
        <v>1215.91041</v>
      </c>
      <c r="I320" s="247">
        <f t="shared" si="113"/>
        <v>99.947160552933639</v>
      </c>
      <c r="J320" s="247">
        <f t="shared" si="114"/>
        <v>95.716225806451618</v>
      </c>
    </row>
    <row r="321" spans="1:10" ht="25.5" x14ac:dyDescent="0.25">
      <c r="A321" s="106"/>
      <c r="B321" s="107"/>
      <c r="C321" s="108" t="s">
        <v>193</v>
      </c>
      <c r="D321" s="107"/>
      <c r="E321" s="109" t="s">
        <v>194</v>
      </c>
      <c r="F321" s="159">
        <f>F322</f>
        <v>1271</v>
      </c>
      <c r="G321" s="159">
        <f t="shared" ref="G321:H321" si="138">G322</f>
        <v>1216.55323</v>
      </c>
      <c r="H321" s="159">
        <f t="shared" si="138"/>
        <v>1215.91041</v>
      </c>
      <c r="I321" s="257">
        <f t="shared" si="113"/>
        <v>99.947160552933639</v>
      </c>
      <c r="J321" s="257">
        <f t="shared" si="114"/>
        <v>95.716225806451618</v>
      </c>
    </row>
    <row r="322" spans="1:10" ht="26.25" x14ac:dyDescent="0.25">
      <c r="A322" s="32"/>
      <c r="B322" s="32"/>
      <c r="C322" s="32" t="s">
        <v>195</v>
      </c>
      <c r="D322" s="32"/>
      <c r="E322" s="33" t="s">
        <v>789</v>
      </c>
      <c r="F322" s="68">
        <f>F323+F325+F327</f>
        <v>1271</v>
      </c>
      <c r="G322" s="68">
        <f>G323+G325+G327</f>
        <v>1216.55323</v>
      </c>
      <c r="H322" s="68">
        <f>H323+H325+H327</f>
        <v>1215.91041</v>
      </c>
      <c r="I322" s="245">
        <f t="shared" si="113"/>
        <v>99.947160552933639</v>
      </c>
      <c r="J322" s="245">
        <f t="shared" si="114"/>
        <v>95.716225806451618</v>
      </c>
    </row>
    <row r="323" spans="1:10" ht="39" x14ac:dyDescent="0.25">
      <c r="A323" s="94"/>
      <c r="B323" s="94"/>
      <c r="C323" s="6" t="s">
        <v>197</v>
      </c>
      <c r="D323" s="6"/>
      <c r="E323" s="13" t="s">
        <v>198</v>
      </c>
      <c r="F323" s="67">
        <f>F324</f>
        <v>95.3</v>
      </c>
      <c r="G323" s="67">
        <f t="shared" ref="G323:H323" si="139">G324</f>
        <v>66.649839999999998</v>
      </c>
      <c r="H323" s="67">
        <f t="shared" si="139"/>
        <v>66.649839999999998</v>
      </c>
      <c r="I323" s="246">
        <f t="shared" si="113"/>
        <v>100</v>
      </c>
      <c r="J323" s="246">
        <f t="shared" si="114"/>
        <v>69.936873032528851</v>
      </c>
    </row>
    <row r="324" spans="1:10" x14ac:dyDescent="0.25">
      <c r="A324" s="94"/>
      <c r="B324" s="94"/>
      <c r="C324" s="6"/>
      <c r="D324" s="6" t="s">
        <v>272</v>
      </c>
      <c r="E324" s="3" t="s">
        <v>273</v>
      </c>
      <c r="F324" s="67">
        <v>95.3</v>
      </c>
      <c r="G324" s="264">
        <v>66.649839999999998</v>
      </c>
      <c r="H324" s="264">
        <v>66.649839999999998</v>
      </c>
      <c r="I324" s="246">
        <f t="shared" si="113"/>
        <v>100</v>
      </c>
      <c r="J324" s="246">
        <f t="shared" si="114"/>
        <v>69.936873032528851</v>
      </c>
    </row>
    <row r="325" spans="1:10" ht="26.25" x14ac:dyDescent="0.25">
      <c r="A325" s="94"/>
      <c r="B325" s="94"/>
      <c r="C325" s="6" t="s">
        <v>199</v>
      </c>
      <c r="D325" s="6"/>
      <c r="E325" s="13" t="s">
        <v>200</v>
      </c>
      <c r="F325" s="67">
        <f>SUM(F326)</f>
        <v>1071.5</v>
      </c>
      <c r="G325" s="67">
        <f t="shared" ref="G325:H325" si="140">SUM(G326)</f>
        <v>1083.5</v>
      </c>
      <c r="H325" s="67">
        <f t="shared" si="140"/>
        <v>1082.85718</v>
      </c>
      <c r="I325" s="246">
        <f t="shared" si="113"/>
        <v>99.940671896631287</v>
      </c>
      <c r="J325" s="246">
        <f t="shared" si="114"/>
        <v>101.11992533831078</v>
      </c>
    </row>
    <row r="326" spans="1:10" x14ac:dyDescent="0.25">
      <c r="A326" s="94"/>
      <c r="B326" s="94"/>
      <c r="C326" s="6"/>
      <c r="D326" s="6" t="s">
        <v>272</v>
      </c>
      <c r="E326" s="3" t="s">
        <v>273</v>
      </c>
      <c r="F326" s="67">
        <f>5357.4-4285.9</f>
        <v>1071.5</v>
      </c>
      <c r="G326" s="264">
        <v>1083.5</v>
      </c>
      <c r="H326" s="264">
        <v>1082.85718</v>
      </c>
      <c r="I326" s="246">
        <f t="shared" si="113"/>
        <v>99.940671896631287</v>
      </c>
      <c r="J326" s="246">
        <f t="shared" si="114"/>
        <v>101.11992533831078</v>
      </c>
    </row>
    <row r="327" spans="1:10" ht="26.25" x14ac:dyDescent="0.25">
      <c r="A327" s="94"/>
      <c r="B327" s="94"/>
      <c r="C327" s="6" t="s">
        <v>201</v>
      </c>
      <c r="D327" s="6"/>
      <c r="E327" s="3" t="s">
        <v>509</v>
      </c>
      <c r="F327" s="67">
        <f>F328</f>
        <v>104.2</v>
      </c>
      <c r="G327" s="67">
        <f t="shared" ref="G327:H327" si="141">G328</f>
        <v>66.403390000000002</v>
      </c>
      <c r="H327" s="67">
        <f t="shared" si="141"/>
        <v>66.403390000000002</v>
      </c>
      <c r="I327" s="246">
        <f t="shared" si="113"/>
        <v>100</v>
      </c>
      <c r="J327" s="246">
        <f t="shared" si="114"/>
        <v>63.726861804222644</v>
      </c>
    </row>
    <row r="328" spans="1:10" x14ac:dyDescent="0.25">
      <c r="A328" s="94"/>
      <c r="B328" s="94"/>
      <c r="C328" s="6"/>
      <c r="D328" s="6" t="s">
        <v>272</v>
      </c>
      <c r="E328" s="3" t="s">
        <v>273</v>
      </c>
      <c r="F328" s="67">
        <v>104.2</v>
      </c>
      <c r="G328" s="264">
        <v>66.403390000000002</v>
      </c>
      <c r="H328" s="264">
        <v>66.403390000000002</v>
      </c>
      <c r="I328" s="246">
        <f t="shared" si="113"/>
        <v>100</v>
      </c>
      <c r="J328" s="246">
        <f t="shared" si="114"/>
        <v>63.726861804222644</v>
      </c>
    </row>
    <row r="329" spans="1:10" x14ac:dyDescent="0.25">
      <c r="A329" s="103"/>
      <c r="B329" s="17" t="s">
        <v>577</v>
      </c>
      <c r="C329" s="104"/>
      <c r="D329" s="103"/>
      <c r="E329" s="98" t="s">
        <v>578</v>
      </c>
      <c r="F329" s="71">
        <f>F330+F357</f>
        <v>19313.01223</v>
      </c>
      <c r="G329" s="71">
        <f>G330+G357</f>
        <v>20031.460600000002</v>
      </c>
      <c r="H329" s="71">
        <f>H330+H357</f>
        <v>19818.779849999999</v>
      </c>
      <c r="I329" s="247">
        <f t="shared" ref="I329:I377" si="142">H329/G329*100</f>
        <v>98.93826638882237</v>
      </c>
      <c r="J329" s="247">
        <f t="shared" ref="J329:J377" si="143">G329/F329*100</f>
        <v>103.72002234267732</v>
      </c>
    </row>
    <row r="330" spans="1:10" x14ac:dyDescent="0.25">
      <c r="A330" s="103"/>
      <c r="B330" s="16"/>
      <c r="C330" s="104" t="s">
        <v>4</v>
      </c>
      <c r="D330" s="103"/>
      <c r="E330" s="123" t="s">
        <v>5</v>
      </c>
      <c r="F330" s="71">
        <f t="shared" ref="F330:H330" si="144">F331</f>
        <v>13257.91223</v>
      </c>
      <c r="G330" s="71">
        <f t="shared" si="144"/>
        <v>13267.910600000001</v>
      </c>
      <c r="H330" s="71">
        <f t="shared" si="144"/>
        <v>13055.32178</v>
      </c>
      <c r="I330" s="247">
        <f t="shared" si="142"/>
        <v>98.397721944252467</v>
      </c>
      <c r="J330" s="247">
        <f t="shared" si="143"/>
        <v>100.07541436258249</v>
      </c>
    </row>
    <row r="331" spans="1:10" ht="25.5" x14ac:dyDescent="0.25">
      <c r="A331" s="106"/>
      <c r="B331" s="107"/>
      <c r="C331" s="108" t="s">
        <v>281</v>
      </c>
      <c r="D331" s="107"/>
      <c r="E331" s="109" t="s">
        <v>282</v>
      </c>
      <c r="F331" s="159">
        <f t="shared" ref="F331:H331" si="145">F332+F336</f>
        <v>13257.91223</v>
      </c>
      <c r="G331" s="159">
        <f t="shared" si="145"/>
        <v>13267.910600000001</v>
      </c>
      <c r="H331" s="159">
        <f t="shared" si="145"/>
        <v>13055.32178</v>
      </c>
      <c r="I331" s="257">
        <f t="shared" si="142"/>
        <v>98.397721944252467</v>
      </c>
      <c r="J331" s="257">
        <f t="shared" si="143"/>
        <v>100.07541436258249</v>
      </c>
    </row>
    <row r="332" spans="1:10" ht="26.25" x14ac:dyDescent="0.25">
      <c r="A332" s="30"/>
      <c r="B332" s="30"/>
      <c r="C332" s="30" t="s">
        <v>292</v>
      </c>
      <c r="D332" s="30"/>
      <c r="E332" s="51" t="s">
        <v>293</v>
      </c>
      <c r="F332" s="72">
        <f t="shared" ref="F332:H334" si="146">F333</f>
        <v>195</v>
      </c>
      <c r="G332" s="72">
        <f t="shared" si="146"/>
        <v>205.00004000000001</v>
      </c>
      <c r="H332" s="72">
        <f t="shared" si="146"/>
        <v>198.39336</v>
      </c>
      <c r="I332" s="244">
        <f t="shared" si="142"/>
        <v>96.777229897125878</v>
      </c>
      <c r="J332" s="244">
        <f t="shared" si="143"/>
        <v>105.12822564102564</v>
      </c>
    </row>
    <row r="333" spans="1:10" x14ac:dyDescent="0.25">
      <c r="A333" s="32"/>
      <c r="B333" s="32"/>
      <c r="C333" s="32" t="s">
        <v>299</v>
      </c>
      <c r="D333" s="35"/>
      <c r="E333" s="20" t="s">
        <v>300</v>
      </c>
      <c r="F333" s="68">
        <f t="shared" si="146"/>
        <v>195</v>
      </c>
      <c r="G333" s="68">
        <f t="shared" si="146"/>
        <v>205.00004000000001</v>
      </c>
      <c r="H333" s="68">
        <f t="shared" si="146"/>
        <v>198.39336</v>
      </c>
      <c r="I333" s="245">
        <f t="shared" si="142"/>
        <v>96.777229897125878</v>
      </c>
      <c r="J333" s="245">
        <f t="shared" si="143"/>
        <v>105.12822564102564</v>
      </c>
    </row>
    <row r="334" spans="1:10" x14ac:dyDescent="0.25">
      <c r="A334" s="94"/>
      <c r="B334" s="94"/>
      <c r="C334" s="6" t="s">
        <v>302</v>
      </c>
      <c r="D334" s="22"/>
      <c r="E334" s="53" t="s">
        <v>303</v>
      </c>
      <c r="F334" s="77">
        <f>F335</f>
        <v>195</v>
      </c>
      <c r="G334" s="77">
        <f t="shared" si="146"/>
        <v>205.00004000000001</v>
      </c>
      <c r="H334" s="77">
        <f t="shared" si="146"/>
        <v>198.39336</v>
      </c>
      <c r="I334" s="248">
        <f t="shared" si="142"/>
        <v>96.777229897125878</v>
      </c>
      <c r="J334" s="248">
        <f t="shared" si="143"/>
        <v>105.12822564102564</v>
      </c>
    </row>
    <row r="335" spans="1:10" x14ac:dyDescent="0.25">
      <c r="A335" s="94"/>
      <c r="B335" s="94"/>
      <c r="C335" s="6"/>
      <c r="D335" s="6" t="s">
        <v>272</v>
      </c>
      <c r="E335" s="3" t="s">
        <v>273</v>
      </c>
      <c r="F335" s="77">
        <v>195</v>
      </c>
      <c r="G335" s="264">
        <v>205.00004000000001</v>
      </c>
      <c r="H335" s="264">
        <v>198.39336</v>
      </c>
      <c r="I335" s="248">
        <f t="shared" si="142"/>
        <v>96.777229897125878</v>
      </c>
      <c r="J335" s="248">
        <f t="shared" si="143"/>
        <v>105.12822564102564</v>
      </c>
    </row>
    <row r="336" spans="1:10" ht="26.25" x14ac:dyDescent="0.25">
      <c r="A336" s="30"/>
      <c r="B336" s="30"/>
      <c r="C336" s="30" t="s">
        <v>309</v>
      </c>
      <c r="D336" s="30"/>
      <c r="E336" s="51" t="s">
        <v>310</v>
      </c>
      <c r="F336" s="72">
        <f>F337+F352</f>
        <v>13062.91223</v>
      </c>
      <c r="G336" s="72">
        <f>G337+G352</f>
        <v>13062.91056</v>
      </c>
      <c r="H336" s="72">
        <f>H337+H352</f>
        <v>12856.92842</v>
      </c>
      <c r="I336" s="244">
        <f t="shared" si="142"/>
        <v>98.423152795436422</v>
      </c>
      <c r="J336" s="244">
        <f t="shared" si="143"/>
        <v>99.999987215714455</v>
      </c>
    </row>
    <row r="337" spans="1:10" ht="26.25" x14ac:dyDescent="0.25">
      <c r="A337" s="32"/>
      <c r="B337" s="32"/>
      <c r="C337" s="32" t="s">
        <v>311</v>
      </c>
      <c r="D337" s="32"/>
      <c r="E337" s="20" t="s">
        <v>312</v>
      </c>
      <c r="F337" s="68">
        <f>F340+F344+F338+F346++F350</f>
        <v>11590.01223</v>
      </c>
      <c r="G337" s="68">
        <f>G340+G344+G338+G346++G350</f>
        <v>11590.010560000001</v>
      </c>
      <c r="H337" s="68">
        <f>H340+H344+H338+H346++H350</f>
        <v>11589.88103</v>
      </c>
      <c r="I337" s="245">
        <f t="shared" si="142"/>
        <v>99.998882399637779</v>
      </c>
      <c r="J337" s="245">
        <f t="shared" si="143"/>
        <v>99.999985591041948</v>
      </c>
    </row>
    <row r="338" spans="1:10" x14ac:dyDescent="0.25">
      <c r="A338" s="12"/>
      <c r="B338" s="12"/>
      <c r="C338" s="16" t="s">
        <v>634</v>
      </c>
      <c r="D338" s="18"/>
      <c r="E338" s="1" t="s">
        <v>476</v>
      </c>
      <c r="F338" s="67">
        <f>F339</f>
        <v>356.8</v>
      </c>
      <c r="G338" s="67">
        <f t="shared" ref="G338:H338" si="147">G339</f>
        <v>356.8</v>
      </c>
      <c r="H338" s="67">
        <f t="shared" si="147"/>
        <v>356.8</v>
      </c>
      <c r="I338" s="246">
        <f t="shared" si="142"/>
        <v>100</v>
      </c>
      <c r="J338" s="246">
        <f t="shared" si="143"/>
        <v>100</v>
      </c>
    </row>
    <row r="339" spans="1:10" x14ac:dyDescent="0.25">
      <c r="A339" s="12"/>
      <c r="B339" s="12"/>
      <c r="C339" s="16"/>
      <c r="D339" s="6" t="s">
        <v>272</v>
      </c>
      <c r="E339" s="3" t="s">
        <v>273</v>
      </c>
      <c r="F339" s="67">
        <v>356.8</v>
      </c>
      <c r="G339" s="67">
        <v>356.8</v>
      </c>
      <c r="H339" s="67">
        <v>356.8</v>
      </c>
      <c r="I339" s="246">
        <f t="shared" si="142"/>
        <v>100</v>
      </c>
      <c r="J339" s="246">
        <f t="shared" si="143"/>
        <v>100</v>
      </c>
    </row>
    <row r="340" spans="1:10" x14ac:dyDescent="0.25">
      <c r="A340" s="6"/>
      <c r="B340" s="6"/>
      <c r="C340" s="6" t="s">
        <v>313</v>
      </c>
      <c r="D340" s="6"/>
      <c r="E340" s="53" t="s">
        <v>314</v>
      </c>
      <c r="F340" s="77">
        <v>6394.3</v>
      </c>
      <c r="G340" s="77">
        <f>G341+G342+G343</f>
        <v>6394.3</v>
      </c>
      <c r="H340" s="77">
        <f>H341+H342+H343</f>
        <v>6394.2373399999997</v>
      </c>
      <c r="I340" s="248">
        <f t="shared" si="142"/>
        <v>99.999020064745153</v>
      </c>
      <c r="J340" s="248">
        <f t="shared" si="143"/>
        <v>100</v>
      </c>
    </row>
    <row r="341" spans="1:10" x14ac:dyDescent="0.25">
      <c r="A341" s="12"/>
      <c r="B341" s="12"/>
      <c r="C341" s="12"/>
      <c r="D341" s="6" t="s">
        <v>272</v>
      </c>
      <c r="E341" s="3" t="s">
        <v>273</v>
      </c>
      <c r="F341" s="67">
        <v>6024.3</v>
      </c>
      <c r="G341" s="265">
        <v>931.8</v>
      </c>
      <c r="H341" s="265">
        <v>931.73734000000002</v>
      </c>
      <c r="I341" s="246">
        <f t="shared" si="142"/>
        <v>99.99327538098305</v>
      </c>
      <c r="J341" s="246">
        <f t="shared" si="143"/>
        <v>15.467357203326525</v>
      </c>
    </row>
    <row r="342" spans="1:10" ht="26.25" x14ac:dyDescent="0.25">
      <c r="A342" s="12"/>
      <c r="B342" s="12"/>
      <c r="C342" s="12"/>
      <c r="D342" s="6" t="s">
        <v>290</v>
      </c>
      <c r="E342" s="3" t="s">
        <v>291</v>
      </c>
      <c r="F342" s="67"/>
      <c r="G342" s="265">
        <v>5092.5</v>
      </c>
      <c r="H342" s="265">
        <v>5092.5</v>
      </c>
      <c r="I342" s="246">
        <f t="shared" si="142"/>
        <v>100</v>
      </c>
      <c r="J342" s="246"/>
    </row>
    <row r="343" spans="1:10" ht="25.5" x14ac:dyDescent="0.25">
      <c r="A343" s="12"/>
      <c r="B343" s="12"/>
      <c r="C343" s="12"/>
      <c r="D343" s="6" t="s">
        <v>449</v>
      </c>
      <c r="E343" s="1" t="s">
        <v>450</v>
      </c>
      <c r="F343" s="67">
        <f>290+80</f>
        <v>370</v>
      </c>
      <c r="G343" s="265">
        <v>370</v>
      </c>
      <c r="H343" s="265">
        <v>370</v>
      </c>
      <c r="I343" s="246">
        <f t="shared" si="142"/>
        <v>100</v>
      </c>
      <c r="J343" s="246">
        <f t="shared" si="143"/>
        <v>100</v>
      </c>
    </row>
    <row r="344" spans="1:10" ht="26.25" x14ac:dyDescent="0.25">
      <c r="A344" s="6"/>
      <c r="B344" s="6"/>
      <c r="C344" s="6" t="s">
        <v>440</v>
      </c>
      <c r="D344" s="6"/>
      <c r="E344" s="3" t="s">
        <v>315</v>
      </c>
      <c r="F344" s="67">
        <f>F345</f>
        <v>1023.4</v>
      </c>
      <c r="G344" s="67">
        <f t="shared" ref="G344:H344" si="148">G345</f>
        <v>1023.4</v>
      </c>
      <c r="H344" s="67">
        <f t="shared" si="148"/>
        <v>1023.33369</v>
      </c>
      <c r="I344" s="246">
        <f t="shared" si="142"/>
        <v>99.993520617549351</v>
      </c>
      <c r="J344" s="246">
        <f t="shared" si="143"/>
        <v>100</v>
      </c>
    </row>
    <row r="345" spans="1:10" x14ac:dyDescent="0.25">
      <c r="A345" s="6"/>
      <c r="B345" s="6"/>
      <c r="C345" s="6"/>
      <c r="D345" s="6" t="s">
        <v>272</v>
      </c>
      <c r="E345" s="3" t="s">
        <v>273</v>
      </c>
      <c r="F345" s="67">
        <v>1023.4</v>
      </c>
      <c r="G345" s="67">
        <v>1023.4</v>
      </c>
      <c r="H345" s="264">
        <v>1023.33369</v>
      </c>
      <c r="I345" s="246">
        <f t="shared" si="142"/>
        <v>99.993520617549351</v>
      </c>
      <c r="J345" s="246">
        <f t="shared" si="143"/>
        <v>100</v>
      </c>
    </row>
    <row r="346" spans="1:10" ht="38.25" x14ac:dyDescent="0.25">
      <c r="A346" s="6"/>
      <c r="B346" s="6"/>
      <c r="C346" s="6" t="s">
        <v>814</v>
      </c>
      <c r="D346" s="6"/>
      <c r="E346" s="1" t="s">
        <v>477</v>
      </c>
      <c r="F346" s="77">
        <f>F347</f>
        <v>3615.5122299999998</v>
      </c>
      <c r="G346" s="77">
        <f t="shared" ref="G346:H346" si="149">G347</f>
        <v>3615.5105600000002</v>
      </c>
      <c r="H346" s="77">
        <f t="shared" si="149"/>
        <v>3615.51</v>
      </c>
      <c r="I346" s="248">
        <f t="shared" si="142"/>
        <v>99.999984511177871</v>
      </c>
      <c r="J346" s="248">
        <f t="shared" si="143"/>
        <v>99.999953810141037</v>
      </c>
    </row>
    <row r="347" spans="1:10" x14ac:dyDescent="0.25">
      <c r="A347" s="6"/>
      <c r="B347" s="6"/>
      <c r="C347" s="16"/>
      <c r="D347" s="6" t="s">
        <v>272</v>
      </c>
      <c r="E347" s="3" t="s">
        <v>273</v>
      </c>
      <c r="F347" s="77">
        <f>SUM(F348:F349)</f>
        <v>3615.5122299999998</v>
      </c>
      <c r="G347" s="77">
        <f t="shared" ref="G347:H347" si="150">SUM(G348:G349)</f>
        <v>3615.5105600000002</v>
      </c>
      <c r="H347" s="77">
        <f t="shared" si="150"/>
        <v>3615.51</v>
      </c>
      <c r="I347" s="248">
        <f t="shared" si="142"/>
        <v>99.999984511177871</v>
      </c>
      <c r="J347" s="248">
        <f t="shared" si="143"/>
        <v>99.999953810141037</v>
      </c>
    </row>
    <row r="348" spans="1:10" x14ac:dyDescent="0.25">
      <c r="A348" s="6"/>
      <c r="B348" s="6"/>
      <c r="C348" s="16"/>
      <c r="D348" s="6"/>
      <c r="E348" s="3" t="s">
        <v>149</v>
      </c>
      <c r="F348" s="77">
        <v>2711.6341699999998</v>
      </c>
      <c r="G348" s="77">
        <v>2711.6325000000002</v>
      </c>
      <c r="H348" s="77">
        <v>2711.6325000000002</v>
      </c>
      <c r="I348" s="248">
        <f t="shared" si="142"/>
        <v>100</v>
      </c>
      <c r="J348" s="248">
        <f t="shared" si="143"/>
        <v>99.999938413521335</v>
      </c>
    </row>
    <row r="349" spans="1:10" x14ac:dyDescent="0.25">
      <c r="A349" s="6"/>
      <c r="B349" s="6"/>
      <c r="C349" s="16"/>
      <c r="D349" s="6"/>
      <c r="E349" s="19" t="s">
        <v>102</v>
      </c>
      <c r="F349" s="77">
        <v>903.87806</v>
      </c>
      <c r="G349" s="77">
        <v>903.87806</v>
      </c>
      <c r="H349" s="77">
        <v>903.87750000000005</v>
      </c>
      <c r="I349" s="248">
        <f t="shared" si="142"/>
        <v>99.999938044740247</v>
      </c>
      <c r="J349" s="248">
        <f t="shared" si="143"/>
        <v>100</v>
      </c>
    </row>
    <row r="350" spans="1:10" ht="26.25" x14ac:dyDescent="0.25">
      <c r="A350" s="6"/>
      <c r="B350" s="6"/>
      <c r="C350" s="22" t="s">
        <v>760</v>
      </c>
      <c r="D350" s="22"/>
      <c r="E350" s="53" t="s">
        <v>798</v>
      </c>
      <c r="F350" s="77">
        <f>F351</f>
        <v>200</v>
      </c>
      <c r="G350" s="77">
        <f t="shared" ref="G350:H350" si="151">G351</f>
        <v>200</v>
      </c>
      <c r="H350" s="77">
        <f t="shared" si="151"/>
        <v>200</v>
      </c>
      <c r="I350" s="248">
        <f t="shared" si="142"/>
        <v>100</v>
      </c>
      <c r="J350" s="248">
        <f t="shared" si="143"/>
        <v>100</v>
      </c>
    </row>
    <row r="351" spans="1:10" x14ac:dyDescent="0.25">
      <c r="A351" s="6"/>
      <c r="B351" s="6"/>
      <c r="C351" s="22"/>
      <c r="D351" s="22" t="s">
        <v>272</v>
      </c>
      <c r="E351" s="53" t="s">
        <v>273</v>
      </c>
      <c r="F351" s="77">
        <v>200</v>
      </c>
      <c r="G351" s="77">
        <v>200</v>
      </c>
      <c r="H351" s="77">
        <v>200</v>
      </c>
      <c r="I351" s="248">
        <f t="shared" si="142"/>
        <v>100</v>
      </c>
      <c r="J351" s="248">
        <f t="shared" si="143"/>
        <v>100</v>
      </c>
    </row>
    <row r="352" spans="1:10" x14ac:dyDescent="0.25">
      <c r="A352" s="32"/>
      <c r="B352" s="32"/>
      <c r="C352" s="32" t="s">
        <v>316</v>
      </c>
      <c r="D352" s="32"/>
      <c r="E352" s="20" t="s">
        <v>317</v>
      </c>
      <c r="F352" s="68">
        <f>F353+F355</f>
        <v>1472.9</v>
      </c>
      <c r="G352" s="68">
        <f t="shared" ref="G352:H352" si="152">G353+G355</f>
        <v>1472.9</v>
      </c>
      <c r="H352" s="68">
        <f t="shared" si="152"/>
        <v>1267.04739</v>
      </c>
      <c r="I352" s="245">
        <f t="shared" si="142"/>
        <v>86.023992803313192</v>
      </c>
      <c r="J352" s="245">
        <f t="shared" si="143"/>
        <v>100</v>
      </c>
    </row>
    <row r="353" spans="1:10" x14ac:dyDescent="0.25">
      <c r="A353" s="6"/>
      <c r="B353" s="6"/>
      <c r="C353" s="6" t="s">
        <v>318</v>
      </c>
      <c r="D353" s="16"/>
      <c r="E353" s="1" t="s">
        <v>319</v>
      </c>
      <c r="F353" s="67">
        <f>F354</f>
        <v>1133.7</v>
      </c>
      <c r="G353" s="67">
        <f t="shared" ref="G353:H353" si="153">G354</f>
        <v>1133.7</v>
      </c>
      <c r="H353" s="67">
        <f t="shared" si="153"/>
        <v>1133.69074</v>
      </c>
      <c r="I353" s="246">
        <f t="shared" si="142"/>
        <v>99.999183205433525</v>
      </c>
      <c r="J353" s="246">
        <f t="shared" si="143"/>
        <v>100</v>
      </c>
    </row>
    <row r="354" spans="1:10" x14ac:dyDescent="0.25">
      <c r="A354" s="6"/>
      <c r="B354" s="6"/>
      <c r="C354" s="6"/>
      <c r="D354" s="6" t="s">
        <v>272</v>
      </c>
      <c r="E354" s="3" t="s">
        <v>273</v>
      </c>
      <c r="F354" s="67">
        <v>1133.7</v>
      </c>
      <c r="G354" s="67">
        <v>1133.7</v>
      </c>
      <c r="H354" s="264">
        <v>1133.69074</v>
      </c>
      <c r="I354" s="246">
        <f t="shared" si="142"/>
        <v>99.999183205433525</v>
      </c>
      <c r="J354" s="246">
        <f t="shared" si="143"/>
        <v>100</v>
      </c>
    </row>
    <row r="355" spans="1:10" x14ac:dyDescent="0.25">
      <c r="A355" s="6"/>
      <c r="B355" s="6"/>
      <c r="C355" s="6" t="s">
        <v>781</v>
      </c>
      <c r="D355" s="4"/>
      <c r="E355" s="19" t="s">
        <v>782</v>
      </c>
      <c r="F355" s="67">
        <v>339.2</v>
      </c>
      <c r="G355" s="67">
        <v>339.2</v>
      </c>
      <c r="H355" s="67">
        <f>H356</f>
        <v>133.35665</v>
      </c>
      <c r="I355" s="246">
        <f t="shared" si="142"/>
        <v>39.315050117924535</v>
      </c>
      <c r="J355" s="246">
        <f t="shared" si="143"/>
        <v>100</v>
      </c>
    </row>
    <row r="356" spans="1:10" x14ac:dyDescent="0.25">
      <c r="A356" s="6"/>
      <c r="B356" s="6"/>
      <c r="C356" s="6"/>
      <c r="D356" s="6" t="s">
        <v>272</v>
      </c>
      <c r="E356" s="3" t="s">
        <v>273</v>
      </c>
      <c r="F356" s="67">
        <v>339.2</v>
      </c>
      <c r="G356" s="67">
        <v>339.2</v>
      </c>
      <c r="H356" s="264">
        <v>133.35665</v>
      </c>
      <c r="I356" s="246">
        <f t="shared" si="142"/>
        <v>39.315050117924535</v>
      </c>
      <c r="J356" s="246">
        <f t="shared" si="143"/>
        <v>100</v>
      </c>
    </row>
    <row r="357" spans="1:10" x14ac:dyDescent="0.25">
      <c r="A357" s="112"/>
      <c r="B357" s="112"/>
      <c r="C357" s="113" t="s">
        <v>378</v>
      </c>
      <c r="D357" s="114"/>
      <c r="E357" s="115" t="s">
        <v>379</v>
      </c>
      <c r="F357" s="116">
        <f>F358</f>
        <v>6055.1</v>
      </c>
      <c r="G357" s="116">
        <f t="shared" ref="G357:H357" si="154">G358</f>
        <v>6763.55</v>
      </c>
      <c r="H357" s="116">
        <f t="shared" si="154"/>
        <v>6763.4580699999997</v>
      </c>
      <c r="I357" s="249">
        <f t="shared" si="142"/>
        <v>99.998640802537125</v>
      </c>
      <c r="J357" s="249">
        <f t="shared" si="143"/>
        <v>111.70005449951282</v>
      </c>
    </row>
    <row r="358" spans="1:10" ht="26.25" x14ac:dyDescent="0.25">
      <c r="A358" s="61"/>
      <c r="B358" s="61"/>
      <c r="C358" s="60" t="s">
        <v>386</v>
      </c>
      <c r="D358" s="60"/>
      <c r="E358" s="62" t="s">
        <v>387</v>
      </c>
      <c r="F358" s="80">
        <f>F359+F361</f>
        <v>6055.1</v>
      </c>
      <c r="G358" s="80">
        <f>G359+G361+G363</f>
        <v>6763.55</v>
      </c>
      <c r="H358" s="80">
        <f>H359+H361+H363</f>
        <v>6763.4580699999997</v>
      </c>
      <c r="I358" s="255">
        <f t="shared" si="142"/>
        <v>99.998640802537125</v>
      </c>
      <c r="J358" s="255">
        <f t="shared" si="143"/>
        <v>111.70005449951282</v>
      </c>
    </row>
    <row r="359" spans="1:10" ht="26.25" x14ac:dyDescent="0.25">
      <c r="A359" s="6"/>
      <c r="B359" s="6"/>
      <c r="C359" s="22" t="s">
        <v>793</v>
      </c>
      <c r="D359" s="16"/>
      <c r="E359" s="52" t="s">
        <v>792</v>
      </c>
      <c r="F359" s="67">
        <f>F360</f>
        <v>2631.2</v>
      </c>
      <c r="G359" s="67">
        <f t="shared" ref="G359:H359" si="155">G360</f>
        <v>2631.2</v>
      </c>
      <c r="H359" s="67">
        <f t="shared" si="155"/>
        <v>2631.1080700000002</v>
      </c>
      <c r="I359" s="246">
        <f t="shared" si="142"/>
        <v>99.99650615688661</v>
      </c>
      <c r="J359" s="246">
        <f t="shared" si="143"/>
        <v>100</v>
      </c>
    </row>
    <row r="360" spans="1:10" ht="26.25" x14ac:dyDescent="0.25">
      <c r="A360" s="6"/>
      <c r="B360" s="6"/>
      <c r="C360" s="17"/>
      <c r="D360" s="6" t="s">
        <v>290</v>
      </c>
      <c r="E360" s="3" t="s">
        <v>291</v>
      </c>
      <c r="F360" s="67">
        <v>2631.2</v>
      </c>
      <c r="G360" s="67">
        <v>2631.2</v>
      </c>
      <c r="H360" s="264">
        <v>2631.1080700000002</v>
      </c>
      <c r="I360" s="246">
        <f t="shared" si="142"/>
        <v>99.99650615688661</v>
      </c>
      <c r="J360" s="246">
        <f t="shared" si="143"/>
        <v>100</v>
      </c>
    </row>
    <row r="361" spans="1:10" x14ac:dyDescent="0.25">
      <c r="A361" s="6"/>
      <c r="B361" s="6"/>
      <c r="C361" s="22" t="s">
        <v>813</v>
      </c>
      <c r="D361" s="16"/>
      <c r="E361" s="52" t="s">
        <v>812</v>
      </c>
      <c r="F361" s="67">
        <f>F362</f>
        <v>3423.9</v>
      </c>
      <c r="G361" s="67">
        <f t="shared" ref="G361:H361" si="156">G362</f>
        <v>3423.9</v>
      </c>
      <c r="H361" s="67">
        <f t="shared" si="156"/>
        <v>3423.9</v>
      </c>
      <c r="I361" s="246">
        <f t="shared" si="142"/>
        <v>100</v>
      </c>
      <c r="J361" s="246">
        <f t="shared" si="143"/>
        <v>100</v>
      </c>
    </row>
    <row r="362" spans="1:10" ht="25.5" x14ac:dyDescent="0.25">
      <c r="A362" s="6"/>
      <c r="B362" s="6"/>
      <c r="C362" s="17"/>
      <c r="D362" s="6" t="s">
        <v>449</v>
      </c>
      <c r="E362" s="1" t="s">
        <v>450</v>
      </c>
      <c r="F362" s="67">
        <v>3423.9</v>
      </c>
      <c r="G362" s="67">
        <v>3423.9</v>
      </c>
      <c r="H362" s="67">
        <v>3423.9</v>
      </c>
      <c r="I362" s="246">
        <f t="shared" si="142"/>
        <v>100</v>
      </c>
      <c r="J362" s="246">
        <f t="shared" si="143"/>
        <v>100</v>
      </c>
    </row>
    <row r="363" spans="1:10" x14ac:dyDescent="0.25">
      <c r="A363" s="6"/>
      <c r="B363" s="6"/>
      <c r="C363" s="6" t="s">
        <v>406</v>
      </c>
      <c r="D363" s="6"/>
      <c r="E363" s="3" t="s">
        <v>407</v>
      </c>
      <c r="F363" s="67"/>
      <c r="G363" s="67">
        <f>G364+G365</f>
        <v>708.45</v>
      </c>
      <c r="H363" s="67">
        <f>H364+H365</f>
        <v>708.45</v>
      </c>
      <c r="I363" s="246">
        <f t="shared" si="142"/>
        <v>100</v>
      </c>
      <c r="J363" s="246"/>
    </row>
    <row r="364" spans="1:10" x14ac:dyDescent="0.25">
      <c r="A364" s="6"/>
      <c r="B364" s="6"/>
      <c r="C364" s="6"/>
      <c r="D364" s="16" t="s">
        <v>272</v>
      </c>
      <c r="E364" s="1" t="s">
        <v>273</v>
      </c>
      <c r="F364" s="67"/>
      <c r="G364" s="264">
        <v>213.45</v>
      </c>
      <c r="H364" s="264">
        <v>213.45</v>
      </c>
      <c r="I364" s="246">
        <f t="shared" si="142"/>
        <v>100</v>
      </c>
      <c r="J364" s="246"/>
    </row>
    <row r="365" spans="1:10" ht="25.5" x14ac:dyDescent="0.25">
      <c r="A365" s="6"/>
      <c r="B365" s="6"/>
      <c r="C365" s="6"/>
      <c r="D365" s="6" t="s">
        <v>449</v>
      </c>
      <c r="E365" s="1" t="s">
        <v>450</v>
      </c>
      <c r="F365" s="67"/>
      <c r="G365" s="264">
        <v>495</v>
      </c>
      <c r="H365" s="264">
        <v>495</v>
      </c>
      <c r="I365" s="246">
        <f t="shared" si="142"/>
        <v>100</v>
      </c>
      <c r="J365" s="246"/>
    </row>
    <row r="366" spans="1:10" x14ac:dyDescent="0.25">
      <c r="A366" s="94"/>
      <c r="B366" s="17" t="s">
        <v>579</v>
      </c>
      <c r="C366" s="104"/>
      <c r="D366" s="103"/>
      <c r="E366" s="98" t="s">
        <v>580</v>
      </c>
      <c r="F366" s="124">
        <f>F367+F432</f>
        <v>39802.101880000002</v>
      </c>
      <c r="G366" s="124">
        <f t="shared" ref="G366:H366" si="157">G367+G432</f>
        <v>49094.601839999996</v>
      </c>
      <c r="H366" s="124">
        <f t="shared" si="157"/>
        <v>44435.520659999995</v>
      </c>
      <c r="I366" s="251">
        <f t="shared" si="142"/>
        <v>90.509992941415405</v>
      </c>
      <c r="J366" s="251">
        <f t="shared" si="143"/>
        <v>123.34675688237797</v>
      </c>
    </row>
    <row r="367" spans="1:10" x14ac:dyDescent="0.25">
      <c r="A367" s="94"/>
      <c r="B367" s="17"/>
      <c r="C367" s="104" t="s">
        <v>4</v>
      </c>
      <c r="D367" s="17"/>
      <c r="E367" s="123" t="s">
        <v>5</v>
      </c>
      <c r="F367" s="124">
        <f t="shared" ref="F367:H367" si="158">F368+F414</f>
        <v>39715.601880000002</v>
      </c>
      <c r="G367" s="124">
        <f t="shared" si="158"/>
        <v>49008.101839999996</v>
      </c>
      <c r="H367" s="124">
        <f t="shared" si="158"/>
        <v>44349.020659999995</v>
      </c>
      <c r="I367" s="251">
        <f t="shared" si="142"/>
        <v>90.493242943359007</v>
      </c>
      <c r="J367" s="251">
        <f t="shared" si="143"/>
        <v>123.39760577738976</v>
      </c>
    </row>
    <row r="368" spans="1:10" ht="25.5" x14ac:dyDescent="0.25">
      <c r="A368" s="106"/>
      <c r="B368" s="107"/>
      <c r="C368" s="108" t="s">
        <v>281</v>
      </c>
      <c r="D368" s="107"/>
      <c r="E368" s="109" t="s">
        <v>282</v>
      </c>
      <c r="F368" s="159">
        <f t="shared" ref="F368:H368" si="159">F369+F375</f>
        <v>29596.83107</v>
      </c>
      <c r="G368" s="159">
        <f t="shared" si="159"/>
        <v>38889.331029999994</v>
      </c>
      <c r="H368" s="159">
        <f t="shared" si="159"/>
        <v>34230.28501</v>
      </c>
      <c r="I368" s="257">
        <f t="shared" si="142"/>
        <v>88.019732156344077</v>
      </c>
      <c r="J368" s="257">
        <f t="shared" si="143"/>
        <v>131.39694225379105</v>
      </c>
    </row>
    <row r="369" spans="1:10" x14ac:dyDescent="0.25">
      <c r="A369" s="30"/>
      <c r="B369" s="30"/>
      <c r="C369" s="30" t="s">
        <v>283</v>
      </c>
      <c r="D369" s="30"/>
      <c r="E369" s="51" t="s">
        <v>284</v>
      </c>
      <c r="F369" s="72">
        <f t="shared" ref="F369:H369" si="160">F370</f>
        <v>4104.9799899999998</v>
      </c>
      <c r="G369" s="72">
        <f t="shared" si="160"/>
        <v>4104.9799899999998</v>
      </c>
      <c r="H369" s="72">
        <f t="shared" si="160"/>
        <v>4104.9799899999998</v>
      </c>
      <c r="I369" s="244">
        <f t="shared" si="142"/>
        <v>100</v>
      </c>
      <c r="J369" s="244">
        <f t="shared" si="143"/>
        <v>100</v>
      </c>
    </row>
    <row r="370" spans="1:10" ht="26.25" x14ac:dyDescent="0.25">
      <c r="A370" s="22"/>
      <c r="B370" s="22"/>
      <c r="C370" s="22" t="s">
        <v>288</v>
      </c>
      <c r="D370" s="6"/>
      <c r="E370" s="3" t="s">
        <v>289</v>
      </c>
      <c r="F370" s="67">
        <f t="shared" ref="F370:H370" si="161">F372+F373+F374</f>
        <v>4104.9799899999998</v>
      </c>
      <c r="G370" s="67">
        <f t="shared" si="161"/>
        <v>4104.9799899999998</v>
      </c>
      <c r="H370" s="67">
        <f t="shared" si="161"/>
        <v>4104.9799899999998</v>
      </c>
      <c r="I370" s="246">
        <f t="shared" si="142"/>
        <v>100</v>
      </c>
      <c r="J370" s="246">
        <f t="shared" si="143"/>
        <v>100</v>
      </c>
    </row>
    <row r="371" spans="1:10" x14ac:dyDescent="0.25">
      <c r="A371" s="22"/>
      <c r="B371" s="22"/>
      <c r="C371" s="22"/>
      <c r="D371" s="22" t="s">
        <v>272</v>
      </c>
      <c r="E371" s="53" t="s">
        <v>273</v>
      </c>
      <c r="F371" s="67">
        <f t="shared" ref="F371:H371" si="162">F372+F373+F374</f>
        <v>4104.9799899999998</v>
      </c>
      <c r="G371" s="67">
        <f t="shared" si="162"/>
        <v>4104.9799899999998</v>
      </c>
      <c r="H371" s="67">
        <f t="shared" si="162"/>
        <v>4104.9799899999998</v>
      </c>
      <c r="I371" s="246">
        <f t="shared" si="142"/>
        <v>100</v>
      </c>
      <c r="J371" s="246">
        <f t="shared" si="143"/>
        <v>100</v>
      </c>
    </row>
    <row r="372" spans="1:10" x14ac:dyDescent="0.25">
      <c r="A372" s="22"/>
      <c r="B372" s="22"/>
      <c r="C372" s="22"/>
      <c r="D372" s="6"/>
      <c r="E372" s="52" t="s">
        <v>148</v>
      </c>
      <c r="F372" s="67">
        <v>2729.81169</v>
      </c>
      <c r="G372" s="67">
        <v>2729.81169</v>
      </c>
      <c r="H372" s="67">
        <v>2729.81169</v>
      </c>
      <c r="I372" s="246">
        <f t="shared" si="142"/>
        <v>100</v>
      </c>
      <c r="J372" s="246">
        <f t="shared" si="143"/>
        <v>100</v>
      </c>
    </row>
    <row r="373" spans="1:10" x14ac:dyDescent="0.25">
      <c r="A373" s="22"/>
      <c r="B373" s="22"/>
      <c r="C373" s="22"/>
      <c r="D373" s="6"/>
      <c r="E373" s="52" t="s">
        <v>202</v>
      </c>
      <c r="F373" s="67">
        <v>143.67429999999999</v>
      </c>
      <c r="G373" s="67">
        <v>143.67429999999999</v>
      </c>
      <c r="H373" s="67">
        <v>143.67429999999999</v>
      </c>
      <c r="I373" s="246">
        <f t="shared" si="142"/>
        <v>100</v>
      </c>
      <c r="J373" s="246">
        <f t="shared" si="143"/>
        <v>100</v>
      </c>
    </row>
    <row r="374" spans="1:10" x14ac:dyDescent="0.25">
      <c r="A374" s="22"/>
      <c r="B374" s="22"/>
      <c r="C374" s="22"/>
      <c r="D374" s="6"/>
      <c r="E374" s="52" t="s">
        <v>287</v>
      </c>
      <c r="F374" s="67">
        <v>1231.4939999999999</v>
      </c>
      <c r="G374" s="67">
        <v>1231.4939999999999</v>
      </c>
      <c r="H374" s="67">
        <v>1231.4939999999999</v>
      </c>
      <c r="I374" s="246">
        <f t="shared" si="142"/>
        <v>100</v>
      </c>
      <c r="J374" s="246">
        <f t="shared" si="143"/>
        <v>100</v>
      </c>
    </row>
    <row r="375" spans="1:10" ht="26.25" x14ac:dyDescent="0.25">
      <c r="A375" s="30"/>
      <c r="B375" s="30"/>
      <c r="C375" s="30" t="s">
        <v>292</v>
      </c>
      <c r="D375" s="30"/>
      <c r="E375" s="51" t="s">
        <v>293</v>
      </c>
      <c r="F375" s="72">
        <f>F376+F400+F411</f>
        <v>25491.85108</v>
      </c>
      <c r="G375" s="72">
        <f t="shared" ref="G375:H375" si="163">G376+G400+G411</f>
        <v>34784.351039999994</v>
      </c>
      <c r="H375" s="72">
        <f t="shared" si="163"/>
        <v>30125.30502</v>
      </c>
      <c r="I375" s="244">
        <f t="shared" si="142"/>
        <v>86.605913634431872</v>
      </c>
      <c r="J375" s="244">
        <f t="shared" si="143"/>
        <v>136.45282537873666</v>
      </c>
    </row>
    <row r="376" spans="1:10" ht="26.25" x14ac:dyDescent="0.25">
      <c r="A376" s="32"/>
      <c r="B376" s="32"/>
      <c r="C376" s="32" t="s">
        <v>294</v>
      </c>
      <c r="D376" s="32"/>
      <c r="E376" s="20" t="s">
        <v>295</v>
      </c>
      <c r="F376" s="68">
        <f>F386+F389+F382+F377+F392+F394+F398</f>
        <v>6642.9510799999998</v>
      </c>
      <c r="G376" s="68">
        <f t="shared" ref="G376:H376" si="164">G386+G389+G382+G377+G392+G394+G398</f>
        <v>15605.451079999999</v>
      </c>
      <c r="H376" s="68">
        <f t="shared" si="164"/>
        <v>10946.478160000001</v>
      </c>
      <c r="I376" s="245">
        <f t="shared" si="142"/>
        <v>70.145221076172831</v>
      </c>
      <c r="J376" s="245">
        <f t="shared" si="143"/>
        <v>234.9174469609371</v>
      </c>
    </row>
    <row r="377" spans="1:10" s="38" customFormat="1" x14ac:dyDescent="0.25">
      <c r="A377" s="12"/>
      <c r="B377" s="12"/>
      <c r="C377" s="22" t="s">
        <v>758</v>
      </c>
      <c r="D377" s="6"/>
      <c r="E377" s="19" t="s">
        <v>759</v>
      </c>
      <c r="F377" s="67">
        <f>F378</f>
        <v>462.50008000000003</v>
      </c>
      <c r="G377" s="67">
        <f t="shared" ref="G377:H377" si="165">G378</f>
        <v>4925.0000799999998</v>
      </c>
      <c r="H377" s="67">
        <f t="shared" si="165"/>
        <v>4925.0000799999998</v>
      </c>
      <c r="I377" s="246">
        <f t="shared" si="142"/>
        <v>100</v>
      </c>
      <c r="J377" s="246">
        <f t="shared" si="143"/>
        <v>1064.8646979693494</v>
      </c>
    </row>
    <row r="378" spans="1:10" s="38" customFormat="1" x14ac:dyDescent="0.25">
      <c r="A378" s="12"/>
      <c r="B378" s="12"/>
      <c r="C378" s="6"/>
      <c r="D378" s="6" t="s">
        <v>272</v>
      </c>
      <c r="E378" s="3" t="s">
        <v>273</v>
      </c>
      <c r="F378" s="67">
        <f>F380+F381</f>
        <v>462.50008000000003</v>
      </c>
      <c r="G378" s="67">
        <f>G380+G381+G379</f>
        <v>4925.0000799999998</v>
      </c>
      <c r="H378" s="67">
        <f>H380+H381+H379</f>
        <v>4925.0000799999998</v>
      </c>
      <c r="I378" s="246">
        <f t="shared" ref="I378:I442" si="166">H378/G378*100</f>
        <v>100</v>
      </c>
      <c r="J378" s="246">
        <f t="shared" ref="J378:J442" si="167">G378/F378*100</f>
        <v>1064.8646979693494</v>
      </c>
    </row>
    <row r="379" spans="1:10" s="38" customFormat="1" x14ac:dyDescent="0.25">
      <c r="A379" s="12"/>
      <c r="B379" s="12"/>
      <c r="C379" s="6"/>
      <c r="D379" s="6"/>
      <c r="E379" s="52" t="s">
        <v>202</v>
      </c>
      <c r="F379" s="67"/>
      <c r="G379" s="67">
        <v>3862.5</v>
      </c>
      <c r="H379" s="67">
        <v>3862.5</v>
      </c>
      <c r="I379" s="246">
        <f t="shared" si="166"/>
        <v>100</v>
      </c>
      <c r="J379" s="246"/>
    </row>
    <row r="380" spans="1:10" s="38" customFormat="1" x14ac:dyDescent="0.25">
      <c r="A380" s="12"/>
      <c r="B380" s="12"/>
      <c r="C380" s="6"/>
      <c r="D380" s="6"/>
      <c r="E380" s="52" t="s">
        <v>287</v>
      </c>
      <c r="F380" s="67">
        <v>246.251</v>
      </c>
      <c r="G380" s="67">
        <v>246.251</v>
      </c>
      <c r="H380" s="67">
        <v>246.251</v>
      </c>
      <c r="I380" s="246">
        <f t="shared" si="166"/>
        <v>100</v>
      </c>
      <c r="J380" s="246">
        <f t="shared" si="167"/>
        <v>100</v>
      </c>
    </row>
    <row r="381" spans="1:10" s="38" customFormat="1" x14ac:dyDescent="0.25">
      <c r="A381" s="12"/>
      <c r="B381" s="12"/>
      <c r="C381" s="6"/>
      <c r="D381" s="6"/>
      <c r="E381" s="52" t="s">
        <v>773</v>
      </c>
      <c r="F381" s="67">
        <f>91+125.24908</f>
        <v>216.24907999999999</v>
      </c>
      <c r="G381" s="67">
        <f>91+125.24908+600</f>
        <v>816.24908000000005</v>
      </c>
      <c r="H381" s="67">
        <f>91+125.24908+600</f>
        <v>816.24908000000005</v>
      </c>
      <c r="I381" s="246">
        <f t="shared" si="166"/>
        <v>100</v>
      </c>
      <c r="J381" s="246">
        <f t="shared" si="167"/>
        <v>377.45782779746395</v>
      </c>
    </row>
    <row r="382" spans="1:10" ht="51" x14ac:dyDescent="0.25">
      <c r="A382" s="12"/>
      <c r="B382" s="12"/>
      <c r="C382" s="6" t="s">
        <v>482</v>
      </c>
      <c r="D382" s="6"/>
      <c r="E382" s="1" t="s">
        <v>512</v>
      </c>
      <c r="F382" s="67">
        <f>F383</f>
        <v>3572.0699999999997</v>
      </c>
      <c r="G382" s="67">
        <f t="shared" ref="G382:H382" si="168">G383</f>
        <v>3572.0699999999997</v>
      </c>
      <c r="H382" s="67">
        <f t="shared" si="168"/>
        <v>3572.0699999999997</v>
      </c>
      <c r="I382" s="246">
        <f t="shared" si="166"/>
        <v>100</v>
      </c>
      <c r="J382" s="246">
        <f t="shared" si="167"/>
        <v>100</v>
      </c>
    </row>
    <row r="383" spans="1:10" x14ac:dyDescent="0.25">
      <c r="A383" s="12"/>
      <c r="B383" s="12"/>
      <c r="C383" s="6"/>
      <c r="D383" s="6" t="s">
        <v>272</v>
      </c>
      <c r="E383" s="3" t="s">
        <v>273</v>
      </c>
      <c r="F383" s="67">
        <f>F384+F385</f>
        <v>3572.0699999999997</v>
      </c>
      <c r="G383" s="67">
        <f t="shared" ref="G383:H383" si="169">G384+G385</f>
        <v>3572.0699999999997</v>
      </c>
      <c r="H383" s="67">
        <f t="shared" si="169"/>
        <v>3572.0699999999997</v>
      </c>
      <c r="I383" s="246">
        <f t="shared" si="166"/>
        <v>100</v>
      </c>
      <c r="J383" s="246">
        <f t="shared" si="167"/>
        <v>100</v>
      </c>
    </row>
    <row r="384" spans="1:10" x14ac:dyDescent="0.25">
      <c r="A384" s="12"/>
      <c r="B384" s="12"/>
      <c r="C384" s="6"/>
      <c r="D384" s="6"/>
      <c r="E384" s="52" t="s">
        <v>202</v>
      </c>
      <c r="F384" s="67">
        <v>3214.8629999999998</v>
      </c>
      <c r="G384" s="67">
        <v>3214.8629999999998</v>
      </c>
      <c r="H384" s="67">
        <v>3214.8629999999998</v>
      </c>
      <c r="I384" s="246">
        <f t="shared" si="166"/>
        <v>100</v>
      </c>
      <c r="J384" s="246">
        <f t="shared" si="167"/>
        <v>100</v>
      </c>
    </row>
    <row r="385" spans="1:10" x14ac:dyDescent="0.25">
      <c r="A385" s="12"/>
      <c r="B385" s="12"/>
      <c r="C385" s="6"/>
      <c r="D385" s="6"/>
      <c r="E385" s="52" t="s">
        <v>287</v>
      </c>
      <c r="F385" s="67">
        <v>357.20699999999999</v>
      </c>
      <c r="G385" s="67">
        <v>357.20699999999999</v>
      </c>
      <c r="H385" s="67">
        <v>357.20699999999999</v>
      </c>
      <c r="I385" s="246">
        <f t="shared" si="166"/>
        <v>100</v>
      </c>
      <c r="J385" s="246">
        <f t="shared" si="167"/>
        <v>100</v>
      </c>
    </row>
    <row r="386" spans="1:10" ht="25.5" x14ac:dyDescent="0.25">
      <c r="A386" s="16"/>
      <c r="B386" s="16"/>
      <c r="C386" s="16" t="s">
        <v>296</v>
      </c>
      <c r="D386" s="16"/>
      <c r="E386" s="1" t="s">
        <v>439</v>
      </c>
      <c r="F386" s="77">
        <f t="shared" ref="F386" si="170">F387</f>
        <v>691.3</v>
      </c>
      <c r="G386" s="77">
        <f>G387+G388</f>
        <v>691.3</v>
      </c>
      <c r="H386" s="77">
        <f>H387+H388</f>
        <v>691.3</v>
      </c>
      <c r="I386" s="248">
        <f t="shared" si="166"/>
        <v>100</v>
      </c>
      <c r="J386" s="248">
        <f t="shared" si="167"/>
        <v>100</v>
      </c>
    </row>
    <row r="387" spans="1:10" x14ac:dyDescent="0.25">
      <c r="A387" s="16"/>
      <c r="B387" s="16"/>
      <c r="C387" s="16"/>
      <c r="D387" s="6" t="s">
        <v>272</v>
      </c>
      <c r="E387" s="3" t="s">
        <v>273</v>
      </c>
      <c r="F387" s="77">
        <v>691.3</v>
      </c>
      <c r="G387" s="264">
        <v>161.96632</v>
      </c>
      <c r="H387" s="264">
        <v>161.96632</v>
      </c>
      <c r="I387" s="248">
        <f t="shared" si="166"/>
        <v>100</v>
      </c>
      <c r="J387" s="248">
        <f t="shared" si="167"/>
        <v>23.429237668161438</v>
      </c>
    </row>
    <row r="388" spans="1:10" ht="25.5" x14ac:dyDescent="0.25">
      <c r="A388" s="16"/>
      <c r="B388" s="16"/>
      <c r="C388" s="16"/>
      <c r="D388" s="6" t="s">
        <v>449</v>
      </c>
      <c r="E388" s="1" t="s">
        <v>450</v>
      </c>
      <c r="F388" s="77"/>
      <c r="G388" s="264">
        <v>529.33367999999996</v>
      </c>
      <c r="H388" s="264">
        <v>529.33367999999996</v>
      </c>
      <c r="I388" s="248">
        <f t="shared" si="166"/>
        <v>100</v>
      </c>
      <c r="J388" s="248"/>
    </row>
    <row r="389" spans="1:10" ht="25.5" x14ac:dyDescent="0.25">
      <c r="A389" s="16"/>
      <c r="B389" s="16"/>
      <c r="C389" s="16" t="s">
        <v>297</v>
      </c>
      <c r="D389" s="16"/>
      <c r="E389" s="1" t="s">
        <v>298</v>
      </c>
      <c r="F389" s="77">
        <f>F390</f>
        <v>452.79999999999995</v>
      </c>
      <c r="G389" s="77">
        <v>452.79999999999995</v>
      </c>
      <c r="H389" s="77">
        <v>452.79999999999995</v>
      </c>
      <c r="I389" s="248">
        <f t="shared" si="166"/>
        <v>100</v>
      </c>
      <c r="J389" s="248">
        <f t="shared" si="167"/>
        <v>100</v>
      </c>
    </row>
    <row r="390" spans="1:10" x14ac:dyDescent="0.25">
      <c r="A390" s="16"/>
      <c r="B390" s="16"/>
      <c r="C390" s="16"/>
      <c r="D390" s="6" t="s">
        <v>272</v>
      </c>
      <c r="E390" s="3" t="s">
        <v>273</v>
      </c>
      <c r="F390" s="77">
        <v>452.79999999999995</v>
      </c>
      <c r="G390" s="77"/>
      <c r="H390" s="77"/>
      <c r="I390" s="248"/>
      <c r="J390" s="248">
        <f t="shared" si="167"/>
        <v>0</v>
      </c>
    </row>
    <row r="391" spans="1:10" x14ac:dyDescent="0.25">
      <c r="A391" s="16"/>
      <c r="B391" s="16"/>
      <c r="C391" s="16"/>
      <c r="D391" s="6" t="s">
        <v>449</v>
      </c>
      <c r="E391" s="3" t="s">
        <v>273</v>
      </c>
      <c r="F391" s="77"/>
      <c r="G391" s="77">
        <v>452.79999999999995</v>
      </c>
      <c r="H391" s="77">
        <v>452.79999999999995</v>
      </c>
      <c r="I391" s="248"/>
      <c r="J391" s="248"/>
    </row>
    <row r="392" spans="1:10" x14ac:dyDescent="0.25">
      <c r="A392" s="16"/>
      <c r="B392" s="16"/>
      <c r="C392" s="16" t="s">
        <v>797</v>
      </c>
      <c r="D392" s="6"/>
      <c r="E392" s="52" t="s">
        <v>796</v>
      </c>
      <c r="F392" s="77">
        <v>591.70000000000005</v>
      </c>
      <c r="G392" s="77">
        <v>591.70000000000005</v>
      </c>
      <c r="H392" s="77">
        <f>H393</f>
        <v>591.66</v>
      </c>
      <c r="I392" s="248">
        <f t="shared" si="166"/>
        <v>99.993239817475057</v>
      </c>
      <c r="J392" s="248">
        <f t="shared" si="167"/>
        <v>100</v>
      </c>
    </row>
    <row r="393" spans="1:10" x14ac:dyDescent="0.25">
      <c r="A393" s="16"/>
      <c r="B393" s="16"/>
      <c r="C393" s="16"/>
      <c r="D393" s="6" t="s">
        <v>449</v>
      </c>
      <c r="E393" s="3" t="s">
        <v>273</v>
      </c>
      <c r="F393" s="77">
        <v>591.70000000000005</v>
      </c>
      <c r="G393" s="77">
        <v>591.70000000000005</v>
      </c>
      <c r="H393" s="264">
        <v>591.66</v>
      </c>
      <c r="I393" s="248">
        <f t="shared" si="166"/>
        <v>99.993239817475057</v>
      </c>
      <c r="J393" s="248">
        <f t="shared" si="167"/>
        <v>100</v>
      </c>
    </row>
    <row r="394" spans="1:10" x14ac:dyDescent="0.25">
      <c r="A394" s="16"/>
      <c r="B394" s="16"/>
      <c r="C394" s="6" t="s">
        <v>802</v>
      </c>
      <c r="D394" s="6"/>
      <c r="E394" s="3" t="s">
        <v>799</v>
      </c>
      <c r="F394" s="77">
        <v>746.28099999999995</v>
      </c>
      <c r="G394" s="77">
        <f>G395</f>
        <v>5246.2809999999999</v>
      </c>
      <c r="H394" s="77">
        <f>H395</f>
        <v>587.36217999999997</v>
      </c>
      <c r="I394" s="248">
        <f t="shared" si="166"/>
        <v>11.195781926282637</v>
      </c>
      <c r="J394" s="248">
        <f t="shared" si="167"/>
        <v>702.99002654496098</v>
      </c>
    </row>
    <row r="395" spans="1:10" x14ac:dyDescent="0.25">
      <c r="A395" s="16"/>
      <c r="B395" s="16"/>
      <c r="C395" s="16"/>
      <c r="D395" s="6" t="s">
        <v>272</v>
      </c>
      <c r="E395" s="3" t="s">
        <v>273</v>
      </c>
      <c r="F395" s="77">
        <v>746.28099999999995</v>
      </c>
      <c r="G395" s="77">
        <f>G396+G397</f>
        <v>5246.2809999999999</v>
      </c>
      <c r="H395" s="77">
        <f>H396+H397</f>
        <v>587.36217999999997</v>
      </c>
      <c r="I395" s="248">
        <f t="shared" si="166"/>
        <v>11.195781926282637</v>
      </c>
      <c r="J395" s="248">
        <f t="shared" si="167"/>
        <v>702.99002654496098</v>
      </c>
    </row>
    <row r="396" spans="1:10" x14ac:dyDescent="0.25">
      <c r="A396" s="16"/>
      <c r="B396" s="16"/>
      <c r="C396" s="16"/>
      <c r="D396" s="6"/>
      <c r="E396" s="52" t="s">
        <v>202</v>
      </c>
      <c r="F396" s="77"/>
      <c r="G396" s="77">
        <v>4500</v>
      </c>
      <c r="H396" s="77">
        <v>450</v>
      </c>
      <c r="I396" s="248">
        <f t="shared" si="166"/>
        <v>10</v>
      </c>
      <c r="J396" s="248"/>
    </row>
    <row r="397" spans="1:10" x14ac:dyDescent="0.25">
      <c r="A397" s="16"/>
      <c r="B397" s="16"/>
      <c r="C397" s="16"/>
      <c r="D397" s="6"/>
      <c r="E397" s="52" t="s">
        <v>287</v>
      </c>
      <c r="F397" s="77">
        <v>746.28099999999995</v>
      </c>
      <c r="G397" s="77">
        <v>746.28099999999995</v>
      </c>
      <c r="H397" s="77">
        <v>137.36218</v>
      </c>
      <c r="I397" s="248">
        <f t="shared" si="166"/>
        <v>18.406227680994157</v>
      </c>
      <c r="J397" s="248">
        <f t="shared" si="167"/>
        <v>100</v>
      </c>
    </row>
    <row r="398" spans="1:10" ht="26.25" x14ac:dyDescent="0.25">
      <c r="A398" s="16"/>
      <c r="B398" s="16"/>
      <c r="C398" s="16" t="s">
        <v>806</v>
      </c>
      <c r="D398" s="6"/>
      <c r="E398" s="52" t="s">
        <v>807</v>
      </c>
      <c r="F398" s="77">
        <f>F399</f>
        <v>126.3</v>
      </c>
      <c r="G398" s="77">
        <f t="shared" ref="G398:H398" si="171">G399</f>
        <v>126.3</v>
      </c>
      <c r="H398" s="77">
        <f t="shared" si="171"/>
        <v>126.2859</v>
      </c>
      <c r="I398" s="248">
        <f t="shared" si="166"/>
        <v>99.988836104513069</v>
      </c>
      <c r="J398" s="248">
        <f t="shared" si="167"/>
        <v>100</v>
      </c>
    </row>
    <row r="399" spans="1:10" x14ac:dyDescent="0.25">
      <c r="A399" s="16"/>
      <c r="B399" s="16"/>
      <c r="C399" s="16"/>
      <c r="D399" s="6" t="s">
        <v>272</v>
      </c>
      <c r="E399" s="3" t="s">
        <v>273</v>
      </c>
      <c r="F399" s="77">
        <v>126.3</v>
      </c>
      <c r="G399" s="77">
        <v>126.3</v>
      </c>
      <c r="H399" s="264">
        <v>126.2859</v>
      </c>
      <c r="I399" s="248">
        <f t="shared" si="166"/>
        <v>99.988836104513069</v>
      </c>
      <c r="J399" s="248">
        <f t="shared" si="167"/>
        <v>100</v>
      </c>
    </row>
    <row r="400" spans="1:10" x14ac:dyDescent="0.25">
      <c r="A400" s="32"/>
      <c r="B400" s="32"/>
      <c r="C400" s="32" t="s">
        <v>299</v>
      </c>
      <c r="D400" s="35"/>
      <c r="E400" s="20" t="s">
        <v>300</v>
      </c>
      <c r="F400" s="68">
        <f>F401+F403+F405</f>
        <v>598.4</v>
      </c>
      <c r="G400" s="68">
        <f>G401+G403+G405+G407</f>
        <v>928.39995999999996</v>
      </c>
      <c r="H400" s="68">
        <f>H401+H403+H405+H407</f>
        <v>928.3268599999999</v>
      </c>
      <c r="I400" s="245">
        <f t="shared" si="166"/>
        <v>99.992126238350977</v>
      </c>
      <c r="J400" s="245">
        <f t="shared" si="167"/>
        <v>155.14705213903744</v>
      </c>
    </row>
    <row r="401" spans="1:10" x14ac:dyDescent="0.25">
      <c r="A401" s="94"/>
      <c r="B401" s="94"/>
      <c r="C401" s="6" t="s">
        <v>301</v>
      </c>
      <c r="D401" s="54"/>
      <c r="E401" s="53" t="s">
        <v>513</v>
      </c>
      <c r="F401" s="77">
        <f>F402</f>
        <v>205.85623999999999</v>
      </c>
      <c r="G401" s="77">
        <f t="shared" ref="G401:H401" si="172">G402</f>
        <v>195.8562</v>
      </c>
      <c r="H401" s="77">
        <f t="shared" si="172"/>
        <v>195.8562</v>
      </c>
      <c r="I401" s="248">
        <f t="shared" si="166"/>
        <v>100</v>
      </c>
      <c r="J401" s="248">
        <f t="shared" si="167"/>
        <v>95.142221581429837</v>
      </c>
    </row>
    <row r="402" spans="1:10" x14ac:dyDescent="0.25">
      <c r="A402" s="94"/>
      <c r="B402" s="94"/>
      <c r="C402" s="12"/>
      <c r="D402" s="6" t="s">
        <v>272</v>
      </c>
      <c r="E402" s="3" t="s">
        <v>273</v>
      </c>
      <c r="F402" s="77">
        <v>205.85623999999999</v>
      </c>
      <c r="G402" s="264">
        <v>195.8562</v>
      </c>
      <c r="H402" s="264">
        <v>195.8562</v>
      </c>
      <c r="I402" s="248">
        <f t="shared" si="166"/>
        <v>100</v>
      </c>
      <c r="J402" s="248">
        <f t="shared" si="167"/>
        <v>95.142221581429837</v>
      </c>
    </row>
    <row r="403" spans="1:10" x14ac:dyDescent="0.25">
      <c r="A403" s="94"/>
      <c r="B403" s="94"/>
      <c r="C403" s="6" t="s">
        <v>306</v>
      </c>
      <c r="D403" s="22"/>
      <c r="E403" s="53" t="s">
        <v>307</v>
      </c>
      <c r="F403" s="77">
        <f>F404</f>
        <v>360.3</v>
      </c>
      <c r="G403" s="77">
        <f t="shared" ref="G403:H403" si="173">G404</f>
        <v>190.33885000000001</v>
      </c>
      <c r="H403" s="77">
        <f t="shared" si="173"/>
        <v>190.26575</v>
      </c>
      <c r="I403" s="248">
        <f t="shared" si="166"/>
        <v>99.961594808416663</v>
      </c>
      <c r="J403" s="248">
        <f t="shared" si="167"/>
        <v>52.827879544823766</v>
      </c>
    </row>
    <row r="404" spans="1:10" x14ac:dyDescent="0.25">
      <c r="A404" s="94"/>
      <c r="B404" s="94"/>
      <c r="C404" s="18"/>
      <c r="D404" s="6" t="s">
        <v>272</v>
      </c>
      <c r="E404" s="3" t="s">
        <v>273</v>
      </c>
      <c r="F404" s="77">
        <v>360.3</v>
      </c>
      <c r="G404" s="264">
        <v>190.33885000000001</v>
      </c>
      <c r="H404" s="264">
        <v>190.26575</v>
      </c>
      <c r="I404" s="248">
        <f t="shared" si="166"/>
        <v>99.961594808416663</v>
      </c>
      <c r="J404" s="248">
        <f t="shared" si="167"/>
        <v>52.827879544823766</v>
      </c>
    </row>
    <row r="405" spans="1:10" ht="26.25" x14ac:dyDescent="0.25">
      <c r="A405" s="94"/>
      <c r="B405" s="94"/>
      <c r="C405" s="6" t="s">
        <v>809</v>
      </c>
      <c r="D405" s="6"/>
      <c r="E405" s="3" t="s">
        <v>808</v>
      </c>
      <c r="F405" s="77">
        <f>F406</f>
        <v>32.243760000000002</v>
      </c>
      <c r="G405" s="77">
        <f t="shared" ref="G405:H405" si="174">G406</f>
        <v>32.243760000000002</v>
      </c>
      <c r="H405" s="77">
        <f t="shared" si="174"/>
        <v>32.243760000000002</v>
      </c>
      <c r="I405" s="248">
        <f t="shared" si="166"/>
        <v>100</v>
      </c>
      <c r="J405" s="248">
        <f t="shared" si="167"/>
        <v>100</v>
      </c>
    </row>
    <row r="406" spans="1:10" x14ac:dyDescent="0.25">
      <c r="A406" s="94"/>
      <c r="B406" s="94"/>
      <c r="C406" s="92"/>
      <c r="D406" s="6" t="s">
        <v>272</v>
      </c>
      <c r="E406" s="3" t="s">
        <v>273</v>
      </c>
      <c r="F406" s="77">
        <v>32.243760000000002</v>
      </c>
      <c r="G406" s="77">
        <v>32.243760000000002</v>
      </c>
      <c r="H406" s="77">
        <v>32.243760000000002</v>
      </c>
      <c r="I406" s="248">
        <f t="shared" si="166"/>
        <v>100</v>
      </c>
      <c r="J406" s="248">
        <f t="shared" si="167"/>
        <v>100</v>
      </c>
    </row>
    <row r="407" spans="1:10" ht="26.25" x14ac:dyDescent="0.25">
      <c r="A407" s="94"/>
      <c r="B407" s="94"/>
      <c r="C407" s="18" t="s">
        <v>844</v>
      </c>
      <c r="D407" s="6"/>
      <c r="E407" s="3" t="s">
        <v>845</v>
      </c>
      <c r="F407" s="77"/>
      <c r="G407" s="77">
        <f>G408</f>
        <v>509.96114999999998</v>
      </c>
      <c r="H407" s="77">
        <f>H408</f>
        <v>509.96114999999998</v>
      </c>
      <c r="I407" s="248">
        <f t="shared" si="166"/>
        <v>100</v>
      </c>
      <c r="J407" s="248"/>
    </row>
    <row r="408" spans="1:10" x14ac:dyDescent="0.25">
      <c r="A408" s="94"/>
      <c r="B408" s="94"/>
      <c r="C408" s="92"/>
      <c r="D408" s="6" t="s">
        <v>272</v>
      </c>
      <c r="E408" s="3" t="s">
        <v>273</v>
      </c>
      <c r="F408" s="77"/>
      <c r="G408" s="77">
        <f>G409+G410</f>
        <v>509.96114999999998</v>
      </c>
      <c r="H408" s="77">
        <f>H409+H410</f>
        <v>509.96114999999998</v>
      </c>
      <c r="I408" s="248">
        <f t="shared" si="166"/>
        <v>100</v>
      </c>
      <c r="J408" s="248"/>
    </row>
    <row r="409" spans="1:10" x14ac:dyDescent="0.25">
      <c r="A409" s="94"/>
      <c r="B409" s="94"/>
      <c r="C409" s="92"/>
      <c r="D409" s="6"/>
      <c r="E409" s="52" t="s">
        <v>202</v>
      </c>
      <c r="F409" s="77"/>
      <c r="G409" s="77">
        <v>340</v>
      </c>
      <c r="H409" s="77">
        <v>340</v>
      </c>
      <c r="I409" s="248">
        <f t="shared" si="166"/>
        <v>100</v>
      </c>
      <c r="J409" s="248"/>
    </row>
    <row r="410" spans="1:10" x14ac:dyDescent="0.25">
      <c r="A410" s="94"/>
      <c r="B410" s="94"/>
      <c r="C410" s="92"/>
      <c r="D410" s="6"/>
      <c r="E410" s="52" t="s">
        <v>287</v>
      </c>
      <c r="F410" s="77"/>
      <c r="G410" s="77">
        <v>169.96115</v>
      </c>
      <c r="H410" s="77">
        <v>169.96115</v>
      </c>
      <c r="I410" s="248">
        <f t="shared" si="166"/>
        <v>100</v>
      </c>
      <c r="J410" s="248"/>
    </row>
    <row r="411" spans="1:10" x14ac:dyDescent="0.25">
      <c r="A411" s="32"/>
      <c r="B411" s="32"/>
      <c r="C411" s="32" t="s">
        <v>515</v>
      </c>
      <c r="D411" s="32"/>
      <c r="E411" s="20" t="s">
        <v>516</v>
      </c>
      <c r="F411" s="68">
        <f t="shared" ref="F411:H412" si="175">F412</f>
        <v>18250.5</v>
      </c>
      <c r="G411" s="68">
        <f t="shared" si="175"/>
        <v>18250.5</v>
      </c>
      <c r="H411" s="68">
        <f t="shared" si="175"/>
        <v>18250.5</v>
      </c>
      <c r="I411" s="245">
        <f t="shared" si="166"/>
        <v>100</v>
      </c>
      <c r="J411" s="245">
        <f t="shared" si="167"/>
        <v>100</v>
      </c>
    </row>
    <row r="412" spans="1:10" x14ac:dyDescent="0.25">
      <c r="A412" s="94"/>
      <c r="B412" s="94"/>
      <c r="C412" s="6" t="s">
        <v>517</v>
      </c>
      <c r="D412" s="6"/>
      <c r="E412" s="21" t="s">
        <v>635</v>
      </c>
      <c r="F412" s="67">
        <f t="shared" si="175"/>
        <v>18250.5</v>
      </c>
      <c r="G412" s="67">
        <f>G413</f>
        <v>18250.5</v>
      </c>
      <c r="H412" s="67">
        <f t="shared" si="175"/>
        <v>18250.5</v>
      </c>
      <c r="I412" s="246">
        <f t="shared" si="166"/>
        <v>100</v>
      </c>
      <c r="J412" s="246">
        <f t="shared" si="167"/>
        <v>100</v>
      </c>
    </row>
    <row r="413" spans="1:10" ht="25.5" x14ac:dyDescent="0.25">
      <c r="A413" s="94"/>
      <c r="B413" s="94"/>
      <c r="C413" s="6"/>
      <c r="D413" s="6" t="s">
        <v>449</v>
      </c>
      <c r="E413" s="1" t="s">
        <v>450</v>
      </c>
      <c r="F413" s="67">
        <v>18250.5</v>
      </c>
      <c r="G413" s="67">
        <v>18250.5</v>
      </c>
      <c r="H413" s="67">
        <v>18250.5</v>
      </c>
      <c r="I413" s="246">
        <f t="shared" si="166"/>
        <v>100</v>
      </c>
      <c r="J413" s="246">
        <f t="shared" si="167"/>
        <v>100</v>
      </c>
    </row>
    <row r="414" spans="1:10" ht="25.5" x14ac:dyDescent="0.25">
      <c r="A414" s="106"/>
      <c r="B414" s="107"/>
      <c r="C414" s="108" t="s">
        <v>342</v>
      </c>
      <c r="D414" s="107"/>
      <c r="E414" s="109" t="s">
        <v>375</v>
      </c>
      <c r="F414" s="159">
        <f t="shared" ref="F414:H414" si="176">F415+F418+F424</f>
        <v>10118.77081</v>
      </c>
      <c r="G414" s="159">
        <f t="shared" si="176"/>
        <v>10118.77081</v>
      </c>
      <c r="H414" s="159">
        <f t="shared" si="176"/>
        <v>10118.735649999999</v>
      </c>
      <c r="I414" s="257">
        <f t="shared" si="166"/>
        <v>99.999652526965363</v>
      </c>
      <c r="J414" s="257">
        <f t="shared" si="167"/>
        <v>100</v>
      </c>
    </row>
    <row r="415" spans="1:10" ht="26.25" x14ac:dyDescent="0.25">
      <c r="A415" s="32"/>
      <c r="B415" s="32"/>
      <c r="C415" s="32" t="s">
        <v>442</v>
      </c>
      <c r="D415" s="35"/>
      <c r="E415" s="33" t="s">
        <v>523</v>
      </c>
      <c r="F415" s="68">
        <f>F416</f>
        <v>173.8</v>
      </c>
      <c r="G415" s="68">
        <f t="shared" ref="G415:H416" si="177">G416</f>
        <v>173.8</v>
      </c>
      <c r="H415" s="68">
        <f t="shared" si="177"/>
        <v>173.76483999999999</v>
      </c>
      <c r="I415" s="245">
        <f t="shared" si="166"/>
        <v>99.979769850402761</v>
      </c>
      <c r="J415" s="245">
        <f t="shared" si="167"/>
        <v>100</v>
      </c>
    </row>
    <row r="416" spans="1:10" x14ac:dyDescent="0.25">
      <c r="A416" s="4"/>
      <c r="B416" s="4"/>
      <c r="C416" s="4" t="s">
        <v>443</v>
      </c>
      <c r="D416" s="16"/>
      <c r="E416" s="1" t="s">
        <v>376</v>
      </c>
      <c r="F416" s="67">
        <f>F417</f>
        <v>173.8</v>
      </c>
      <c r="G416" s="67">
        <f t="shared" si="177"/>
        <v>173.8</v>
      </c>
      <c r="H416" s="67">
        <f t="shared" si="177"/>
        <v>173.76483999999999</v>
      </c>
      <c r="I416" s="246">
        <f t="shared" si="166"/>
        <v>99.979769850402761</v>
      </c>
      <c r="J416" s="246">
        <f t="shared" si="167"/>
        <v>100</v>
      </c>
    </row>
    <row r="417" spans="1:10" x14ac:dyDescent="0.25">
      <c r="A417" s="4"/>
      <c r="B417" s="4"/>
      <c r="C417" s="4"/>
      <c r="D417" s="6" t="s">
        <v>272</v>
      </c>
      <c r="E417" s="3" t="s">
        <v>273</v>
      </c>
      <c r="F417" s="67">
        <v>173.8</v>
      </c>
      <c r="G417" s="67">
        <v>173.8</v>
      </c>
      <c r="H417" s="264">
        <v>173.76483999999999</v>
      </c>
      <c r="I417" s="246">
        <f t="shared" si="166"/>
        <v>99.979769850402761</v>
      </c>
      <c r="J417" s="246">
        <f t="shared" si="167"/>
        <v>100</v>
      </c>
    </row>
    <row r="418" spans="1:10" ht="26.25" x14ac:dyDescent="0.25">
      <c r="A418" s="32"/>
      <c r="B418" s="32"/>
      <c r="C418" s="32" t="s">
        <v>444</v>
      </c>
      <c r="D418" s="35"/>
      <c r="E418" s="33" t="s">
        <v>676</v>
      </c>
      <c r="F418" s="68">
        <f t="shared" ref="F418:H418" si="178">F419</f>
        <v>7528.3618699999997</v>
      </c>
      <c r="G418" s="68">
        <f t="shared" si="178"/>
        <v>7528.3618699999997</v>
      </c>
      <c r="H418" s="68">
        <f t="shared" si="178"/>
        <v>7528.3618699999997</v>
      </c>
      <c r="I418" s="245">
        <f t="shared" si="166"/>
        <v>100</v>
      </c>
      <c r="J418" s="245">
        <f t="shared" si="167"/>
        <v>100</v>
      </c>
    </row>
    <row r="419" spans="1:10" ht="25.5" x14ac:dyDescent="0.25">
      <c r="A419" s="4"/>
      <c r="B419" s="4"/>
      <c r="C419" s="4" t="s">
        <v>445</v>
      </c>
      <c r="D419" s="16"/>
      <c r="E419" s="1" t="s">
        <v>377</v>
      </c>
      <c r="F419" s="67">
        <f>F421+F422+F423</f>
        <v>7528.3618699999997</v>
      </c>
      <c r="G419" s="67">
        <f t="shared" ref="G419:H419" si="179">G421+G422+G423</f>
        <v>7528.3618699999997</v>
      </c>
      <c r="H419" s="67">
        <f t="shared" si="179"/>
        <v>7528.3618699999997</v>
      </c>
      <c r="I419" s="246">
        <f t="shared" si="166"/>
        <v>100</v>
      </c>
      <c r="J419" s="246">
        <f t="shared" si="167"/>
        <v>100</v>
      </c>
    </row>
    <row r="420" spans="1:10" x14ac:dyDescent="0.25">
      <c r="A420" s="4"/>
      <c r="B420" s="4"/>
      <c r="C420" s="4"/>
      <c r="D420" s="6" t="s">
        <v>272</v>
      </c>
      <c r="E420" s="3" t="s">
        <v>273</v>
      </c>
      <c r="F420" s="67">
        <f>F421+F423+F422</f>
        <v>7528.3618699999997</v>
      </c>
      <c r="G420" s="67">
        <f t="shared" ref="G420:H420" si="180">G421+G423+G422</f>
        <v>7528.3618699999997</v>
      </c>
      <c r="H420" s="67">
        <f t="shared" si="180"/>
        <v>7528.3618699999997</v>
      </c>
      <c r="I420" s="246">
        <f t="shared" si="166"/>
        <v>100</v>
      </c>
      <c r="J420" s="246">
        <f t="shared" si="167"/>
        <v>100</v>
      </c>
    </row>
    <row r="421" spans="1:10" x14ac:dyDescent="0.25">
      <c r="A421" s="4"/>
      <c r="B421" s="4"/>
      <c r="C421" s="4"/>
      <c r="D421" s="6"/>
      <c r="E421" s="3" t="s">
        <v>184</v>
      </c>
      <c r="F421" s="67">
        <v>6436.7493999999997</v>
      </c>
      <c r="G421" s="67">
        <v>6436.7493999999997</v>
      </c>
      <c r="H421" s="67">
        <v>6436.7493999999997</v>
      </c>
      <c r="I421" s="246">
        <f t="shared" si="166"/>
        <v>100</v>
      </c>
      <c r="J421" s="246">
        <f t="shared" si="167"/>
        <v>100</v>
      </c>
    </row>
    <row r="422" spans="1:10" x14ac:dyDescent="0.25">
      <c r="A422" s="4"/>
      <c r="B422" s="4"/>
      <c r="C422" s="4"/>
      <c r="D422" s="6"/>
      <c r="E422" s="3" t="s">
        <v>182</v>
      </c>
      <c r="F422" s="67">
        <v>338.77627999999999</v>
      </c>
      <c r="G422" s="67">
        <v>338.77627999999999</v>
      </c>
      <c r="H422" s="67">
        <v>338.77627999999999</v>
      </c>
      <c r="I422" s="246">
        <f t="shared" si="166"/>
        <v>100</v>
      </c>
      <c r="J422" s="246">
        <f t="shared" si="167"/>
        <v>100</v>
      </c>
    </row>
    <row r="423" spans="1:10" x14ac:dyDescent="0.25">
      <c r="A423" s="4"/>
      <c r="B423" s="4"/>
      <c r="C423" s="4"/>
      <c r="D423" s="6"/>
      <c r="E423" s="3" t="s">
        <v>146</v>
      </c>
      <c r="F423" s="67">
        <v>752.83618999999999</v>
      </c>
      <c r="G423" s="67">
        <v>752.83618999999999</v>
      </c>
      <c r="H423" s="67">
        <v>752.83618999999999</v>
      </c>
      <c r="I423" s="246">
        <f t="shared" si="166"/>
        <v>100</v>
      </c>
      <c r="J423" s="246">
        <f t="shared" si="167"/>
        <v>100</v>
      </c>
    </row>
    <row r="424" spans="1:10" ht="26.25" x14ac:dyDescent="0.25">
      <c r="A424" s="32"/>
      <c r="B424" s="32"/>
      <c r="C424" s="32" t="s">
        <v>446</v>
      </c>
      <c r="D424" s="35"/>
      <c r="E424" s="33" t="s">
        <v>677</v>
      </c>
      <c r="F424" s="68">
        <f t="shared" ref="F424:H424" si="181">F425</f>
        <v>2416.6089400000001</v>
      </c>
      <c r="G424" s="68">
        <f t="shared" si="181"/>
        <v>2416.6089400000001</v>
      </c>
      <c r="H424" s="68">
        <f t="shared" si="181"/>
        <v>2416.6089400000001</v>
      </c>
      <c r="I424" s="245">
        <f t="shared" si="166"/>
        <v>100</v>
      </c>
      <c r="J424" s="245">
        <f t="shared" si="167"/>
        <v>100</v>
      </c>
    </row>
    <row r="425" spans="1:10" ht="25.5" x14ac:dyDescent="0.25">
      <c r="A425" s="94"/>
      <c r="B425" s="94"/>
      <c r="C425" s="4" t="s">
        <v>447</v>
      </c>
      <c r="D425" s="16"/>
      <c r="E425" s="1" t="s">
        <v>524</v>
      </c>
      <c r="F425" s="67">
        <f>F427+F428</f>
        <v>2416.6089400000001</v>
      </c>
      <c r="G425" s="67">
        <f>G426+G429</f>
        <v>2416.6089400000001</v>
      </c>
      <c r="H425" s="67">
        <f>H426+H429</f>
        <v>2416.6089400000001</v>
      </c>
      <c r="I425" s="246">
        <f t="shared" si="166"/>
        <v>100</v>
      </c>
      <c r="J425" s="246">
        <f t="shared" si="167"/>
        <v>100</v>
      </c>
    </row>
    <row r="426" spans="1:10" x14ac:dyDescent="0.25">
      <c r="A426" s="94"/>
      <c r="B426" s="94"/>
      <c r="C426" s="4"/>
      <c r="D426" s="6" t="s">
        <v>272</v>
      </c>
      <c r="E426" s="3" t="s">
        <v>273</v>
      </c>
      <c r="F426" s="67">
        <f t="shared" ref="F426:H426" si="182">F427+F428</f>
        <v>2416.6089400000001</v>
      </c>
      <c r="G426" s="67">
        <f t="shared" si="182"/>
        <v>2384.76694</v>
      </c>
      <c r="H426" s="67">
        <f t="shared" si="182"/>
        <v>2384.76694</v>
      </c>
      <c r="I426" s="246">
        <f t="shared" si="166"/>
        <v>100</v>
      </c>
      <c r="J426" s="246">
        <f t="shared" si="167"/>
        <v>98.682368525873272</v>
      </c>
    </row>
    <row r="427" spans="1:10" x14ac:dyDescent="0.25">
      <c r="A427" s="94"/>
      <c r="B427" s="94"/>
      <c r="C427" s="4"/>
      <c r="D427" s="6"/>
      <c r="E427" s="3" t="s">
        <v>182</v>
      </c>
      <c r="F427" s="67">
        <v>2174.94805</v>
      </c>
      <c r="G427" s="67">
        <v>2146.29025</v>
      </c>
      <c r="H427" s="67">
        <v>2146.29025</v>
      </c>
      <c r="I427" s="246">
        <f t="shared" si="166"/>
        <v>100</v>
      </c>
      <c r="J427" s="246">
        <f t="shared" si="167"/>
        <v>98.682368528296564</v>
      </c>
    </row>
    <row r="428" spans="1:10" x14ac:dyDescent="0.25">
      <c r="A428" s="94"/>
      <c r="B428" s="94"/>
      <c r="C428" s="4"/>
      <c r="D428" s="6"/>
      <c r="E428" s="3" t="s">
        <v>146</v>
      </c>
      <c r="F428" s="67">
        <v>241.66088999999999</v>
      </c>
      <c r="G428" s="67">
        <v>238.47668999999999</v>
      </c>
      <c r="H428" s="67">
        <v>238.47668999999999</v>
      </c>
      <c r="I428" s="246">
        <f t="shared" si="166"/>
        <v>100</v>
      </c>
      <c r="J428" s="246">
        <f t="shared" si="167"/>
        <v>98.682368504063689</v>
      </c>
    </row>
    <row r="429" spans="1:10" ht="25.5" x14ac:dyDescent="0.25">
      <c r="A429" s="94"/>
      <c r="B429" s="94"/>
      <c r="C429" s="4"/>
      <c r="D429" s="6" t="s">
        <v>449</v>
      </c>
      <c r="E429" s="1" t="s">
        <v>450</v>
      </c>
      <c r="F429" s="67"/>
      <c r="G429" s="67">
        <f>G430+G431</f>
        <v>31.842000000000002</v>
      </c>
      <c r="H429" s="67">
        <f>H430+H431</f>
        <v>31.842000000000002</v>
      </c>
      <c r="I429" s="246">
        <f t="shared" si="166"/>
        <v>100</v>
      </c>
      <c r="J429" s="246"/>
    </row>
    <row r="430" spans="1:10" x14ac:dyDescent="0.25">
      <c r="A430" s="94"/>
      <c r="B430" s="94"/>
      <c r="C430" s="4"/>
      <c r="D430" s="6"/>
      <c r="E430" s="3" t="s">
        <v>182</v>
      </c>
      <c r="F430" s="67"/>
      <c r="G430" s="67">
        <v>28.657800000000002</v>
      </c>
      <c r="H430" s="67">
        <v>28.657800000000002</v>
      </c>
      <c r="I430" s="246">
        <f t="shared" si="166"/>
        <v>100</v>
      </c>
      <c r="J430" s="246"/>
    </row>
    <row r="431" spans="1:10" x14ac:dyDescent="0.25">
      <c r="A431" s="94"/>
      <c r="B431" s="94"/>
      <c r="C431" s="4"/>
      <c r="D431" s="6"/>
      <c r="E431" s="3" t="s">
        <v>146</v>
      </c>
      <c r="F431" s="67"/>
      <c r="G431" s="67">
        <v>3.1842000000000001</v>
      </c>
      <c r="H431" s="67">
        <v>3.1842000000000001</v>
      </c>
      <c r="I431" s="246">
        <f t="shared" si="166"/>
        <v>100</v>
      </c>
      <c r="J431" s="246"/>
    </row>
    <row r="432" spans="1:10" x14ac:dyDescent="0.25">
      <c r="A432" s="112"/>
      <c r="B432" s="112"/>
      <c r="C432" s="113" t="s">
        <v>378</v>
      </c>
      <c r="D432" s="114"/>
      <c r="E432" s="115" t="s">
        <v>379</v>
      </c>
      <c r="F432" s="116">
        <f t="shared" ref="F432:H434" si="183">F433</f>
        <v>86.5</v>
      </c>
      <c r="G432" s="116">
        <f t="shared" si="183"/>
        <v>86.5</v>
      </c>
      <c r="H432" s="116">
        <f t="shared" si="183"/>
        <v>86.5</v>
      </c>
      <c r="I432" s="249">
        <f t="shared" si="166"/>
        <v>100</v>
      </c>
      <c r="J432" s="249">
        <f t="shared" si="167"/>
        <v>100</v>
      </c>
    </row>
    <row r="433" spans="1:10" ht="26.25" x14ac:dyDescent="0.25">
      <c r="A433" s="229"/>
      <c r="B433" s="229"/>
      <c r="C433" s="230" t="s">
        <v>386</v>
      </c>
      <c r="D433" s="230"/>
      <c r="E433" s="231" t="s">
        <v>387</v>
      </c>
      <c r="F433" s="232">
        <f t="shared" si="183"/>
        <v>86.5</v>
      </c>
      <c r="G433" s="232">
        <f t="shared" si="183"/>
        <v>86.5</v>
      </c>
      <c r="H433" s="232">
        <f t="shared" si="183"/>
        <v>86.5</v>
      </c>
      <c r="I433" s="256">
        <f t="shared" si="166"/>
        <v>100</v>
      </c>
      <c r="J433" s="256">
        <f t="shared" si="167"/>
        <v>100</v>
      </c>
    </row>
    <row r="434" spans="1:10" ht="25.5" x14ac:dyDescent="0.25">
      <c r="A434" s="94"/>
      <c r="B434" s="94"/>
      <c r="C434" s="22" t="s">
        <v>821</v>
      </c>
      <c r="D434" s="16"/>
      <c r="E434" s="21" t="s">
        <v>822</v>
      </c>
      <c r="F434" s="67">
        <f t="shared" si="183"/>
        <v>86.5</v>
      </c>
      <c r="G434" s="67">
        <f t="shared" si="183"/>
        <v>86.5</v>
      </c>
      <c r="H434" s="67">
        <f t="shared" si="183"/>
        <v>86.5</v>
      </c>
      <c r="I434" s="246">
        <f t="shared" si="166"/>
        <v>100</v>
      </c>
      <c r="J434" s="246">
        <f t="shared" si="167"/>
        <v>100</v>
      </c>
    </row>
    <row r="435" spans="1:10" ht="25.5" x14ac:dyDescent="0.25">
      <c r="A435" s="94"/>
      <c r="B435" s="94"/>
      <c r="C435" s="17"/>
      <c r="D435" s="6" t="s">
        <v>449</v>
      </c>
      <c r="E435" s="1" t="s">
        <v>450</v>
      </c>
      <c r="F435" s="67">
        <v>86.5</v>
      </c>
      <c r="G435" s="67">
        <v>86.5</v>
      </c>
      <c r="H435" s="67">
        <v>86.5</v>
      </c>
      <c r="I435" s="246">
        <f t="shared" si="166"/>
        <v>100</v>
      </c>
      <c r="J435" s="246">
        <f t="shared" si="167"/>
        <v>100</v>
      </c>
    </row>
    <row r="436" spans="1:10" x14ac:dyDescent="0.25">
      <c r="A436" s="94"/>
      <c r="B436" s="17" t="s">
        <v>630</v>
      </c>
      <c r="C436" s="104"/>
      <c r="D436" s="103"/>
      <c r="E436" s="98" t="s">
        <v>632</v>
      </c>
      <c r="F436" s="71">
        <f t="shared" ref="F436:H442" si="184">F437</f>
        <v>22.5</v>
      </c>
      <c r="G436" s="71">
        <f t="shared" si="184"/>
        <v>22.5</v>
      </c>
      <c r="H436" s="71">
        <f t="shared" si="184"/>
        <v>22.5</v>
      </c>
      <c r="I436" s="247">
        <f t="shared" si="166"/>
        <v>100</v>
      </c>
      <c r="J436" s="247">
        <f t="shared" si="167"/>
        <v>100</v>
      </c>
    </row>
    <row r="437" spans="1:10" x14ac:dyDescent="0.25">
      <c r="A437" s="94"/>
      <c r="B437" s="17" t="s">
        <v>631</v>
      </c>
      <c r="C437" s="104"/>
      <c r="D437" s="103"/>
      <c r="E437" s="98" t="s">
        <v>633</v>
      </c>
      <c r="F437" s="71">
        <f t="shared" si="184"/>
        <v>22.5</v>
      </c>
      <c r="G437" s="71">
        <f t="shared" si="184"/>
        <v>22.5</v>
      </c>
      <c r="H437" s="71">
        <f t="shared" si="184"/>
        <v>22.5</v>
      </c>
      <c r="I437" s="247">
        <f t="shared" si="166"/>
        <v>100</v>
      </c>
      <c r="J437" s="247">
        <f t="shared" si="167"/>
        <v>100</v>
      </c>
    </row>
    <row r="438" spans="1:10" x14ac:dyDescent="0.25">
      <c r="A438" s="94"/>
      <c r="B438" s="17"/>
      <c r="C438" s="104" t="s">
        <v>4</v>
      </c>
      <c r="D438" s="103"/>
      <c r="E438" s="123" t="s">
        <v>5</v>
      </c>
      <c r="F438" s="71">
        <f t="shared" si="184"/>
        <v>22.5</v>
      </c>
      <c r="G438" s="71">
        <f t="shared" si="184"/>
        <v>22.5</v>
      </c>
      <c r="H438" s="71">
        <f t="shared" si="184"/>
        <v>22.5</v>
      </c>
      <c r="I438" s="247">
        <f t="shared" si="166"/>
        <v>100</v>
      </c>
      <c r="J438" s="247">
        <f t="shared" si="167"/>
        <v>100</v>
      </c>
    </row>
    <row r="439" spans="1:10" ht="25.5" x14ac:dyDescent="0.25">
      <c r="A439" s="157"/>
      <c r="B439" s="107"/>
      <c r="C439" s="108" t="s">
        <v>281</v>
      </c>
      <c r="D439" s="107"/>
      <c r="E439" s="109" t="s">
        <v>282</v>
      </c>
      <c r="F439" s="159">
        <f t="shared" si="184"/>
        <v>22.5</v>
      </c>
      <c r="G439" s="159">
        <f t="shared" si="184"/>
        <v>22.5</v>
      </c>
      <c r="H439" s="159">
        <f t="shared" si="184"/>
        <v>22.5</v>
      </c>
      <c r="I439" s="257">
        <f t="shared" si="166"/>
        <v>100</v>
      </c>
      <c r="J439" s="257">
        <f t="shared" si="167"/>
        <v>100</v>
      </c>
    </row>
    <row r="440" spans="1:10" ht="25.5" x14ac:dyDescent="0.25">
      <c r="A440" s="158"/>
      <c r="B440" s="127"/>
      <c r="C440" s="128" t="s">
        <v>292</v>
      </c>
      <c r="D440" s="127"/>
      <c r="E440" s="154" t="s">
        <v>293</v>
      </c>
      <c r="F440" s="160">
        <f t="shared" si="184"/>
        <v>22.5</v>
      </c>
      <c r="G440" s="160">
        <f t="shared" si="184"/>
        <v>22.5</v>
      </c>
      <c r="H440" s="160">
        <f t="shared" si="184"/>
        <v>22.5</v>
      </c>
      <c r="I440" s="258">
        <f t="shared" si="166"/>
        <v>100</v>
      </c>
      <c r="J440" s="258">
        <f t="shared" si="167"/>
        <v>100</v>
      </c>
    </row>
    <row r="441" spans="1:10" x14ac:dyDescent="0.25">
      <c r="A441" s="94"/>
      <c r="B441" s="17"/>
      <c r="C441" s="104" t="s">
        <v>299</v>
      </c>
      <c r="D441" s="17"/>
      <c r="E441" s="155" t="s">
        <v>300</v>
      </c>
      <c r="F441" s="71">
        <f t="shared" si="184"/>
        <v>22.5</v>
      </c>
      <c r="G441" s="71">
        <f t="shared" si="184"/>
        <v>22.5</v>
      </c>
      <c r="H441" s="71">
        <f t="shared" si="184"/>
        <v>22.5</v>
      </c>
      <c r="I441" s="247">
        <f t="shared" si="166"/>
        <v>100</v>
      </c>
      <c r="J441" s="247">
        <f t="shared" si="167"/>
        <v>100</v>
      </c>
    </row>
    <row r="442" spans="1:10" ht="25.5" x14ac:dyDescent="0.25">
      <c r="A442" s="94"/>
      <c r="B442" s="16"/>
      <c r="C442" s="156" t="s">
        <v>304</v>
      </c>
      <c r="D442" s="17"/>
      <c r="E442" s="1" t="s">
        <v>305</v>
      </c>
      <c r="F442" s="67">
        <f t="shared" si="184"/>
        <v>22.5</v>
      </c>
      <c r="G442" s="67">
        <f t="shared" si="184"/>
        <v>22.5</v>
      </c>
      <c r="H442" s="67">
        <f t="shared" si="184"/>
        <v>22.5</v>
      </c>
      <c r="I442" s="246">
        <f t="shared" si="166"/>
        <v>100</v>
      </c>
      <c r="J442" s="246">
        <f t="shared" si="167"/>
        <v>100</v>
      </c>
    </row>
    <row r="443" spans="1:10" x14ac:dyDescent="0.25">
      <c r="A443" s="94"/>
      <c r="B443" s="17"/>
      <c r="C443" s="122"/>
      <c r="D443" s="6" t="s">
        <v>272</v>
      </c>
      <c r="E443" s="3" t="s">
        <v>273</v>
      </c>
      <c r="F443" s="67">
        <v>22.5</v>
      </c>
      <c r="G443" s="67">
        <v>22.5</v>
      </c>
      <c r="H443" s="67">
        <v>22.5</v>
      </c>
      <c r="I443" s="246">
        <f t="shared" ref="I443:I495" si="185">H443/G443*100</f>
        <v>100</v>
      </c>
      <c r="J443" s="246">
        <f t="shared" ref="J443:J495" si="186">G443/F443*100</f>
        <v>100</v>
      </c>
    </row>
    <row r="444" spans="1:10" x14ac:dyDescent="0.25">
      <c r="A444" s="94"/>
      <c r="B444" s="17" t="s">
        <v>581</v>
      </c>
      <c r="C444" s="104"/>
      <c r="D444" s="103"/>
      <c r="E444" s="98" t="s">
        <v>582</v>
      </c>
      <c r="F444" s="71">
        <f t="shared" ref="F444:H449" si="187">F445</f>
        <v>40899.493090000004</v>
      </c>
      <c r="G444" s="71">
        <f t="shared" si="187"/>
        <v>56026.655760000001</v>
      </c>
      <c r="H444" s="71">
        <f t="shared" si="187"/>
        <v>54096.293180000001</v>
      </c>
      <c r="I444" s="247">
        <f t="shared" si="185"/>
        <v>96.554563977066479</v>
      </c>
      <c r="J444" s="247">
        <f t="shared" si="186"/>
        <v>136.98618620214299</v>
      </c>
    </row>
    <row r="445" spans="1:10" x14ac:dyDescent="0.25">
      <c r="A445" s="94"/>
      <c r="B445" s="17" t="s">
        <v>583</v>
      </c>
      <c r="C445" s="104"/>
      <c r="D445" s="103"/>
      <c r="E445" s="98" t="s">
        <v>584</v>
      </c>
      <c r="F445" s="71">
        <f>F446+F454</f>
        <v>40899.493090000004</v>
      </c>
      <c r="G445" s="71">
        <f>G446+G454</f>
        <v>56026.655760000001</v>
      </c>
      <c r="H445" s="71">
        <f>H446+H454</f>
        <v>54096.293180000001</v>
      </c>
      <c r="I445" s="247">
        <f t="shared" si="185"/>
        <v>96.554563977066479</v>
      </c>
      <c r="J445" s="247">
        <f t="shared" si="186"/>
        <v>136.98618620214299</v>
      </c>
    </row>
    <row r="446" spans="1:10" x14ac:dyDescent="0.25">
      <c r="A446" s="94"/>
      <c r="B446" s="17"/>
      <c r="C446" s="104" t="s">
        <v>4</v>
      </c>
      <c r="D446" s="103"/>
      <c r="E446" s="123" t="s">
        <v>5</v>
      </c>
      <c r="F446" s="71">
        <f t="shared" si="187"/>
        <v>40669.593090000002</v>
      </c>
      <c r="G446" s="71">
        <f t="shared" si="187"/>
        <v>55796.723770000004</v>
      </c>
      <c r="H446" s="71">
        <f t="shared" si="187"/>
        <v>53866.361190000003</v>
      </c>
      <c r="I446" s="247">
        <f t="shared" si="185"/>
        <v>96.540365724774162</v>
      </c>
      <c r="J446" s="247">
        <f t="shared" si="186"/>
        <v>137.19518571657289</v>
      </c>
    </row>
    <row r="447" spans="1:10" ht="25.5" x14ac:dyDescent="0.25">
      <c r="A447" s="106"/>
      <c r="B447" s="107"/>
      <c r="C447" s="108" t="s">
        <v>55</v>
      </c>
      <c r="D447" s="107"/>
      <c r="E447" s="109" t="s">
        <v>503</v>
      </c>
      <c r="F447" s="159">
        <f t="shared" si="187"/>
        <v>40669.593090000002</v>
      </c>
      <c r="G447" s="159">
        <f t="shared" si="187"/>
        <v>55796.723770000004</v>
      </c>
      <c r="H447" s="159">
        <f t="shared" si="187"/>
        <v>53866.361190000003</v>
      </c>
      <c r="I447" s="257">
        <f t="shared" si="185"/>
        <v>96.540365724774162</v>
      </c>
      <c r="J447" s="257">
        <f t="shared" si="186"/>
        <v>137.19518571657289</v>
      </c>
    </row>
    <row r="448" spans="1:10" x14ac:dyDescent="0.25">
      <c r="A448" s="30"/>
      <c r="B448" s="30"/>
      <c r="C448" s="30" t="s">
        <v>71</v>
      </c>
      <c r="D448" s="30"/>
      <c r="E448" s="51" t="s">
        <v>72</v>
      </c>
      <c r="F448" s="72">
        <f t="shared" si="187"/>
        <v>40669.593090000002</v>
      </c>
      <c r="G448" s="72">
        <f t="shared" si="187"/>
        <v>55796.723770000004</v>
      </c>
      <c r="H448" s="72">
        <f t="shared" si="187"/>
        <v>53866.361190000003</v>
      </c>
      <c r="I448" s="244">
        <f t="shared" si="185"/>
        <v>96.540365724774162</v>
      </c>
      <c r="J448" s="244">
        <f t="shared" si="186"/>
        <v>137.19518571657289</v>
      </c>
    </row>
    <row r="449" spans="1:10" s="38" customFormat="1" ht="39" x14ac:dyDescent="0.25">
      <c r="A449" s="32"/>
      <c r="B449" s="32"/>
      <c r="C449" s="32" t="s">
        <v>97</v>
      </c>
      <c r="D449" s="32"/>
      <c r="E449" s="33" t="s">
        <v>98</v>
      </c>
      <c r="F449" s="68">
        <f>F450</f>
        <v>40669.593090000002</v>
      </c>
      <c r="G449" s="68">
        <f t="shared" si="187"/>
        <v>55796.723770000004</v>
      </c>
      <c r="H449" s="68">
        <f t="shared" si="187"/>
        <v>53866.361190000003</v>
      </c>
      <c r="I449" s="245">
        <f t="shared" si="185"/>
        <v>96.540365724774162</v>
      </c>
      <c r="J449" s="245">
        <f t="shared" si="186"/>
        <v>137.19518571657289</v>
      </c>
    </row>
    <row r="450" spans="1:10" s="38" customFormat="1" ht="25.5" x14ac:dyDescent="0.25">
      <c r="A450" s="95"/>
      <c r="B450" s="95"/>
      <c r="C450" s="6" t="s">
        <v>99</v>
      </c>
      <c r="D450" s="6"/>
      <c r="E450" s="2" t="s">
        <v>100</v>
      </c>
      <c r="F450" s="77">
        <f>F452+F453</f>
        <v>40669.593090000002</v>
      </c>
      <c r="G450" s="77">
        <f t="shared" ref="G450:H450" si="188">G452+G453</f>
        <v>55796.723770000004</v>
      </c>
      <c r="H450" s="77">
        <f t="shared" si="188"/>
        <v>53866.361190000003</v>
      </c>
      <c r="I450" s="248">
        <f t="shared" si="185"/>
        <v>96.540365724774162</v>
      </c>
      <c r="J450" s="248">
        <f t="shared" si="186"/>
        <v>137.19518571657289</v>
      </c>
    </row>
    <row r="451" spans="1:10" s="38" customFormat="1" ht="26.25" x14ac:dyDescent="0.25">
      <c r="A451" s="95"/>
      <c r="B451" s="95"/>
      <c r="C451" s="6"/>
      <c r="D451" s="6" t="s">
        <v>290</v>
      </c>
      <c r="E451" s="3" t="s">
        <v>291</v>
      </c>
      <c r="F451" s="77">
        <f>F452+F453</f>
        <v>40669.593090000002</v>
      </c>
      <c r="G451" s="77">
        <f t="shared" ref="G451:H451" si="189">G452+G453</f>
        <v>55796.723770000004</v>
      </c>
      <c r="H451" s="77">
        <f t="shared" si="189"/>
        <v>53866.361190000003</v>
      </c>
      <c r="I451" s="248">
        <f t="shared" si="185"/>
        <v>96.540365724774162</v>
      </c>
      <c r="J451" s="248">
        <f t="shared" si="186"/>
        <v>137.19518571657289</v>
      </c>
    </row>
    <row r="452" spans="1:10" x14ac:dyDescent="0.25">
      <c r="A452" s="94"/>
      <c r="B452" s="94"/>
      <c r="C452" s="6"/>
      <c r="D452" s="6"/>
      <c r="E452" s="3" t="s">
        <v>101</v>
      </c>
      <c r="F452" s="77">
        <v>30121.14</v>
      </c>
      <c r="G452" s="77">
        <v>45248.270680000001</v>
      </c>
      <c r="H452" s="77">
        <v>43317.908100000001</v>
      </c>
      <c r="I452" s="248">
        <f t="shared" si="185"/>
        <v>95.733842308247091</v>
      </c>
      <c r="J452" s="248">
        <f t="shared" si="186"/>
        <v>150.22097662970259</v>
      </c>
    </row>
    <row r="453" spans="1:10" x14ac:dyDescent="0.25">
      <c r="A453" s="94"/>
      <c r="B453" s="94"/>
      <c r="C453" s="6"/>
      <c r="D453" s="6"/>
      <c r="E453" s="3" t="s">
        <v>102</v>
      </c>
      <c r="F453" s="77">
        <f>10478.86+69.59309</f>
        <v>10548.453090000001</v>
      </c>
      <c r="G453" s="77">
        <f t="shared" ref="G453:H453" si="190">10478.86+69.59309</f>
        <v>10548.453090000001</v>
      </c>
      <c r="H453" s="77">
        <f t="shared" si="190"/>
        <v>10548.453090000001</v>
      </c>
      <c r="I453" s="248">
        <f t="shared" si="185"/>
        <v>100</v>
      </c>
      <c r="J453" s="248">
        <f t="shared" si="186"/>
        <v>100</v>
      </c>
    </row>
    <row r="454" spans="1:10" x14ac:dyDescent="0.25">
      <c r="A454" s="112"/>
      <c r="B454" s="112"/>
      <c r="C454" s="113" t="s">
        <v>540</v>
      </c>
      <c r="D454" s="114"/>
      <c r="E454" s="115" t="s">
        <v>541</v>
      </c>
      <c r="F454" s="116">
        <f t="shared" ref="F454:H454" si="191">F455</f>
        <v>229.9</v>
      </c>
      <c r="G454" s="116">
        <f t="shared" si="191"/>
        <v>229.93199000000001</v>
      </c>
      <c r="H454" s="116">
        <f t="shared" si="191"/>
        <v>229.93199000000001</v>
      </c>
      <c r="I454" s="249">
        <f t="shared" si="185"/>
        <v>100</v>
      </c>
      <c r="J454" s="249">
        <f t="shared" si="186"/>
        <v>100.01391474554153</v>
      </c>
    </row>
    <row r="455" spans="1:10" ht="25.5" x14ac:dyDescent="0.25">
      <c r="A455" s="142"/>
      <c r="B455" s="142"/>
      <c r="C455" s="136" t="s">
        <v>386</v>
      </c>
      <c r="D455" s="137"/>
      <c r="E455" s="138" t="s">
        <v>765</v>
      </c>
      <c r="F455" s="80">
        <f t="shared" ref="F455:H456" si="192">F456</f>
        <v>229.9</v>
      </c>
      <c r="G455" s="80">
        <f t="shared" si="192"/>
        <v>229.93199000000001</v>
      </c>
      <c r="H455" s="80">
        <f t="shared" si="192"/>
        <v>229.93199000000001</v>
      </c>
      <c r="I455" s="255">
        <f t="shared" si="185"/>
        <v>100</v>
      </c>
      <c r="J455" s="255">
        <f t="shared" si="186"/>
        <v>100.01391474554153</v>
      </c>
    </row>
    <row r="456" spans="1:10" ht="38.25" x14ac:dyDescent="0.25">
      <c r="A456" s="94"/>
      <c r="B456" s="94"/>
      <c r="C456" s="22" t="s">
        <v>763</v>
      </c>
      <c r="D456" s="16"/>
      <c r="E456" s="1" t="s">
        <v>766</v>
      </c>
      <c r="F456" s="67">
        <f>F457</f>
        <v>229.9</v>
      </c>
      <c r="G456" s="67">
        <f t="shared" si="192"/>
        <v>229.93199000000001</v>
      </c>
      <c r="H456" s="67">
        <f t="shared" si="192"/>
        <v>229.93199000000001</v>
      </c>
      <c r="I456" s="246">
        <f t="shared" si="185"/>
        <v>100</v>
      </c>
      <c r="J456" s="246">
        <f t="shared" si="186"/>
        <v>100.01391474554153</v>
      </c>
    </row>
    <row r="457" spans="1:10" x14ac:dyDescent="0.25">
      <c r="A457" s="94"/>
      <c r="B457" s="94"/>
      <c r="C457" s="17"/>
      <c r="D457" s="16" t="s">
        <v>272</v>
      </c>
      <c r="E457" s="1" t="s">
        <v>273</v>
      </c>
      <c r="F457" s="67">
        <v>229.9</v>
      </c>
      <c r="G457" s="264">
        <v>229.93199000000001</v>
      </c>
      <c r="H457" s="264">
        <v>229.93199000000001</v>
      </c>
      <c r="I457" s="246">
        <f t="shared" si="185"/>
        <v>100</v>
      </c>
      <c r="J457" s="246">
        <f t="shared" si="186"/>
        <v>100.01391474554153</v>
      </c>
    </row>
    <row r="458" spans="1:10" x14ac:dyDescent="0.25">
      <c r="A458" s="143"/>
      <c r="B458" s="48" t="s">
        <v>585</v>
      </c>
      <c r="C458" s="48"/>
      <c r="D458" s="18"/>
      <c r="E458" s="144" t="s">
        <v>586</v>
      </c>
      <c r="F458" s="105">
        <f t="shared" ref="F458:H462" si="193">F459</f>
        <v>47356.907379999997</v>
      </c>
      <c r="G458" s="105">
        <f t="shared" si="193"/>
        <v>23569.073790000002</v>
      </c>
      <c r="H458" s="105">
        <f t="shared" si="193"/>
        <v>2356.9073800000001</v>
      </c>
      <c r="I458" s="243">
        <f t="shared" si="185"/>
        <v>10.000000004242848</v>
      </c>
      <c r="J458" s="243">
        <f t="shared" si="186"/>
        <v>49.769030736905364</v>
      </c>
    </row>
    <row r="459" spans="1:10" x14ac:dyDescent="0.25">
      <c r="A459" s="143"/>
      <c r="B459" s="48" t="s">
        <v>614</v>
      </c>
      <c r="C459" s="48"/>
      <c r="D459" s="18"/>
      <c r="E459" s="144" t="s">
        <v>587</v>
      </c>
      <c r="F459" s="105">
        <f t="shared" ref="F459:H459" si="194">F460</f>
        <v>47356.907379999997</v>
      </c>
      <c r="G459" s="105">
        <f t="shared" si="194"/>
        <v>23569.073790000002</v>
      </c>
      <c r="H459" s="105">
        <f t="shared" si="194"/>
        <v>2356.9073800000001</v>
      </c>
      <c r="I459" s="243">
        <f t="shared" si="185"/>
        <v>10.000000004242848</v>
      </c>
      <c r="J459" s="243">
        <f t="shared" si="186"/>
        <v>49.769030736905364</v>
      </c>
    </row>
    <row r="460" spans="1:10" x14ac:dyDescent="0.25">
      <c r="A460" s="103"/>
      <c r="B460" s="17"/>
      <c r="C460" s="104" t="s">
        <v>4</v>
      </c>
      <c r="D460" s="17"/>
      <c r="E460" s="123" t="s">
        <v>5</v>
      </c>
      <c r="F460" s="71">
        <f t="shared" si="193"/>
        <v>47356.907379999997</v>
      </c>
      <c r="G460" s="71">
        <f t="shared" si="193"/>
        <v>23569.073790000002</v>
      </c>
      <c r="H460" s="71">
        <f t="shared" si="193"/>
        <v>2356.9073800000001</v>
      </c>
      <c r="I460" s="247">
        <f t="shared" si="185"/>
        <v>10.000000004242848</v>
      </c>
      <c r="J460" s="247">
        <f t="shared" si="186"/>
        <v>49.769030736905364</v>
      </c>
    </row>
    <row r="461" spans="1:10" ht="25.5" x14ac:dyDescent="0.25">
      <c r="A461" s="106"/>
      <c r="B461" s="107"/>
      <c r="C461" s="108" t="s">
        <v>588</v>
      </c>
      <c r="D461" s="107"/>
      <c r="E461" s="109" t="s">
        <v>589</v>
      </c>
      <c r="F461" s="159">
        <f t="shared" si="193"/>
        <v>47356.907379999997</v>
      </c>
      <c r="G461" s="159">
        <f t="shared" si="193"/>
        <v>23569.073790000002</v>
      </c>
      <c r="H461" s="159">
        <f t="shared" si="193"/>
        <v>2356.9073800000001</v>
      </c>
      <c r="I461" s="257">
        <f t="shared" si="185"/>
        <v>10.000000004242848</v>
      </c>
      <c r="J461" s="257">
        <f t="shared" si="186"/>
        <v>49.769030736905364</v>
      </c>
    </row>
    <row r="462" spans="1:10" ht="26.25" x14ac:dyDescent="0.25">
      <c r="A462" s="30"/>
      <c r="B462" s="30"/>
      <c r="C462" s="30" t="s">
        <v>590</v>
      </c>
      <c r="D462" s="30"/>
      <c r="E462" s="51" t="s">
        <v>206</v>
      </c>
      <c r="F462" s="72">
        <f t="shared" si="193"/>
        <v>47356.907379999997</v>
      </c>
      <c r="G462" s="72">
        <f t="shared" si="193"/>
        <v>23569.073790000002</v>
      </c>
      <c r="H462" s="72">
        <f t="shared" si="193"/>
        <v>2356.9073800000001</v>
      </c>
      <c r="I462" s="244">
        <f t="shared" si="185"/>
        <v>10.000000004242848</v>
      </c>
      <c r="J462" s="244">
        <f t="shared" si="186"/>
        <v>49.769030736905364</v>
      </c>
    </row>
    <row r="463" spans="1:10" ht="39" x14ac:dyDescent="0.25">
      <c r="A463" s="32"/>
      <c r="B463" s="32"/>
      <c r="C463" s="32" t="s">
        <v>591</v>
      </c>
      <c r="D463" s="32"/>
      <c r="E463" s="33" t="s">
        <v>230</v>
      </c>
      <c r="F463" s="68">
        <f t="shared" ref="F463:H463" si="195">F465</f>
        <v>47356.907379999997</v>
      </c>
      <c r="G463" s="68">
        <f t="shared" si="195"/>
        <v>23569.073790000002</v>
      </c>
      <c r="H463" s="68">
        <f t="shared" si="195"/>
        <v>2356.9073800000001</v>
      </c>
      <c r="I463" s="245">
        <f t="shared" si="185"/>
        <v>10.000000004242848</v>
      </c>
      <c r="J463" s="245">
        <f t="shared" si="186"/>
        <v>49.769030736905364</v>
      </c>
    </row>
    <row r="464" spans="1:10" s="38" customFormat="1" x14ac:dyDescent="0.25">
      <c r="A464" s="12"/>
      <c r="B464" s="12"/>
      <c r="C464" s="65" t="s">
        <v>805</v>
      </c>
      <c r="D464" s="1"/>
      <c r="E464" s="1" t="s">
        <v>644</v>
      </c>
      <c r="F464" s="67">
        <f t="shared" ref="F464:H465" si="196">F465</f>
        <v>47356.907379999997</v>
      </c>
      <c r="G464" s="67">
        <f t="shared" si="196"/>
        <v>23569.073790000002</v>
      </c>
      <c r="H464" s="67">
        <f t="shared" si="196"/>
        <v>2356.9073800000001</v>
      </c>
      <c r="I464" s="246">
        <f t="shared" si="185"/>
        <v>10.000000004242848</v>
      </c>
      <c r="J464" s="246">
        <f t="shared" si="186"/>
        <v>49.769030736905364</v>
      </c>
    </row>
    <row r="465" spans="1:10" x14ac:dyDescent="0.25">
      <c r="A465" s="54"/>
      <c r="B465" s="54"/>
      <c r="C465" s="12"/>
      <c r="D465" s="54"/>
      <c r="E465" s="13" t="s">
        <v>467</v>
      </c>
      <c r="F465" s="77">
        <f t="shared" si="196"/>
        <v>47356.907379999997</v>
      </c>
      <c r="G465" s="77">
        <f t="shared" si="196"/>
        <v>23569.073790000002</v>
      </c>
      <c r="H465" s="77">
        <f t="shared" si="196"/>
        <v>2356.9073800000001</v>
      </c>
      <c r="I465" s="248">
        <f t="shared" si="185"/>
        <v>10.000000004242848</v>
      </c>
      <c r="J465" s="248">
        <f t="shared" si="186"/>
        <v>49.769030736905364</v>
      </c>
    </row>
    <row r="466" spans="1:10" ht="26.25" x14ac:dyDescent="0.25">
      <c r="A466" s="54"/>
      <c r="B466" s="54"/>
      <c r="C466" s="54"/>
      <c r="D466" s="22" t="s">
        <v>290</v>
      </c>
      <c r="E466" s="3" t="s">
        <v>291</v>
      </c>
      <c r="F466" s="77">
        <f>F467+F468</f>
        <v>47356.907379999997</v>
      </c>
      <c r="G466" s="77">
        <f t="shared" ref="G466:H466" si="197">G467+G468</f>
        <v>23569.073790000002</v>
      </c>
      <c r="H466" s="77">
        <f t="shared" si="197"/>
        <v>2356.9073800000001</v>
      </c>
      <c r="I466" s="248">
        <f t="shared" si="185"/>
        <v>10.000000004242848</v>
      </c>
      <c r="J466" s="248">
        <f t="shared" si="186"/>
        <v>49.769030736905364</v>
      </c>
    </row>
    <row r="467" spans="1:10" x14ac:dyDescent="0.25">
      <c r="A467" s="54"/>
      <c r="B467" s="54"/>
      <c r="C467" s="54"/>
      <c r="D467" s="22"/>
      <c r="E467" s="3" t="s">
        <v>149</v>
      </c>
      <c r="F467" s="77">
        <v>45000</v>
      </c>
      <c r="G467" s="77">
        <v>21212.166410000002</v>
      </c>
      <c r="H467" s="77"/>
      <c r="I467" s="248">
        <f t="shared" si="185"/>
        <v>0</v>
      </c>
      <c r="J467" s="248">
        <f t="shared" si="186"/>
        <v>47.138147577777787</v>
      </c>
    </row>
    <row r="468" spans="1:10" x14ac:dyDescent="0.25">
      <c r="A468" s="54"/>
      <c r="B468" s="54"/>
      <c r="C468" s="54"/>
      <c r="D468" s="22"/>
      <c r="E468" s="3" t="s">
        <v>102</v>
      </c>
      <c r="F468" s="77">
        <v>2356.9073800000001</v>
      </c>
      <c r="G468" s="77">
        <v>2356.9073800000001</v>
      </c>
      <c r="H468" s="77">
        <v>2356.9073800000001</v>
      </c>
      <c r="I468" s="248">
        <f t="shared" si="185"/>
        <v>100</v>
      </c>
      <c r="J468" s="248">
        <f t="shared" si="186"/>
        <v>100</v>
      </c>
    </row>
    <row r="469" spans="1:10" x14ac:dyDescent="0.25">
      <c r="A469" s="143"/>
      <c r="B469" s="48" t="s">
        <v>846</v>
      </c>
      <c r="C469" s="48"/>
      <c r="D469" s="18"/>
      <c r="E469" s="144" t="s">
        <v>847</v>
      </c>
      <c r="F469" s="105">
        <f t="shared" ref="F469:H469" si="198">F470</f>
        <v>0</v>
      </c>
      <c r="G469" s="105">
        <f t="shared" si="198"/>
        <v>1025.70452</v>
      </c>
      <c r="H469" s="105">
        <f t="shared" si="198"/>
        <v>1025.70452</v>
      </c>
      <c r="I469" s="243">
        <f t="shared" si="185"/>
        <v>100</v>
      </c>
      <c r="J469" s="243"/>
    </row>
    <row r="470" spans="1:10" x14ac:dyDescent="0.25">
      <c r="A470" s="143"/>
      <c r="B470" s="48" t="s">
        <v>848</v>
      </c>
      <c r="C470" s="48"/>
      <c r="D470" s="18"/>
      <c r="E470" s="144" t="s">
        <v>849</v>
      </c>
      <c r="F470" s="105">
        <v>0</v>
      </c>
      <c r="G470" s="105">
        <f>G471</f>
        <v>1025.70452</v>
      </c>
      <c r="H470" s="105">
        <f>H471</f>
        <v>1025.70452</v>
      </c>
      <c r="I470" s="243">
        <f t="shared" si="185"/>
        <v>100</v>
      </c>
      <c r="J470" s="243"/>
    </row>
    <row r="471" spans="1:10" x14ac:dyDescent="0.25">
      <c r="A471" s="112"/>
      <c r="B471" s="112"/>
      <c r="C471" s="113" t="s">
        <v>540</v>
      </c>
      <c r="D471" s="114"/>
      <c r="E471" s="115" t="s">
        <v>541</v>
      </c>
      <c r="F471" s="116">
        <f t="shared" ref="F471:H472" si="199">F472</f>
        <v>0</v>
      </c>
      <c r="G471" s="116">
        <f t="shared" si="199"/>
        <v>1025.70452</v>
      </c>
      <c r="H471" s="116">
        <f t="shared" si="199"/>
        <v>1025.70452</v>
      </c>
      <c r="I471" s="249">
        <f t="shared" si="185"/>
        <v>100</v>
      </c>
      <c r="J471" s="249"/>
    </row>
    <row r="472" spans="1:10" ht="25.5" x14ac:dyDescent="0.25">
      <c r="A472" s="142"/>
      <c r="B472" s="142"/>
      <c r="C472" s="136" t="s">
        <v>386</v>
      </c>
      <c r="D472" s="137"/>
      <c r="E472" s="138" t="s">
        <v>765</v>
      </c>
      <c r="F472" s="80">
        <f t="shared" si="199"/>
        <v>0</v>
      </c>
      <c r="G472" s="80">
        <f t="shared" si="199"/>
        <v>1025.70452</v>
      </c>
      <c r="H472" s="80">
        <f t="shared" si="199"/>
        <v>1025.70452</v>
      </c>
      <c r="I472" s="255">
        <f t="shared" si="185"/>
        <v>100</v>
      </c>
      <c r="J472" s="255"/>
    </row>
    <row r="473" spans="1:10" ht="26.25" x14ac:dyDescent="0.25">
      <c r="A473" s="94"/>
      <c r="B473" s="94"/>
      <c r="C473" s="4" t="s">
        <v>1233</v>
      </c>
      <c r="D473" s="4"/>
      <c r="E473" s="83" t="s">
        <v>1234</v>
      </c>
      <c r="F473" s="67">
        <f>F474</f>
        <v>0</v>
      </c>
      <c r="G473" s="264">
        <v>1025.70452</v>
      </c>
      <c r="H473" s="264">
        <v>1025.70452</v>
      </c>
      <c r="I473" s="246">
        <f t="shared" si="185"/>
        <v>100</v>
      </c>
      <c r="J473" s="246"/>
    </row>
    <row r="474" spans="1:10" x14ac:dyDescent="0.25">
      <c r="A474" s="94"/>
      <c r="B474" s="94"/>
      <c r="C474" s="17"/>
      <c r="D474" s="16" t="s">
        <v>272</v>
      </c>
      <c r="E474" s="1" t="s">
        <v>273</v>
      </c>
      <c r="F474" s="67">
        <v>0</v>
      </c>
      <c r="G474" s="264">
        <v>1025.70452</v>
      </c>
      <c r="H474" s="264">
        <v>1025.70452</v>
      </c>
      <c r="I474" s="246">
        <f t="shared" si="185"/>
        <v>100</v>
      </c>
      <c r="J474" s="246"/>
    </row>
    <row r="475" spans="1:10" x14ac:dyDescent="0.25">
      <c r="A475" s="103"/>
      <c r="B475" s="17">
        <v>1000</v>
      </c>
      <c r="C475" s="104"/>
      <c r="D475" s="103"/>
      <c r="E475" s="98" t="s">
        <v>592</v>
      </c>
      <c r="F475" s="71">
        <f>F476+F483+F490+F504</f>
        <v>20690.111789999999</v>
      </c>
      <c r="G475" s="71">
        <f>G476+G483+G490+G504</f>
        <v>18991.044180000001</v>
      </c>
      <c r="H475" s="71">
        <f>H476+H483+H490+H504</f>
        <v>18817.902280000002</v>
      </c>
      <c r="I475" s="247">
        <f t="shared" si="185"/>
        <v>99.088297102787323</v>
      </c>
      <c r="J475" s="247">
        <f t="shared" si="186"/>
        <v>91.788021122142055</v>
      </c>
    </row>
    <row r="476" spans="1:10" x14ac:dyDescent="0.25">
      <c r="A476" s="103"/>
      <c r="B476" s="17" t="s">
        <v>593</v>
      </c>
      <c r="C476" s="104"/>
      <c r="D476" s="103"/>
      <c r="E476" s="123" t="s">
        <v>594</v>
      </c>
      <c r="F476" s="71">
        <f t="shared" ref="F476:H481" si="200">F477</f>
        <v>7567.1</v>
      </c>
      <c r="G476" s="71">
        <f t="shared" si="200"/>
        <v>7567.1</v>
      </c>
      <c r="H476" s="71">
        <f t="shared" si="200"/>
        <v>7567.0795399999997</v>
      </c>
      <c r="I476" s="247">
        <f t="shared" si="185"/>
        <v>99.99972961900859</v>
      </c>
      <c r="J476" s="247">
        <f t="shared" si="186"/>
        <v>100</v>
      </c>
    </row>
    <row r="477" spans="1:10" x14ac:dyDescent="0.25">
      <c r="A477" s="103"/>
      <c r="B477" s="17"/>
      <c r="C477" s="104" t="s">
        <v>4</v>
      </c>
      <c r="D477" s="17"/>
      <c r="E477" s="123" t="s">
        <v>5</v>
      </c>
      <c r="F477" s="71">
        <f t="shared" si="200"/>
        <v>7567.1</v>
      </c>
      <c r="G477" s="71">
        <f t="shared" si="200"/>
        <v>7567.1</v>
      </c>
      <c r="H477" s="71">
        <f t="shared" si="200"/>
        <v>7567.0795399999997</v>
      </c>
      <c r="I477" s="247">
        <f t="shared" si="185"/>
        <v>99.99972961900859</v>
      </c>
      <c r="J477" s="247">
        <f t="shared" si="186"/>
        <v>100</v>
      </c>
    </row>
    <row r="478" spans="1:10" ht="25.5" x14ac:dyDescent="0.25">
      <c r="A478" s="106"/>
      <c r="B478" s="107"/>
      <c r="C478" s="108" t="s">
        <v>6</v>
      </c>
      <c r="D478" s="107"/>
      <c r="E478" s="109" t="s">
        <v>497</v>
      </c>
      <c r="F478" s="159">
        <f t="shared" si="200"/>
        <v>7567.1</v>
      </c>
      <c r="G478" s="159">
        <f t="shared" si="200"/>
        <v>7567.1</v>
      </c>
      <c r="H478" s="159">
        <f t="shared" si="200"/>
        <v>7567.0795399999997</v>
      </c>
      <c r="I478" s="257">
        <f t="shared" si="185"/>
        <v>99.99972961900859</v>
      </c>
      <c r="J478" s="257">
        <f t="shared" si="186"/>
        <v>100</v>
      </c>
    </row>
    <row r="479" spans="1:10" ht="26.25" x14ac:dyDescent="0.25">
      <c r="A479" s="30"/>
      <c r="B479" s="30"/>
      <c r="C479" s="30" t="s">
        <v>18</v>
      </c>
      <c r="D479" s="30"/>
      <c r="E479" s="51" t="s">
        <v>19</v>
      </c>
      <c r="F479" s="72">
        <f t="shared" si="200"/>
        <v>7567.1</v>
      </c>
      <c r="G479" s="72">
        <f t="shared" si="200"/>
        <v>7567.1</v>
      </c>
      <c r="H479" s="72">
        <f t="shared" si="200"/>
        <v>7567.0795399999997</v>
      </c>
      <c r="I479" s="244">
        <f t="shared" si="185"/>
        <v>99.99972961900859</v>
      </c>
      <c r="J479" s="244">
        <f t="shared" si="186"/>
        <v>100</v>
      </c>
    </row>
    <row r="480" spans="1:10" ht="39" x14ac:dyDescent="0.25">
      <c r="A480" s="32"/>
      <c r="B480" s="32"/>
      <c r="C480" s="32" t="s">
        <v>20</v>
      </c>
      <c r="D480" s="32"/>
      <c r="E480" s="33" t="s">
        <v>21</v>
      </c>
      <c r="F480" s="68">
        <f t="shared" si="200"/>
        <v>7567.1</v>
      </c>
      <c r="G480" s="68">
        <f t="shared" si="200"/>
        <v>7567.1</v>
      </c>
      <c r="H480" s="68">
        <f t="shared" si="200"/>
        <v>7567.0795399999997</v>
      </c>
      <c r="I480" s="245">
        <f t="shared" si="185"/>
        <v>99.99972961900859</v>
      </c>
      <c r="J480" s="245">
        <f t="shared" si="186"/>
        <v>100</v>
      </c>
    </row>
    <row r="481" spans="1:10" ht="26.25" x14ac:dyDescent="0.25">
      <c r="A481" s="94"/>
      <c r="B481" s="94"/>
      <c r="C481" s="6" t="s">
        <v>26</v>
      </c>
      <c r="D481" s="6"/>
      <c r="E481" s="8" t="s">
        <v>27</v>
      </c>
      <c r="F481" s="67">
        <f>F482</f>
        <v>7567.1</v>
      </c>
      <c r="G481" s="67">
        <f t="shared" si="200"/>
        <v>7567.1</v>
      </c>
      <c r="H481" s="67">
        <f t="shared" si="200"/>
        <v>7567.0795399999997</v>
      </c>
      <c r="I481" s="246">
        <f t="shared" si="185"/>
        <v>99.99972961900859</v>
      </c>
      <c r="J481" s="246">
        <f t="shared" si="186"/>
        <v>100</v>
      </c>
    </row>
    <row r="482" spans="1:10" x14ac:dyDescent="0.25">
      <c r="A482" s="94"/>
      <c r="B482" s="94"/>
      <c r="C482" s="6"/>
      <c r="D482" s="6" t="s">
        <v>408</v>
      </c>
      <c r="E482" s="3" t="s">
        <v>409</v>
      </c>
      <c r="F482" s="67">
        <v>7567.1</v>
      </c>
      <c r="G482" s="67">
        <v>7567.1</v>
      </c>
      <c r="H482" s="264">
        <v>7567.0795399999997</v>
      </c>
      <c r="I482" s="246">
        <f t="shared" si="185"/>
        <v>99.99972961900859</v>
      </c>
      <c r="J482" s="246">
        <f t="shared" si="186"/>
        <v>100</v>
      </c>
    </row>
    <row r="483" spans="1:10" x14ac:dyDescent="0.25">
      <c r="A483" s="103"/>
      <c r="B483" s="17" t="s">
        <v>595</v>
      </c>
      <c r="C483" s="104"/>
      <c r="D483" s="103"/>
      <c r="E483" s="98" t="s">
        <v>596</v>
      </c>
      <c r="F483" s="71">
        <f>F484</f>
        <v>1340.3</v>
      </c>
      <c r="G483" s="71">
        <f t="shared" ref="G483:H484" si="201">G484</f>
        <v>1068.87878</v>
      </c>
      <c r="H483" s="71">
        <f t="shared" si="201"/>
        <v>911.11479999999995</v>
      </c>
      <c r="I483" s="247">
        <f t="shared" si="185"/>
        <v>85.240236502777236</v>
      </c>
      <c r="J483" s="247">
        <f t="shared" si="186"/>
        <v>79.749218831604864</v>
      </c>
    </row>
    <row r="484" spans="1:10" x14ac:dyDescent="0.25">
      <c r="A484" s="103"/>
      <c r="B484" s="17"/>
      <c r="C484" s="104" t="s">
        <v>4</v>
      </c>
      <c r="D484" s="17"/>
      <c r="E484" s="123" t="s">
        <v>5</v>
      </c>
      <c r="F484" s="71">
        <f>F485</f>
        <v>1340.3</v>
      </c>
      <c r="G484" s="71">
        <f t="shared" si="201"/>
        <v>1068.87878</v>
      </c>
      <c r="H484" s="71">
        <f t="shared" si="201"/>
        <v>911.11479999999995</v>
      </c>
      <c r="I484" s="247">
        <f t="shared" si="185"/>
        <v>85.240236502777236</v>
      </c>
      <c r="J484" s="247">
        <f t="shared" si="186"/>
        <v>79.749218831604864</v>
      </c>
    </row>
    <row r="485" spans="1:10" ht="25.5" x14ac:dyDescent="0.25">
      <c r="A485" s="106"/>
      <c r="B485" s="107"/>
      <c r="C485" s="108" t="s">
        <v>193</v>
      </c>
      <c r="D485" s="107"/>
      <c r="E485" s="109" t="s">
        <v>194</v>
      </c>
      <c r="F485" s="159">
        <f>F486</f>
        <v>1340.3</v>
      </c>
      <c r="G485" s="159">
        <f t="shared" ref="G485:H486" si="202">G486</f>
        <v>1068.87878</v>
      </c>
      <c r="H485" s="159">
        <f t="shared" si="202"/>
        <v>911.11479999999995</v>
      </c>
      <c r="I485" s="257">
        <f t="shared" si="185"/>
        <v>85.240236502777236</v>
      </c>
      <c r="J485" s="257">
        <f t="shared" si="186"/>
        <v>79.749218831604864</v>
      </c>
    </row>
    <row r="486" spans="1:10" ht="26.25" x14ac:dyDescent="0.25">
      <c r="A486" s="32"/>
      <c r="B486" s="32"/>
      <c r="C486" s="32" t="s">
        <v>195</v>
      </c>
      <c r="D486" s="32"/>
      <c r="E486" s="33" t="s">
        <v>789</v>
      </c>
      <c r="F486" s="68">
        <f>F487</f>
        <v>1340.3</v>
      </c>
      <c r="G486" s="68">
        <f t="shared" si="202"/>
        <v>1068.87878</v>
      </c>
      <c r="H486" s="68">
        <f t="shared" si="202"/>
        <v>911.11479999999995</v>
      </c>
      <c r="I486" s="245">
        <f t="shared" si="185"/>
        <v>85.240236502777236</v>
      </c>
      <c r="J486" s="245">
        <f t="shared" si="186"/>
        <v>79.749218831604864</v>
      </c>
    </row>
    <row r="487" spans="1:10" ht="26.25" x14ac:dyDescent="0.25">
      <c r="A487" s="94"/>
      <c r="B487" s="94"/>
      <c r="C487" s="6" t="s">
        <v>199</v>
      </c>
      <c r="D487" s="6"/>
      <c r="E487" s="13" t="s">
        <v>200</v>
      </c>
      <c r="F487" s="67">
        <f>F488</f>
        <v>1340.3</v>
      </c>
      <c r="G487" s="67">
        <f>G488+G489</f>
        <v>1068.87878</v>
      </c>
      <c r="H487" s="67">
        <f>H488+H489</f>
        <v>911.11479999999995</v>
      </c>
      <c r="I487" s="246">
        <f t="shared" si="185"/>
        <v>85.240236502777236</v>
      </c>
      <c r="J487" s="246">
        <f t="shared" si="186"/>
        <v>79.749218831604864</v>
      </c>
    </row>
    <row r="488" spans="1:10" x14ac:dyDescent="0.25">
      <c r="A488" s="94"/>
      <c r="B488" s="94"/>
      <c r="C488" s="6"/>
      <c r="D488" s="6" t="s">
        <v>408</v>
      </c>
      <c r="E488" s="3" t="s">
        <v>409</v>
      </c>
      <c r="F488" s="67">
        <v>1340.3</v>
      </c>
      <c r="G488" s="264">
        <v>1064.86815</v>
      </c>
      <c r="H488" s="264">
        <v>907.10416999999995</v>
      </c>
      <c r="I488" s="246">
        <f t="shared" si="185"/>
        <v>85.184646568685523</v>
      </c>
      <c r="J488" s="246">
        <f t="shared" si="186"/>
        <v>79.449985077967625</v>
      </c>
    </row>
    <row r="489" spans="1:10" x14ac:dyDescent="0.25">
      <c r="A489" s="94"/>
      <c r="B489" s="94"/>
      <c r="C489" s="6"/>
      <c r="D489" s="6" t="s">
        <v>390</v>
      </c>
      <c r="E489" s="3" t="s">
        <v>391</v>
      </c>
      <c r="F489" s="67"/>
      <c r="G489" s="264">
        <v>4.0106299999999999</v>
      </c>
      <c r="H489" s="264">
        <v>4.0106299999999999</v>
      </c>
      <c r="I489" s="246">
        <f t="shared" si="185"/>
        <v>100</v>
      </c>
      <c r="J489" s="246"/>
    </row>
    <row r="490" spans="1:10" x14ac:dyDescent="0.25">
      <c r="A490" s="94"/>
      <c r="B490" s="17">
        <v>1004</v>
      </c>
      <c r="C490" s="104"/>
      <c r="D490" s="103"/>
      <c r="E490" s="98" t="s">
        <v>597</v>
      </c>
      <c r="F490" s="71">
        <f t="shared" ref="F490:H491" si="203">F491</f>
        <v>11683.954</v>
      </c>
      <c r="G490" s="71">
        <f t="shared" si="203"/>
        <v>10256.30761</v>
      </c>
      <c r="H490" s="71">
        <f t="shared" si="203"/>
        <v>10243.097170000001</v>
      </c>
      <c r="I490" s="247">
        <f t="shared" si="185"/>
        <v>99.871196920935574</v>
      </c>
      <c r="J490" s="247">
        <f t="shared" si="186"/>
        <v>87.781136505672649</v>
      </c>
    </row>
    <row r="491" spans="1:10" x14ac:dyDescent="0.25">
      <c r="A491" s="94"/>
      <c r="B491" s="17"/>
      <c r="C491" s="104" t="s">
        <v>4</v>
      </c>
      <c r="D491" s="17"/>
      <c r="E491" s="123" t="s">
        <v>559</v>
      </c>
      <c r="F491" s="71">
        <f t="shared" si="203"/>
        <v>11683.954</v>
      </c>
      <c r="G491" s="71">
        <f t="shared" si="203"/>
        <v>10256.30761</v>
      </c>
      <c r="H491" s="71">
        <f t="shared" si="203"/>
        <v>10243.097170000001</v>
      </c>
      <c r="I491" s="247">
        <f t="shared" si="185"/>
        <v>99.871196920935574</v>
      </c>
      <c r="J491" s="247">
        <f t="shared" si="186"/>
        <v>87.781136505672649</v>
      </c>
    </row>
    <row r="492" spans="1:10" ht="25.5" x14ac:dyDescent="0.25">
      <c r="A492" s="106"/>
      <c r="B492" s="107"/>
      <c r="C492" s="108" t="s">
        <v>177</v>
      </c>
      <c r="D492" s="107"/>
      <c r="E492" s="109" t="s">
        <v>178</v>
      </c>
      <c r="F492" s="159">
        <f t="shared" ref="F492:H492" si="204">F493+F501</f>
        <v>11683.954</v>
      </c>
      <c r="G492" s="159">
        <f t="shared" si="204"/>
        <v>10256.30761</v>
      </c>
      <c r="H492" s="159">
        <f t="shared" si="204"/>
        <v>10243.097170000001</v>
      </c>
      <c r="I492" s="257">
        <f t="shared" si="185"/>
        <v>99.871196920935574</v>
      </c>
      <c r="J492" s="257">
        <f t="shared" si="186"/>
        <v>87.781136505672649</v>
      </c>
    </row>
    <row r="493" spans="1:10" x14ac:dyDescent="0.25">
      <c r="A493" s="32"/>
      <c r="B493" s="32"/>
      <c r="C493" s="32" t="s">
        <v>179</v>
      </c>
      <c r="D493" s="32"/>
      <c r="E493" s="33" t="s">
        <v>180</v>
      </c>
      <c r="F493" s="68">
        <f>F496+F494</f>
        <v>8569.2489999999998</v>
      </c>
      <c r="G493" s="68">
        <f t="shared" ref="G493:H493" si="205">G496+G494</f>
        <v>7407.1410000000005</v>
      </c>
      <c r="H493" s="68">
        <f t="shared" si="205"/>
        <v>7393.9305600000007</v>
      </c>
      <c r="I493" s="245">
        <f t="shared" si="185"/>
        <v>99.821652645737402</v>
      </c>
      <c r="J493" s="245">
        <f t="shared" si="186"/>
        <v>86.43862490166876</v>
      </c>
    </row>
    <row r="494" spans="1:10" s="38" customFormat="1" ht="51.75" x14ac:dyDescent="0.25">
      <c r="A494" s="12"/>
      <c r="B494" s="12"/>
      <c r="C494" s="6" t="s">
        <v>181</v>
      </c>
      <c r="D494" s="6"/>
      <c r="E494" s="3" t="s">
        <v>507</v>
      </c>
      <c r="F494" s="67">
        <f>F495</f>
        <v>7398.1419999999998</v>
      </c>
      <c r="G494" s="67">
        <f t="shared" ref="G494:H494" si="206">G495</f>
        <v>4610.76</v>
      </c>
      <c r="H494" s="67">
        <f t="shared" si="206"/>
        <v>4610.76</v>
      </c>
      <c r="I494" s="246">
        <f t="shared" si="185"/>
        <v>100</v>
      </c>
      <c r="J494" s="246">
        <f t="shared" si="186"/>
        <v>62.323215747954016</v>
      </c>
    </row>
    <row r="495" spans="1:10" s="38" customFormat="1" x14ac:dyDescent="0.25">
      <c r="A495" s="12"/>
      <c r="B495" s="12"/>
      <c r="C495" s="6"/>
      <c r="D495" s="6" t="s">
        <v>408</v>
      </c>
      <c r="E495" s="3" t="s">
        <v>409</v>
      </c>
      <c r="F495" s="67">
        <v>7398.1419999999998</v>
      </c>
      <c r="G495" s="264">
        <v>4610.76</v>
      </c>
      <c r="H495" s="264">
        <v>4610.76</v>
      </c>
      <c r="I495" s="246">
        <f t="shared" si="185"/>
        <v>100</v>
      </c>
      <c r="J495" s="246">
        <f t="shared" si="186"/>
        <v>62.323215747954016</v>
      </c>
    </row>
    <row r="496" spans="1:10" ht="39" x14ac:dyDescent="0.25">
      <c r="A496" s="6"/>
      <c r="B496" s="6"/>
      <c r="C496" s="6" t="s">
        <v>183</v>
      </c>
      <c r="D496" s="6"/>
      <c r="E496" s="53" t="s">
        <v>726</v>
      </c>
      <c r="F496" s="67">
        <f>F497</f>
        <v>1171.107</v>
      </c>
      <c r="G496" s="67">
        <f t="shared" ref="G496:H496" si="207">G497</f>
        <v>2796.3810000000003</v>
      </c>
      <c r="H496" s="67">
        <f t="shared" si="207"/>
        <v>2783.17056</v>
      </c>
      <c r="I496" s="246">
        <f t="shared" ref="I496:I559" si="208">H496/G496*100</f>
        <v>99.527587978891276</v>
      </c>
      <c r="J496" s="246">
        <f t="shared" ref="J496:J559" si="209">G496/F496*100</f>
        <v>238.78099951584275</v>
      </c>
    </row>
    <row r="497" spans="1:10" x14ac:dyDescent="0.25">
      <c r="A497" s="6"/>
      <c r="B497" s="6"/>
      <c r="C497" s="6"/>
      <c r="D497" s="6" t="s">
        <v>408</v>
      </c>
      <c r="E497" s="3" t="s">
        <v>409</v>
      </c>
      <c r="F497" s="67">
        <f>F500</f>
        <v>1171.107</v>
      </c>
      <c r="G497" s="67">
        <f>G500+G498+G499</f>
        <v>2796.3810000000003</v>
      </c>
      <c r="H497" s="67">
        <f>H500+H498+H499</f>
        <v>2783.17056</v>
      </c>
      <c r="I497" s="246">
        <f t="shared" si="208"/>
        <v>99.527587978891276</v>
      </c>
      <c r="J497" s="246">
        <f t="shared" si="209"/>
        <v>238.78099951584275</v>
      </c>
    </row>
    <row r="498" spans="1:10" x14ac:dyDescent="0.25">
      <c r="A498" s="6"/>
      <c r="B498" s="6"/>
      <c r="C498" s="6"/>
      <c r="D498" s="6"/>
      <c r="E498" s="3" t="s">
        <v>184</v>
      </c>
      <c r="F498" s="67">
        <v>0</v>
      </c>
      <c r="G498" s="67">
        <v>1218.9559999999999</v>
      </c>
      <c r="H498" s="67">
        <v>1213.1973</v>
      </c>
      <c r="I498" s="246">
        <f t="shared" si="208"/>
        <v>99.527571134643097</v>
      </c>
      <c r="J498" s="246"/>
    </row>
    <row r="499" spans="1:10" x14ac:dyDescent="0.25">
      <c r="A499" s="6"/>
      <c r="B499" s="6"/>
      <c r="C499" s="6"/>
      <c r="D499" s="6"/>
      <c r="E499" s="3" t="s">
        <v>182</v>
      </c>
      <c r="F499" s="67">
        <v>0</v>
      </c>
      <c r="G499" s="67">
        <v>406.31799999999998</v>
      </c>
      <c r="H499" s="67">
        <v>404.39870999999999</v>
      </c>
      <c r="I499" s="246">
        <f t="shared" si="208"/>
        <v>99.527638450671645</v>
      </c>
      <c r="J499" s="246"/>
    </row>
    <row r="500" spans="1:10" x14ac:dyDescent="0.25">
      <c r="A500" s="6"/>
      <c r="B500" s="6"/>
      <c r="C500" s="6"/>
      <c r="D500" s="6"/>
      <c r="E500" s="3" t="s">
        <v>146</v>
      </c>
      <c r="F500" s="67">
        <v>1171.107</v>
      </c>
      <c r="G500" s="67">
        <v>1171.107</v>
      </c>
      <c r="H500" s="67">
        <v>1165.57455</v>
      </c>
      <c r="I500" s="246">
        <f t="shared" si="208"/>
        <v>99.527588000071731</v>
      </c>
      <c r="J500" s="246">
        <f t="shared" si="209"/>
        <v>100</v>
      </c>
    </row>
    <row r="501" spans="1:10" ht="39" x14ac:dyDescent="0.25">
      <c r="A501" s="32"/>
      <c r="B501" s="32"/>
      <c r="C501" s="32" t="s">
        <v>185</v>
      </c>
      <c r="D501" s="32"/>
      <c r="E501" s="33" t="s">
        <v>186</v>
      </c>
      <c r="F501" s="68">
        <f t="shared" ref="F501:H502" si="210">F502</f>
        <v>3114.7049999999999</v>
      </c>
      <c r="G501" s="68">
        <f t="shared" si="210"/>
        <v>2849.1666100000002</v>
      </c>
      <c r="H501" s="68">
        <f t="shared" si="210"/>
        <v>2849.1666100000002</v>
      </c>
      <c r="I501" s="245">
        <f t="shared" si="208"/>
        <v>100</v>
      </c>
      <c r="J501" s="245">
        <f t="shared" si="209"/>
        <v>91.474685724651309</v>
      </c>
    </row>
    <row r="502" spans="1:10" ht="64.5" x14ac:dyDescent="0.25">
      <c r="A502" s="94"/>
      <c r="B502" s="94"/>
      <c r="C502" s="6" t="s">
        <v>189</v>
      </c>
      <c r="D502" s="6"/>
      <c r="E502" s="45" t="s">
        <v>190</v>
      </c>
      <c r="F502" s="67">
        <f t="shared" si="210"/>
        <v>3114.7049999999999</v>
      </c>
      <c r="G502" s="67">
        <f t="shared" si="210"/>
        <v>2849.1666100000002</v>
      </c>
      <c r="H502" s="67">
        <f t="shared" si="210"/>
        <v>2849.1666100000002</v>
      </c>
      <c r="I502" s="246">
        <f t="shared" si="208"/>
        <v>100</v>
      </c>
      <c r="J502" s="246">
        <f t="shared" si="209"/>
        <v>91.474685724651309</v>
      </c>
    </row>
    <row r="503" spans="1:10" ht="26.25" x14ac:dyDescent="0.25">
      <c r="A503" s="94"/>
      <c r="B503" s="94"/>
      <c r="C503" s="6"/>
      <c r="D503" s="6" t="s">
        <v>290</v>
      </c>
      <c r="E503" s="3" t="s">
        <v>291</v>
      </c>
      <c r="F503" s="77">
        <v>3114.7049999999999</v>
      </c>
      <c r="G503" s="264">
        <v>2849.1666100000002</v>
      </c>
      <c r="H503" s="264">
        <v>2849.1666100000002</v>
      </c>
      <c r="I503" s="248">
        <f t="shared" si="208"/>
        <v>100</v>
      </c>
      <c r="J503" s="248">
        <f t="shared" si="209"/>
        <v>91.474685724651309</v>
      </c>
    </row>
    <row r="504" spans="1:10" x14ac:dyDescent="0.25">
      <c r="A504" s="94"/>
      <c r="B504" s="17" t="s">
        <v>598</v>
      </c>
      <c r="C504" s="104"/>
      <c r="D504" s="103"/>
      <c r="E504" s="98" t="s">
        <v>599</v>
      </c>
      <c r="F504" s="71">
        <f t="shared" ref="F504:H508" si="211">F505</f>
        <v>98.75779</v>
      </c>
      <c r="G504" s="71">
        <f t="shared" si="211"/>
        <v>98.75779</v>
      </c>
      <c r="H504" s="71">
        <f t="shared" si="211"/>
        <v>96.610770000000002</v>
      </c>
      <c r="I504" s="247">
        <f t="shared" si="208"/>
        <v>97.825974032023197</v>
      </c>
      <c r="J504" s="247">
        <f t="shared" si="209"/>
        <v>100</v>
      </c>
    </row>
    <row r="505" spans="1:10" x14ac:dyDescent="0.25">
      <c r="A505" s="94"/>
      <c r="B505" s="17"/>
      <c r="C505" s="104" t="s">
        <v>4</v>
      </c>
      <c r="D505" s="17"/>
      <c r="E505" s="123" t="s">
        <v>559</v>
      </c>
      <c r="F505" s="71">
        <f t="shared" si="211"/>
        <v>98.75779</v>
      </c>
      <c r="G505" s="71">
        <f t="shared" si="211"/>
        <v>98.75779</v>
      </c>
      <c r="H505" s="71">
        <f t="shared" si="211"/>
        <v>96.610770000000002</v>
      </c>
      <c r="I505" s="247">
        <f t="shared" si="208"/>
        <v>97.825974032023197</v>
      </c>
      <c r="J505" s="247">
        <f t="shared" si="209"/>
        <v>100</v>
      </c>
    </row>
    <row r="506" spans="1:10" ht="25.5" x14ac:dyDescent="0.25">
      <c r="A506" s="106"/>
      <c r="B506" s="107"/>
      <c r="C506" s="108" t="s">
        <v>177</v>
      </c>
      <c r="D506" s="107"/>
      <c r="E506" s="109" t="s">
        <v>178</v>
      </c>
      <c r="F506" s="159">
        <f t="shared" si="211"/>
        <v>98.75779</v>
      </c>
      <c r="G506" s="159">
        <f t="shared" si="211"/>
        <v>98.75779</v>
      </c>
      <c r="H506" s="159">
        <f t="shared" si="211"/>
        <v>96.610770000000002</v>
      </c>
      <c r="I506" s="257">
        <f t="shared" si="208"/>
        <v>97.825974032023197</v>
      </c>
      <c r="J506" s="257">
        <f t="shared" si="209"/>
        <v>100</v>
      </c>
    </row>
    <row r="507" spans="1:10" ht="39" x14ac:dyDescent="0.25">
      <c r="A507" s="32"/>
      <c r="B507" s="32"/>
      <c r="C507" s="32" t="s">
        <v>185</v>
      </c>
      <c r="D507" s="32"/>
      <c r="E507" s="33" t="s">
        <v>186</v>
      </c>
      <c r="F507" s="68">
        <f t="shared" si="211"/>
        <v>98.75779</v>
      </c>
      <c r="G507" s="68">
        <f t="shared" si="211"/>
        <v>98.75779</v>
      </c>
      <c r="H507" s="68">
        <f t="shared" si="211"/>
        <v>96.610770000000002</v>
      </c>
      <c r="I507" s="245">
        <f t="shared" si="208"/>
        <v>97.825974032023197</v>
      </c>
      <c r="J507" s="245">
        <f t="shared" si="209"/>
        <v>100</v>
      </c>
    </row>
    <row r="508" spans="1:10" ht="26.25" x14ac:dyDescent="0.25">
      <c r="A508" s="94"/>
      <c r="B508" s="94"/>
      <c r="C508" s="6" t="s">
        <v>187</v>
      </c>
      <c r="D508" s="6"/>
      <c r="E508" s="3" t="s">
        <v>188</v>
      </c>
      <c r="F508" s="67">
        <f>F509</f>
        <v>98.75779</v>
      </c>
      <c r="G508" s="67">
        <f t="shared" si="211"/>
        <v>98.75779</v>
      </c>
      <c r="H508" s="67">
        <f t="shared" si="211"/>
        <v>96.610770000000002</v>
      </c>
      <c r="I508" s="246">
        <f t="shared" si="208"/>
        <v>97.825974032023197</v>
      </c>
      <c r="J508" s="246">
        <f t="shared" si="209"/>
        <v>100</v>
      </c>
    </row>
    <row r="509" spans="1:10" x14ac:dyDescent="0.25">
      <c r="A509" s="94"/>
      <c r="B509" s="94"/>
      <c r="C509" s="6"/>
      <c r="D509" s="6" t="s">
        <v>272</v>
      </c>
      <c r="E509" s="3" t="s">
        <v>273</v>
      </c>
      <c r="F509" s="67">
        <v>98.75779</v>
      </c>
      <c r="G509" s="67">
        <v>98.75779</v>
      </c>
      <c r="H509" s="264">
        <v>96.610770000000002</v>
      </c>
      <c r="I509" s="246">
        <f t="shared" si="208"/>
        <v>97.825974032023197</v>
      </c>
      <c r="J509" s="246">
        <f t="shared" si="209"/>
        <v>100</v>
      </c>
    </row>
    <row r="510" spans="1:10" ht="25.5" x14ac:dyDescent="0.25">
      <c r="A510" s="101">
        <v>611</v>
      </c>
      <c r="B510" s="145"/>
      <c r="C510" s="146"/>
      <c r="D510" s="101"/>
      <c r="E510" s="102" t="s">
        <v>600</v>
      </c>
      <c r="F510" s="79">
        <f t="shared" ref="F510:H510" si="212">F511+F519+F658+F693</f>
        <v>488313.91706000001</v>
      </c>
      <c r="G510" s="79">
        <f t="shared" si="212"/>
        <v>561989.21060000011</v>
      </c>
      <c r="H510" s="79">
        <f t="shared" si="212"/>
        <v>545198.26832000015</v>
      </c>
      <c r="I510" s="242">
        <f t="shared" si="208"/>
        <v>97.012230490675549</v>
      </c>
      <c r="J510" s="242">
        <f t="shared" si="209"/>
        <v>115.08769071821222</v>
      </c>
    </row>
    <row r="511" spans="1:10" x14ac:dyDescent="0.25">
      <c r="A511" s="103"/>
      <c r="B511" s="17" t="s">
        <v>530</v>
      </c>
      <c r="C511" s="104"/>
      <c r="D511" s="103"/>
      <c r="E511" s="98" t="s">
        <v>538</v>
      </c>
      <c r="F511" s="71">
        <f t="shared" ref="F511:H516" si="213">F512</f>
        <v>9</v>
      </c>
      <c r="G511" s="71">
        <f t="shared" si="213"/>
        <v>9</v>
      </c>
      <c r="H511" s="71">
        <f t="shared" si="213"/>
        <v>9</v>
      </c>
      <c r="I511" s="247">
        <f t="shared" si="208"/>
        <v>100</v>
      </c>
      <c r="J511" s="247">
        <f t="shared" si="209"/>
        <v>100</v>
      </c>
    </row>
    <row r="512" spans="1:10" x14ac:dyDescent="0.25">
      <c r="A512" s="103"/>
      <c r="B512" s="17" t="s">
        <v>535</v>
      </c>
      <c r="C512" s="104"/>
      <c r="D512" s="103"/>
      <c r="E512" s="98" t="s">
        <v>546</v>
      </c>
      <c r="F512" s="71">
        <f t="shared" si="213"/>
        <v>9</v>
      </c>
      <c r="G512" s="71">
        <f t="shared" si="213"/>
        <v>9</v>
      </c>
      <c r="H512" s="71">
        <f t="shared" si="213"/>
        <v>9</v>
      </c>
      <c r="I512" s="247">
        <f t="shared" si="208"/>
        <v>100</v>
      </c>
      <c r="J512" s="247">
        <f t="shared" si="209"/>
        <v>100</v>
      </c>
    </row>
    <row r="513" spans="1:10" x14ac:dyDescent="0.25">
      <c r="A513" s="103"/>
      <c r="B513" s="17"/>
      <c r="C513" s="104" t="s">
        <v>4</v>
      </c>
      <c r="D513" s="103"/>
      <c r="E513" s="123" t="s">
        <v>5</v>
      </c>
      <c r="F513" s="124">
        <f t="shared" si="213"/>
        <v>9</v>
      </c>
      <c r="G513" s="124">
        <f t="shared" si="213"/>
        <v>9</v>
      </c>
      <c r="H513" s="124">
        <f t="shared" si="213"/>
        <v>9</v>
      </c>
      <c r="I513" s="251">
        <f t="shared" si="208"/>
        <v>100</v>
      </c>
      <c r="J513" s="251">
        <f t="shared" si="209"/>
        <v>100</v>
      </c>
    </row>
    <row r="514" spans="1:10" ht="25.5" x14ac:dyDescent="0.25">
      <c r="A514" s="106"/>
      <c r="B514" s="107"/>
      <c r="C514" s="108" t="s">
        <v>156</v>
      </c>
      <c r="D514" s="107"/>
      <c r="E514" s="109" t="s">
        <v>157</v>
      </c>
      <c r="F514" s="159">
        <f t="shared" si="213"/>
        <v>9</v>
      </c>
      <c r="G514" s="159">
        <f t="shared" si="213"/>
        <v>9</v>
      </c>
      <c r="H514" s="159">
        <f t="shared" si="213"/>
        <v>9</v>
      </c>
      <c r="I514" s="257">
        <f t="shared" si="208"/>
        <v>100</v>
      </c>
      <c r="J514" s="257">
        <f t="shared" si="209"/>
        <v>100</v>
      </c>
    </row>
    <row r="515" spans="1:10" ht="26.25" x14ac:dyDescent="0.25">
      <c r="A515" s="30"/>
      <c r="B515" s="30"/>
      <c r="C515" s="30" t="s">
        <v>164</v>
      </c>
      <c r="D515" s="30"/>
      <c r="E515" s="31" t="s">
        <v>165</v>
      </c>
      <c r="F515" s="72">
        <f t="shared" si="213"/>
        <v>9</v>
      </c>
      <c r="G515" s="72">
        <f t="shared" si="213"/>
        <v>9</v>
      </c>
      <c r="H515" s="72">
        <f t="shared" si="213"/>
        <v>9</v>
      </c>
      <c r="I515" s="244">
        <f t="shared" si="208"/>
        <v>100</v>
      </c>
      <c r="J515" s="244">
        <f t="shared" si="209"/>
        <v>100</v>
      </c>
    </row>
    <row r="516" spans="1:10" ht="26.25" x14ac:dyDescent="0.25">
      <c r="A516" s="32"/>
      <c r="B516" s="32"/>
      <c r="C516" s="32" t="s">
        <v>166</v>
      </c>
      <c r="D516" s="32"/>
      <c r="E516" s="33" t="s">
        <v>167</v>
      </c>
      <c r="F516" s="68">
        <f t="shared" si="213"/>
        <v>9</v>
      </c>
      <c r="G516" s="68">
        <f t="shared" si="213"/>
        <v>9</v>
      </c>
      <c r="H516" s="68">
        <f t="shared" si="213"/>
        <v>9</v>
      </c>
      <c r="I516" s="245">
        <f t="shared" si="208"/>
        <v>100</v>
      </c>
      <c r="J516" s="245">
        <f t="shared" si="209"/>
        <v>100</v>
      </c>
    </row>
    <row r="517" spans="1:10" x14ac:dyDescent="0.25">
      <c r="A517" s="94"/>
      <c r="B517" s="94"/>
      <c r="C517" s="6" t="s">
        <v>168</v>
      </c>
      <c r="D517" s="6"/>
      <c r="E517" s="3" t="s">
        <v>505</v>
      </c>
      <c r="F517" s="67">
        <v>9</v>
      </c>
      <c r="G517" s="67">
        <v>9</v>
      </c>
      <c r="H517" s="67">
        <v>9</v>
      </c>
      <c r="I517" s="246">
        <f t="shared" si="208"/>
        <v>100</v>
      </c>
      <c r="J517" s="246">
        <f t="shared" si="209"/>
        <v>100</v>
      </c>
    </row>
    <row r="518" spans="1:10" ht="26.25" x14ac:dyDescent="0.25">
      <c r="A518" s="94"/>
      <c r="B518" s="94"/>
      <c r="C518" s="6"/>
      <c r="D518" s="6" t="s">
        <v>449</v>
      </c>
      <c r="E518" s="3" t="s">
        <v>450</v>
      </c>
      <c r="F518" s="67">
        <v>9</v>
      </c>
      <c r="G518" s="67">
        <v>9</v>
      </c>
      <c r="H518" s="67">
        <v>9</v>
      </c>
      <c r="I518" s="246">
        <f t="shared" si="208"/>
        <v>100</v>
      </c>
      <c r="J518" s="246">
        <f t="shared" si="209"/>
        <v>100</v>
      </c>
    </row>
    <row r="519" spans="1:10" x14ac:dyDescent="0.25">
      <c r="A519" s="65"/>
      <c r="B519" s="17" t="s">
        <v>581</v>
      </c>
      <c r="C519" s="104"/>
      <c r="D519" s="103"/>
      <c r="E519" s="98" t="s">
        <v>582</v>
      </c>
      <c r="F519" s="71">
        <f t="shared" ref="F519:H519" si="214">F520+F540+F591+F606</f>
        <v>454644.15333</v>
      </c>
      <c r="G519" s="71">
        <f t="shared" si="214"/>
        <v>530937.31507000013</v>
      </c>
      <c r="H519" s="71">
        <f t="shared" si="214"/>
        <v>518979.33718000009</v>
      </c>
      <c r="I519" s="247">
        <f t="shared" si="208"/>
        <v>97.747760884272466</v>
      </c>
      <c r="J519" s="247">
        <f t="shared" si="209"/>
        <v>116.78085183350491</v>
      </c>
    </row>
    <row r="520" spans="1:10" x14ac:dyDescent="0.25">
      <c r="A520" s="65"/>
      <c r="B520" s="17" t="s">
        <v>601</v>
      </c>
      <c r="C520" s="104"/>
      <c r="D520" s="103"/>
      <c r="E520" s="98" t="s">
        <v>602</v>
      </c>
      <c r="F520" s="71">
        <f t="shared" ref="F520:H521" si="215">F521</f>
        <v>107613.899</v>
      </c>
      <c r="G520" s="71">
        <f t="shared" si="215"/>
        <v>122578.22020000001</v>
      </c>
      <c r="H520" s="71">
        <f t="shared" si="215"/>
        <v>117967.05145</v>
      </c>
      <c r="I520" s="247">
        <f t="shared" si="208"/>
        <v>96.238182653919779</v>
      </c>
      <c r="J520" s="247">
        <f t="shared" si="209"/>
        <v>113.90556548833901</v>
      </c>
    </row>
    <row r="521" spans="1:10" s="41" customFormat="1" x14ac:dyDescent="0.25">
      <c r="A521" s="103"/>
      <c r="B521" s="17"/>
      <c r="C521" s="104" t="s">
        <v>4</v>
      </c>
      <c r="D521" s="103"/>
      <c r="E521" s="123" t="s">
        <v>559</v>
      </c>
      <c r="F521" s="71">
        <f t="shared" si="215"/>
        <v>107613.899</v>
      </c>
      <c r="G521" s="71">
        <f t="shared" si="215"/>
        <v>122578.22020000001</v>
      </c>
      <c r="H521" s="71">
        <f t="shared" si="215"/>
        <v>117967.05145</v>
      </c>
      <c r="I521" s="247">
        <f t="shared" si="208"/>
        <v>96.238182653919779</v>
      </c>
      <c r="J521" s="247">
        <f t="shared" si="209"/>
        <v>113.90556548833901</v>
      </c>
    </row>
    <row r="522" spans="1:10" ht="25.5" x14ac:dyDescent="0.25">
      <c r="A522" s="106"/>
      <c r="B522" s="107"/>
      <c r="C522" s="108" t="s">
        <v>55</v>
      </c>
      <c r="D522" s="107"/>
      <c r="E522" s="109" t="s">
        <v>503</v>
      </c>
      <c r="F522" s="159">
        <f t="shared" ref="F522:H522" si="216">F523+F532+F536</f>
        <v>107613.899</v>
      </c>
      <c r="G522" s="159">
        <f t="shared" si="216"/>
        <v>122578.22020000001</v>
      </c>
      <c r="H522" s="159">
        <f t="shared" si="216"/>
        <v>117967.05145</v>
      </c>
      <c r="I522" s="257">
        <f t="shared" si="208"/>
        <v>96.238182653919779</v>
      </c>
      <c r="J522" s="257">
        <f t="shared" si="209"/>
        <v>113.90556548833901</v>
      </c>
    </row>
    <row r="523" spans="1:10" x14ac:dyDescent="0.25">
      <c r="A523" s="30"/>
      <c r="B523" s="30"/>
      <c r="C523" s="30" t="s">
        <v>57</v>
      </c>
      <c r="D523" s="30"/>
      <c r="E523" s="31" t="s">
        <v>58</v>
      </c>
      <c r="F523" s="72">
        <f t="shared" ref="F523:H523" si="217">F524</f>
        <v>105430.999</v>
      </c>
      <c r="G523" s="72">
        <f t="shared" si="217"/>
        <v>120505.2896</v>
      </c>
      <c r="H523" s="72">
        <f t="shared" si="217"/>
        <v>115985.65334</v>
      </c>
      <c r="I523" s="244">
        <f t="shared" si="208"/>
        <v>96.249429153689206</v>
      </c>
      <c r="J523" s="244">
        <f t="shared" si="209"/>
        <v>114.29777839817301</v>
      </c>
    </row>
    <row r="524" spans="1:10" ht="26.25" x14ac:dyDescent="0.25">
      <c r="A524" s="32"/>
      <c r="B524" s="32"/>
      <c r="C524" s="32" t="s">
        <v>59</v>
      </c>
      <c r="D524" s="32"/>
      <c r="E524" s="33" t="s">
        <v>60</v>
      </c>
      <c r="F524" s="68">
        <f t="shared" ref="F524:H524" si="218">F525+F527+F530</f>
        <v>105430.999</v>
      </c>
      <c r="G524" s="68">
        <f t="shared" si="218"/>
        <v>120505.2896</v>
      </c>
      <c r="H524" s="68">
        <f t="shared" si="218"/>
        <v>115985.65334</v>
      </c>
      <c r="I524" s="245">
        <f t="shared" si="208"/>
        <v>96.249429153689206</v>
      </c>
      <c r="J524" s="245">
        <f t="shared" si="209"/>
        <v>114.29777839817301</v>
      </c>
    </row>
    <row r="525" spans="1:10" ht="26.25" x14ac:dyDescent="0.25">
      <c r="A525" s="94"/>
      <c r="B525" s="94"/>
      <c r="C525" s="6" t="s">
        <v>61</v>
      </c>
      <c r="D525" s="12"/>
      <c r="E525" s="3" t="s">
        <v>62</v>
      </c>
      <c r="F525" s="67">
        <f>F526</f>
        <v>25300.7</v>
      </c>
      <c r="G525" s="67">
        <f t="shared" ref="G525:H525" si="219">G526</f>
        <v>25300.690600000002</v>
      </c>
      <c r="H525" s="67">
        <f t="shared" si="219"/>
        <v>25300.690600000002</v>
      </c>
      <c r="I525" s="246">
        <f t="shared" si="208"/>
        <v>100</v>
      </c>
      <c r="J525" s="246">
        <f t="shared" si="209"/>
        <v>99.99996284687775</v>
      </c>
    </row>
    <row r="526" spans="1:10" ht="26.25" x14ac:dyDescent="0.25">
      <c r="A526" s="94"/>
      <c r="B526" s="94"/>
      <c r="C526" s="6"/>
      <c r="D526" s="6" t="s">
        <v>449</v>
      </c>
      <c r="E526" s="3" t="s">
        <v>450</v>
      </c>
      <c r="F526" s="67">
        <f>27939.6-265.6-2373.3</f>
        <v>25300.7</v>
      </c>
      <c r="G526" s="264">
        <v>25300.690600000002</v>
      </c>
      <c r="H526" s="264">
        <v>25300.690600000002</v>
      </c>
      <c r="I526" s="246">
        <f t="shared" si="208"/>
        <v>100</v>
      </c>
      <c r="J526" s="246">
        <f t="shared" si="209"/>
        <v>99.99996284687775</v>
      </c>
    </row>
    <row r="527" spans="1:10" ht="39" x14ac:dyDescent="0.25">
      <c r="A527" s="94"/>
      <c r="B527" s="94"/>
      <c r="C527" s="6" t="s">
        <v>63</v>
      </c>
      <c r="D527" s="6"/>
      <c r="E527" s="3" t="s">
        <v>64</v>
      </c>
      <c r="F527" s="67">
        <f t="shared" ref="F527:H527" si="220">F528+F529</f>
        <v>79091.349000000002</v>
      </c>
      <c r="G527" s="67">
        <f t="shared" si="220"/>
        <v>94165.649000000005</v>
      </c>
      <c r="H527" s="67">
        <f t="shared" si="220"/>
        <v>89717.071729999996</v>
      </c>
      <c r="I527" s="246">
        <f t="shared" si="208"/>
        <v>95.275796092054748</v>
      </c>
      <c r="J527" s="246">
        <f t="shared" si="209"/>
        <v>119.0593537606749</v>
      </c>
    </row>
    <row r="528" spans="1:10" x14ac:dyDescent="0.25">
      <c r="A528" s="94"/>
      <c r="B528" s="94"/>
      <c r="C528" s="6"/>
      <c r="D528" s="6" t="s">
        <v>408</v>
      </c>
      <c r="E528" s="3" t="s">
        <v>409</v>
      </c>
      <c r="F528" s="67">
        <v>0</v>
      </c>
      <c r="G528" s="264">
        <v>22.197399999999998</v>
      </c>
      <c r="H528" s="67">
        <v>0</v>
      </c>
      <c r="I528" s="246">
        <f t="shared" si="208"/>
        <v>0</v>
      </c>
      <c r="J528" s="246"/>
    </row>
    <row r="529" spans="1:10" ht="26.25" x14ac:dyDescent="0.25">
      <c r="A529" s="94"/>
      <c r="B529" s="94"/>
      <c r="C529" s="6"/>
      <c r="D529" s="6" t="s">
        <v>449</v>
      </c>
      <c r="E529" s="3" t="s">
        <v>450</v>
      </c>
      <c r="F529" s="77">
        <v>79091.349000000002</v>
      </c>
      <c r="G529" s="264">
        <v>94143.4516</v>
      </c>
      <c r="H529" s="264">
        <v>89717.071729999996</v>
      </c>
      <c r="I529" s="248">
        <f t="shared" si="208"/>
        <v>95.298260479330025</v>
      </c>
      <c r="J529" s="248">
        <f t="shared" si="209"/>
        <v>119.03128823861633</v>
      </c>
    </row>
    <row r="530" spans="1:10" x14ac:dyDescent="0.25">
      <c r="A530" s="94"/>
      <c r="B530" s="94"/>
      <c r="C530" s="6" t="s">
        <v>67</v>
      </c>
      <c r="D530" s="6"/>
      <c r="E530" s="3" t="s">
        <v>68</v>
      </c>
      <c r="F530" s="67">
        <f>F531</f>
        <v>1038.95</v>
      </c>
      <c r="G530" s="67">
        <f t="shared" ref="G530:H530" si="221">G531</f>
        <v>1038.95</v>
      </c>
      <c r="H530" s="67">
        <f t="shared" si="221"/>
        <v>967.89101000000005</v>
      </c>
      <c r="I530" s="246">
        <f t="shared" si="208"/>
        <v>93.160499542807642</v>
      </c>
      <c r="J530" s="246">
        <f t="shared" si="209"/>
        <v>100</v>
      </c>
    </row>
    <row r="531" spans="1:10" ht="26.25" x14ac:dyDescent="0.25">
      <c r="A531" s="94"/>
      <c r="B531" s="94"/>
      <c r="C531" s="6"/>
      <c r="D531" s="6" t="s">
        <v>449</v>
      </c>
      <c r="E531" s="3" t="s">
        <v>450</v>
      </c>
      <c r="F531" s="67">
        <f>1170.3-131.35</f>
        <v>1038.95</v>
      </c>
      <c r="G531" s="67">
        <f t="shared" ref="G531" si="222">1170.3-131.35</f>
        <v>1038.95</v>
      </c>
      <c r="H531" s="264">
        <v>967.89101000000005</v>
      </c>
      <c r="I531" s="246">
        <f t="shared" si="208"/>
        <v>93.160499542807642</v>
      </c>
      <c r="J531" s="246">
        <f t="shared" si="209"/>
        <v>100</v>
      </c>
    </row>
    <row r="532" spans="1:10" x14ac:dyDescent="0.25">
      <c r="A532" s="30"/>
      <c r="B532" s="30"/>
      <c r="C532" s="30" t="s">
        <v>128</v>
      </c>
      <c r="D532" s="30"/>
      <c r="E532" s="31" t="s">
        <v>129</v>
      </c>
      <c r="F532" s="72">
        <f t="shared" ref="F532:H534" si="223">F533</f>
        <v>1003.8</v>
      </c>
      <c r="G532" s="72">
        <f t="shared" si="223"/>
        <v>893.8306</v>
      </c>
      <c r="H532" s="72">
        <f t="shared" si="223"/>
        <v>802.39039000000002</v>
      </c>
      <c r="I532" s="244">
        <f t="shared" si="208"/>
        <v>89.769850125963472</v>
      </c>
      <c r="J532" s="244">
        <f t="shared" si="209"/>
        <v>89.044690177326174</v>
      </c>
    </row>
    <row r="533" spans="1:10" ht="26.25" x14ac:dyDescent="0.25">
      <c r="A533" s="32"/>
      <c r="B533" s="32"/>
      <c r="C533" s="32" t="s">
        <v>136</v>
      </c>
      <c r="D533" s="32"/>
      <c r="E533" s="33" t="s">
        <v>137</v>
      </c>
      <c r="F533" s="68">
        <f t="shared" si="223"/>
        <v>1003.8</v>
      </c>
      <c r="G533" s="68">
        <f t="shared" si="223"/>
        <v>893.8306</v>
      </c>
      <c r="H533" s="68">
        <f t="shared" si="223"/>
        <v>802.39039000000002</v>
      </c>
      <c r="I533" s="245">
        <f t="shared" si="208"/>
        <v>89.769850125963472</v>
      </c>
      <c r="J533" s="245">
        <f t="shared" si="209"/>
        <v>89.044690177326174</v>
      </c>
    </row>
    <row r="534" spans="1:10" ht="26.25" x14ac:dyDescent="0.25">
      <c r="A534" s="6"/>
      <c r="B534" s="6"/>
      <c r="C534" s="6" t="s">
        <v>138</v>
      </c>
      <c r="D534" s="6"/>
      <c r="E534" s="3" t="s">
        <v>139</v>
      </c>
      <c r="F534" s="67">
        <f t="shared" si="223"/>
        <v>1003.8</v>
      </c>
      <c r="G534" s="67">
        <f t="shared" si="223"/>
        <v>893.8306</v>
      </c>
      <c r="H534" s="67">
        <f t="shared" si="223"/>
        <v>802.39039000000002</v>
      </c>
      <c r="I534" s="246">
        <f t="shared" si="208"/>
        <v>89.769850125963472</v>
      </c>
      <c r="J534" s="246">
        <f t="shared" si="209"/>
        <v>89.044690177326174</v>
      </c>
    </row>
    <row r="535" spans="1:10" ht="26.25" x14ac:dyDescent="0.25">
      <c r="A535" s="6"/>
      <c r="B535" s="6"/>
      <c r="C535" s="6"/>
      <c r="D535" s="262" t="s">
        <v>449</v>
      </c>
      <c r="E535" s="263" t="s">
        <v>450</v>
      </c>
      <c r="F535" s="67">
        <v>1003.8</v>
      </c>
      <c r="G535" s="264">
        <v>893.8306</v>
      </c>
      <c r="H535" s="264">
        <v>802.39039000000002</v>
      </c>
      <c r="I535" s="246">
        <f t="shared" si="208"/>
        <v>89.769850125963472</v>
      </c>
      <c r="J535" s="246">
        <f t="shared" si="209"/>
        <v>89.044690177326174</v>
      </c>
    </row>
    <row r="536" spans="1:10" ht="24.75" customHeight="1" x14ac:dyDescent="0.25">
      <c r="A536" s="30"/>
      <c r="B536" s="30"/>
      <c r="C536" s="30" t="s">
        <v>142</v>
      </c>
      <c r="D536" s="30"/>
      <c r="E536" s="31" t="s">
        <v>143</v>
      </c>
      <c r="F536" s="72">
        <f t="shared" ref="F536:H537" si="224">F537</f>
        <v>1179.0999999999999</v>
      </c>
      <c r="G536" s="72">
        <f t="shared" si="224"/>
        <v>1179.0999999999999</v>
      </c>
      <c r="H536" s="72">
        <f t="shared" si="224"/>
        <v>1179.0077200000001</v>
      </c>
      <c r="I536" s="244">
        <f t="shared" si="208"/>
        <v>99.992173691798854</v>
      </c>
      <c r="J536" s="244">
        <f t="shared" si="209"/>
        <v>100</v>
      </c>
    </row>
    <row r="537" spans="1:10" ht="26.25" x14ac:dyDescent="0.25">
      <c r="A537" s="35"/>
      <c r="B537" s="35"/>
      <c r="C537" s="35" t="s">
        <v>144</v>
      </c>
      <c r="D537" s="35"/>
      <c r="E537" s="33" t="s">
        <v>145</v>
      </c>
      <c r="F537" s="68">
        <f t="shared" si="224"/>
        <v>1179.0999999999999</v>
      </c>
      <c r="G537" s="68">
        <f t="shared" si="224"/>
        <v>1179.0999999999999</v>
      </c>
      <c r="H537" s="68">
        <f t="shared" si="224"/>
        <v>1179.0077200000001</v>
      </c>
      <c r="I537" s="245">
        <f t="shared" si="208"/>
        <v>99.992173691798854</v>
      </c>
      <c r="J537" s="245">
        <f t="shared" si="209"/>
        <v>100</v>
      </c>
    </row>
    <row r="538" spans="1:10" ht="51" x14ac:dyDescent="0.25">
      <c r="A538" s="94"/>
      <c r="B538" s="94"/>
      <c r="C538" s="4" t="s">
        <v>816</v>
      </c>
      <c r="D538" s="4"/>
      <c r="E538" s="5" t="s">
        <v>815</v>
      </c>
      <c r="F538" s="67">
        <f t="shared" ref="F538:H538" si="225">F539</f>
        <v>1179.0999999999999</v>
      </c>
      <c r="G538" s="67">
        <f t="shared" si="225"/>
        <v>1179.0999999999999</v>
      </c>
      <c r="H538" s="67">
        <f t="shared" si="225"/>
        <v>1179.0077200000001</v>
      </c>
      <c r="I538" s="246">
        <f t="shared" si="208"/>
        <v>99.992173691798854</v>
      </c>
      <c r="J538" s="246">
        <f t="shared" si="209"/>
        <v>100</v>
      </c>
    </row>
    <row r="539" spans="1:10" ht="26.25" x14ac:dyDescent="0.25">
      <c r="A539" s="94"/>
      <c r="B539" s="94"/>
      <c r="C539" s="6"/>
      <c r="D539" s="6" t="s">
        <v>449</v>
      </c>
      <c r="E539" s="3" t="s">
        <v>450</v>
      </c>
      <c r="F539" s="67">
        <v>1179.0999999999999</v>
      </c>
      <c r="G539" s="67">
        <v>1179.0999999999999</v>
      </c>
      <c r="H539" s="264">
        <v>1179.0077200000001</v>
      </c>
      <c r="I539" s="246">
        <f t="shared" si="208"/>
        <v>99.992173691798854</v>
      </c>
      <c r="J539" s="246">
        <f t="shared" si="209"/>
        <v>100</v>
      </c>
    </row>
    <row r="540" spans="1:10" x14ac:dyDescent="0.25">
      <c r="A540" s="65"/>
      <c r="B540" s="17" t="s">
        <v>583</v>
      </c>
      <c r="C540" s="104"/>
      <c r="D540" s="103"/>
      <c r="E540" s="98" t="s">
        <v>584</v>
      </c>
      <c r="F540" s="71">
        <f t="shared" ref="F540:H541" si="226">F541</f>
        <v>296798.69960000005</v>
      </c>
      <c r="G540" s="71">
        <f t="shared" si="226"/>
        <v>358087.18520000001</v>
      </c>
      <c r="H540" s="71">
        <f t="shared" si="226"/>
        <v>350913.3781700001</v>
      </c>
      <c r="I540" s="247">
        <f t="shared" si="208"/>
        <v>97.996631176289327</v>
      </c>
      <c r="J540" s="247">
        <f t="shared" si="209"/>
        <v>120.64984977447655</v>
      </c>
    </row>
    <row r="541" spans="1:10" x14ac:dyDescent="0.25">
      <c r="A541" s="65"/>
      <c r="B541" s="17"/>
      <c r="C541" s="104" t="s">
        <v>4</v>
      </c>
      <c r="D541" s="103"/>
      <c r="E541" s="123" t="s">
        <v>5</v>
      </c>
      <c r="F541" s="71">
        <f t="shared" si="226"/>
        <v>296798.69960000005</v>
      </c>
      <c r="G541" s="71">
        <f t="shared" si="226"/>
        <v>358087.18520000001</v>
      </c>
      <c r="H541" s="71">
        <f t="shared" si="226"/>
        <v>350913.3781700001</v>
      </c>
      <c r="I541" s="247">
        <f t="shared" si="208"/>
        <v>97.996631176289327</v>
      </c>
      <c r="J541" s="247">
        <f t="shared" si="209"/>
        <v>120.64984977447655</v>
      </c>
    </row>
    <row r="542" spans="1:10" ht="25.5" x14ac:dyDescent="0.25">
      <c r="A542" s="106"/>
      <c r="B542" s="107"/>
      <c r="C542" s="108" t="s">
        <v>55</v>
      </c>
      <c r="D542" s="107"/>
      <c r="E542" s="109" t="s">
        <v>503</v>
      </c>
      <c r="F542" s="159">
        <f t="shared" ref="F542:H542" si="227">F543+F577+F581</f>
        <v>296798.69960000005</v>
      </c>
      <c r="G542" s="159">
        <f t="shared" si="227"/>
        <v>358087.18520000001</v>
      </c>
      <c r="H542" s="159">
        <f t="shared" si="227"/>
        <v>350913.3781700001</v>
      </c>
      <c r="I542" s="257">
        <f t="shared" si="208"/>
        <v>97.996631176289327</v>
      </c>
      <c r="J542" s="257">
        <f t="shared" si="209"/>
        <v>120.64984977447655</v>
      </c>
    </row>
    <row r="543" spans="1:10" x14ac:dyDescent="0.25">
      <c r="A543" s="30"/>
      <c r="B543" s="30"/>
      <c r="C543" s="30" t="s">
        <v>71</v>
      </c>
      <c r="D543" s="30"/>
      <c r="E543" s="31" t="s">
        <v>72</v>
      </c>
      <c r="F543" s="72">
        <f t="shared" ref="F543:H543" si="228">F544+F553+F574</f>
        <v>270800.99960000004</v>
      </c>
      <c r="G543" s="72">
        <f t="shared" si="228"/>
        <v>332380.56530000002</v>
      </c>
      <c r="H543" s="72">
        <f t="shared" si="228"/>
        <v>325626.79268000007</v>
      </c>
      <c r="I543" s="244">
        <f t="shared" si="208"/>
        <v>97.968060312460167</v>
      </c>
      <c r="J543" s="244">
        <f t="shared" si="209"/>
        <v>122.73978522640579</v>
      </c>
    </row>
    <row r="544" spans="1:10" ht="26.25" x14ac:dyDescent="0.25">
      <c r="A544" s="32"/>
      <c r="B544" s="32"/>
      <c r="C544" s="32" t="s">
        <v>73</v>
      </c>
      <c r="D544" s="32"/>
      <c r="E544" s="33" t="s">
        <v>74</v>
      </c>
      <c r="F544" s="68">
        <f t="shared" ref="F544:H544" si="229">F545+F547+F549</f>
        <v>234637.11620000002</v>
      </c>
      <c r="G544" s="68">
        <f t="shared" si="229"/>
        <v>290053.98190000001</v>
      </c>
      <c r="H544" s="68">
        <f t="shared" si="229"/>
        <v>285036.64782000001</v>
      </c>
      <c r="I544" s="245">
        <f t="shared" si="208"/>
        <v>98.270206791462073</v>
      </c>
      <c r="J544" s="245">
        <f t="shared" si="209"/>
        <v>123.61811575145842</v>
      </c>
    </row>
    <row r="545" spans="1:10" ht="26.25" x14ac:dyDescent="0.25">
      <c r="A545" s="94"/>
      <c r="B545" s="94"/>
      <c r="C545" s="6" t="s">
        <v>75</v>
      </c>
      <c r="D545" s="12"/>
      <c r="E545" s="3" t="s">
        <v>76</v>
      </c>
      <c r="F545" s="67">
        <f>F546</f>
        <v>33164.1</v>
      </c>
      <c r="G545" s="67">
        <f t="shared" ref="G545:H545" si="230">G546</f>
        <v>33164.065699999999</v>
      </c>
      <c r="H545" s="67">
        <f t="shared" si="230"/>
        <v>33164.065699999999</v>
      </c>
      <c r="I545" s="246">
        <f t="shared" si="208"/>
        <v>100</v>
      </c>
      <c r="J545" s="246">
        <f t="shared" si="209"/>
        <v>99.999896574910835</v>
      </c>
    </row>
    <row r="546" spans="1:10" ht="26.25" x14ac:dyDescent="0.25">
      <c r="A546" s="94"/>
      <c r="B546" s="94"/>
      <c r="C546" s="6"/>
      <c r="D546" s="6" t="s">
        <v>449</v>
      </c>
      <c r="E546" s="3" t="s">
        <v>450</v>
      </c>
      <c r="F546" s="67">
        <f>34653.7-598-891.6</f>
        <v>33164.1</v>
      </c>
      <c r="G546" s="264">
        <v>33164.065699999999</v>
      </c>
      <c r="H546" s="264">
        <v>33164.065699999999</v>
      </c>
      <c r="I546" s="246">
        <f t="shared" si="208"/>
        <v>100</v>
      </c>
      <c r="J546" s="246">
        <f t="shared" si="209"/>
        <v>99.999896574910835</v>
      </c>
    </row>
    <row r="547" spans="1:10" ht="39" x14ac:dyDescent="0.25">
      <c r="A547" s="94"/>
      <c r="B547" s="94"/>
      <c r="C547" s="6" t="s">
        <v>77</v>
      </c>
      <c r="D547" s="6"/>
      <c r="E547" s="3" t="s">
        <v>78</v>
      </c>
      <c r="F547" s="67">
        <f t="shared" ref="F547:H547" si="231">F548</f>
        <v>193754.41620000001</v>
      </c>
      <c r="G547" s="67">
        <f t="shared" si="231"/>
        <v>247736.51620000001</v>
      </c>
      <c r="H547" s="67">
        <f t="shared" si="231"/>
        <v>242719.18212000001</v>
      </c>
      <c r="I547" s="246">
        <f t="shared" si="208"/>
        <v>97.974729701959049</v>
      </c>
      <c r="J547" s="246">
        <f t="shared" si="209"/>
        <v>127.86109398625413</v>
      </c>
    </row>
    <row r="548" spans="1:10" ht="26.25" x14ac:dyDescent="0.25">
      <c r="A548" s="94"/>
      <c r="B548" s="94"/>
      <c r="C548" s="6"/>
      <c r="D548" s="6" t="s">
        <v>449</v>
      </c>
      <c r="E548" s="3" t="s">
        <v>450</v>
      </c>
      <c r="F548" s="77">
        <v>193754.41620000001</v>
      </c>
      <c r="G548" s="264">
        <v>247736.51620000001</v>
      </c>
      <c r="H548" s="264">
        <v>242719.18212000001</v>
      </c>
      <c r="I548" s="248">
        <f t="shared" si="208"/>
        <v>97.974729701959049</v>
      </c>
      <c r="J548" s="248">
        <f t="shared" si="209"/>
        <v>127.86109398625413</v>
      </c>
    </row>
    <row r="549" spans="1:10" ht="64.5" x14ac:dyDescent="0.25">
      <c r="A549" s="94"/>
      <c r="B549" s="94"/>
      <c r="C549" s="6" t="s">
        <v>79</v>
      </c>
      <c r="D549" s="6"/>
      <c r="E549" s="3" t="s">
        <v>80</v>
      </c>
      <c r="F549" s="76">
        <f>F551+F552</f>
        <v>7718.6</v>
      </c>
      <c r="G549" s="76">
        <f t="shared" ref="G549:H549" si="232">G551+G552</f>
        <v>9153.4</v>
      </c>
      <c r="H549" s="76">
        <f t="shared" si="232"/>
        <v>9153.4</v>
      </c>
      <c r="I549" s="240">
        <f t="shared" si="208"/>
        <v>100</v>
      </c>
      <c r="J549" s="240">
        <f t="shared" si="209"/>
        <v>118.588863265359</v>
      </c>
    </row>
    <row r="550" spans="1:10" ht="26.25" x14ac:dyDescent="0.25">
      <c r="A550" s="94"/>
      <c r="B550" s="94"/>
      <c r="C550" s="6"/>
      <c r="D550" s="6" t="s">
        <v>449</v>
      </c>
      <c r="E550" s="3" t="s">
        <v>450</v>
      </c>
      <c r="F550" s="76">
        <f>F551+F552</f>
        <v>7718.6</v>
      </c>
      <c r="G550" s="76">
        <f t="shared" ref="G550:H550" si="233">G551+G552</f>
        <v>9153.4</v>
      </c>
      <c r="H550" s="76">
        <f t="shared" si="233"/>
        <v>9153.4</v>
      </c>
      <c r="I550" s="240">
        <f t="shared" si="208"/>
        <v>100</v>
      </c>
      <c r="J550" s="240">
        <f t="shared" si="209"/>
        <v>118.588863265359</v>
      </c>
    </row>
    <row r="551" spans="1:10" x14ac:dyDescent="0.25">
      <c r="A551" s="94"/>
      <c r="B551" s="94"/>
      <c r="C551" s="6"/>
      <c r="D551" s="6"/>
      <c r="E551" s="3" t="s">
        <v>81</v>
      </c>
      <c r="F551" s="67">
        <v>7032.1</v>
      </c>
      <c r="G551" s="67">
        <v>8466.9</v>
      </c>
      <c r="H551" s="67">
        <v>8466.9</v>
      </c>
      <c r="I551" s="246">
        <f t="shared" si="208"/>
        <v>100</v>
      </c>
      <c r="J551" s="246">
        <f t="shared" si="209"/>
        <v>120.40357787858534</v>
      </c>
    </row>
    <row r="552" spans="1:10" x14ac:dyDescent="0.25">
      <c r="A552" s="94"/>
      <c r="B552" s="94"/>
      <c r="C552" s="6"/>
      <c r="D552" s="6"/>
      <c r="E552" s="3" t="s">
        <v>82</v>
      </c>
      <c r="F552" s="67">
        <f>570.2+116.3</f>
        <v>686.5</v>
      </c>
      <c r="G552" s="67">
        <f t="shared" ref="G552:H552" si="234">570.2+116.3</f>
        <v>686.5</v>
      </c>
      <c r="H552" s="67">
        <f t="shared" si="234"/>
        <v>686.5</v>
      </c>
      <c r="I552" s="246">
        <f t="shared" si="208"/>
        <v>100</v>
      </c>
      <c r="J552" s="246">
        <f t="shared" si="209"/>
        <v>100</v>
      </c>
    </row>
    <row r="553" spans="1:10" ht="42" customHeight="1" x14ac:dyDescent="0.25">
      <c r="A553" s="32"/>
      <c r="B553" s="32"/>
      <c r="C553" s="32" t="s">
        <v>83</v>
      </c>
      <c r="D553" s="32"/>
      <c r="E553" s="33" t="s">
        <v>84</v>
      </c>
      <c r="F553" s="68">
        <f>F556+F558+F560+F562+F566+F568</f>
        <v>35735.4</v>
      </c>
      <c r="G553" s="68">
        <f>G556+G558+G560+G562+G566+G568+G554+G572+G564</f>
        <v>41898.100000000006</v>
      </c>
      <c r="H553" s="68">
        <f>H556+H558+H560+H562+H566+H568+H554+H572+H564</f>
        <v>40161.661460000003</v>
      </c>
      <c r="I553" s="245">
        <f t="shared" si="208"/>
        <v>95.855567340762462</v>
      </c>
      <c r="J553" s="245">
        <f t="shared" si="209"/>
        <v>117.24536454048369</v>
      </c>
    </row>
    <row r="554" spans="1:10" s="38" customFormat="1" ht="39" x14ac:dyDescent="0.25">
      <c r="A554" s="12"/>
      <c r="B554" s="12"/>
      <c r="C554" s="6" t="s">
        <v>850</v>
      </c>
      <c r="D554" s="12"/>
      <c r="E554" s="3" t="s">
        <v>851</v>
      </c>
      <c r="F554" s="71"/>
      <c r="G554" s="67">
        <f>G555</f>
        <v>324</v>
      </c>
      <c r="H554" s="67">
        <f>H555</f>
        <v>256.22582</v>
      </c>
      <c r="I554" s="247">
        <f t="shared" si="208"/>
        <v>79.082043209876545</v>
      </c>
      <c r="J554" s="247"/>
    </row>
    <row r="555" spans="1:10" s="38" customFormat="1" ht="26.25" x14ac:dyDescent="0.25">
      <c r="A555" s="6"/>
      <c r="B555" s="6"/>
      <c r="C555" s="6"/>
      <c r="D555" s="6" t="s">
        <v>449</v>
      </c>
      <c r="E555" s="3" t="s">
        <v>450</v>
      </c>
      <c r="F555" s="67"/>
      <c r="G555" s="67">
        <v>324</v>
      </c>
      <c r="H555" s="67">
        <v>256.22582</v>
      </c>
      <c r="I555" s="246">
        <f t="shared" si="208"/>
        <v>79.082043209876545</v>
      </c>
      <c r="J555" s="246"/>
    </row>
    <row r="556" spans="1:10" x14ac:dyDescent="0.25">
      <c r="A556" s="94"/>
      <c r="B556" s="94"/>
      <c r="C556" s="6" t="s">
        <v>85</v>
      </c>
      <c r="D556" s="6"/>
      <c r="E556" s="3" t="s">
        <v>86</v>
      </c>
      <c r="F556" s="67">
        <f>F557</f>
        <v>6825.8</v>
      </c>
      <c r="G556" s="67">
        <f t="shared" ref="G556:H556" si="235">G557</f>
        <v>6825.8</v>
      </c>
      <c r="H556" s="67">
        <f t="shared" si="235"/>
        <v>6453.82636</v>
      </c>
      <c r="I556" s="246">
        <f t="shared" si="208"/>
        <v>94.550475548653637</v>
      </c>
      <c r="J556" s="246">
        <f t="shared" si="209"/>
        <v>100</v>
      </c>
    </row>
    <row r="557" spans="1:10" ht="26.25" x14ac:dyDescent="0.25">
      <c r="A557" s="94"/>
      <c r="B557" s="94"/>
      <c r="C557" s="6"/>
      <c r="D557" s="6" t="s">
        <v>449</v>
      </c>
      <c r="E557" s="3" t="s">
        <v>450</v>
      </c>
      <c r="F557" s="67">
        <f>6981.2-235.4+80</f>
        <v>6825.8</v>
      </c>
      <c r="G557" s="67">
        <f t="shared" ref="G557" si="236">6981.2-235.4+80</f>
        <v>6825.8</v>
      </c>
      <c r="H557" s="264">
        <v>6453.82636</v>
      </c>
      <c r="I557" s="246">
        <f t="shared" si="208"/>
        <v>94.550475548653637</v>
      </c>
      <c r="J557" s="246">
        <f t="shared" si="209"/>
        <v>100</v>
      </c>
    </row>
    <row r="558" spans="1:10" ht="26.25" x14ac:dyDescent="0.25">
      <c r="A558" s="94"/>
      <c r="B558" s="94"/>
      <c r="C558" s="6" t="s">
        <v>88</v>
      </c>
      <c r="D558" s="6"/>
      <c r="E558" s="3" t="s">
        <v>89</v>
      </c>
      <c r="F558" s="67">
        <f>F559</f>
        <v>188.6</v>
      </c>
      <c r="G558" s="67">
        <f t="shared" ref="G558:H558" si="237">G559</f>
        <v>188.6</v>
      </c>
      <c r="H558" s="67">
        <f t="shared" si="237"/>
        <v>188.6</v>
      </c>
      <c r="I558" s="246">
        <f t="shared" si="208"/>
        <v>100</v>
      </c>
      <c r="J558" s="246">
        <f t="shared" si="209"/>
        <v>100</v>
      </c>
    </row>
    <row r="559" spans="1:10" ht="26.25" x14ac:dyDescent="0.25">
      <c r="A559" s="94"/>
      <c r="B559" s="94"/>
      <c r="C559" s="6"/>
      <c r="D559" s="6" t="s">
        <v>449</v>
      </c>
      <c r="E559" s="3" t="s">
        <v>450</v>
      </c>
      <c r="F559" s="67">
        <v>188.6</v>
      </c>
      <c r="G559" s="67">
        <v>188.6</v>
      </c>
      <c r="H559" s="67">
        <v>188.6</v>
      </c>
      <c r="I559" s="246">
        <f t="shared" si="208"/>
        <v>100</v>
      </c>
      <c r="J559" s="246">
        <f t="shared" si="209"/>
        <v>100</v>
      </c>
    </row>
    <row r="560" spans="1:10" ht="26.25" x14ac:dyDescent="0.25">
      <c r="A560" s="94"/>
      <c r="B560" s="94"/>
      <c r="C560" s="6" t="s">
        <v>90</v>
      </c>
      <c r="D560" s="6"/>
      <c r="E560" s="3" t="s">
        <v>91</v>
      </c>
      <c r="F560" s="67">
        <f>F561</f>
        <v>185.60000000000002</v>
      </c>
      <c r="G560" s="67">
        <f t="shared" ref="G560:H560" si="238">G561</f>
        <v>185.60000000000002</v>
      </c>
      <c r="H560" s="67">
        <f t="shared" si="238"/>
        <v>185.60000000000002</v>
      </c>
      <c r="I560" s="246">
        <f t="shared" ref="I560:I625" si="239">H560/G560*100</f>
        <v>100</v>
      </c>
      <c r="J560" s="246">
        <f t="shared" ref="J560:J625" si="240">G560/F560*100</f>
        <v>100</v>
      </c>
    </row>
    <row r="561" spans="1:10" ht="26.25" x14ac:dyDescent="0.25">
      <c r="A561" s="94"/>
      <c r="B561" s="94"/>
      <c r="C561" s="6"/>
      <c r="D561" s="6" t="s">
        <v>449</v>
      </c>
      <c r="E561" s="3" t="s">
        <v>450</v>
      </c>
      <c r="F561" s="67">
        <f>271.3-85.7</f>
        <v>185.60000000000002</v>
      </c>
      <c r="G561" s="67">
        <f t="shared" ref="G561:H561" si="241">271.3-85.7</f>
        <v>185.60000000000002</v>
      </c>
      <c r="H561" s="67">
        <f t="shared" si="241"/>
        <v>185.60000000000002</v>
      </c>
      <c r="I561" s="246">
        <f t="shared" si="239"/>
        <v>100</v>
      </c>
      <c r="J561" s="246">
        <f t="shared" si="240"/>
        <v>100</v>
      </c>
    </row>
    <row r="562" spans="1:10" ht="26.25" x14ac:dyDescent="0.25">
      <c r="A562" s="94"/>
      <c r="B562" s="94"/>
      <c r="C562" s="6" t="s">
        <v>94</v>
      </c>
      <c r="D562" s="6"/>
      <c r="E562" s="3" t="s">
        <v>95</v>
      </c>
      <c r="F562" s="67">
        <v>12128.1</v>
      </c>
      <c r="G562" s="67"/>
      <c r="H562" s="67"/>
      <c r="I562" s="246"/>
      <c r="J562" s="246">
        <f t="shared" si="240"/>
        <v>0</v>
      </c>
    </row>
    <row r="563" spans="1:10" ht="26.25" x14ac:dyDescent="0.25">
      <c r="A563" s="94"/>
      <c r="B563" s="94"/>
      <c r="C563" s="6"/>
      <c r="D563" s="6" t="s">
        <v>449</v>
      </c>
      <c r="E563" s="3" t="s">
        <v>450</v>
      </c>
      <c r="F563" s="67">
        <v>12128.1</v>
      </c>
      <c r="G563" s="67"/>
      <c r="H563" s="67"/>
      <c r="I563" s="246"/>
      <c r="J563" s="246">
        <f t="shared" si="240"/>
        <v>0</v>
      </c>
    </row>
    <row r="564" spans="1:10" ht="26.25" x14ac:dyDescent="0.25">
      <c r="A564" s="94"/>
      <c r="B564" s="94"/>
      <c r="C564" s="6" t="s">
        <v>854</v>
      </c>
      <c r="D564" s="6"/>
      <c r="E564" s="3" t="s">
        <v>95</v>
      </c>
      <c r="F564" s="67"/>
      <c r="G564" s="67">
        <f>G565</f>
        <v>19819.400000000001</v>
      </c>
      <c r="H564" s="67">
        <f>H565</f>
        <v>19723.25879</v>
      </c>
      <c r="I564" s="246">
        <f t="shared" si="239"/>
        <v>99.514913619988491</v>
      </c>
      <c r="J564" s="246"/>
    </row>
    <row r="565" spans="1:10" ht="26.25" x14ac:dyDescent="0.25">
      <c r="A565" s="94"/>
      <c r="B565" s="94"/>
      <c r="C565" s="6"/>
      <c r="D565" s="6" t="s">
        <v>449</v>
      </c>
      <c r="E565" s="3" t="s">
        <v>450</v>
      </c>
      <c r="F565" s="67"/>
      <c r="G565" s="264">
        <v>19819.400000000001</v>
      </c>
      <c r="H565" s="264">
        <v>19723.25879</v>
      </c>
      <c r="I565" s="246">
        <f t="shared" si="239"/>
        <v>99.514913619988491</v>
      </c>
      <c r="J565" s="246"/>
    </row>
    <row r="566" spans="1:10" ht="26.25" x14ac:dyDescent="0.25">
      <c r="A566" s="94"/>
      <c r="B566" s="94"/>
      <c r="C566" s="6" t="s">
        <v>96</v>
      </c>
      <c r="D566" s="6"/>
      <c r="E566" s="3" t="s">
        <v>416</v>
      </c>
      <c r="F566" s="67">
        <f>F567</f>
        <v>13563.3</v>
      </c>
      <c r="G566" s="67">
        <f t="shared" ref="G566:H566" si="242">G567</f>
        <v>11620.9</v>
      </c>
      <c r="H566" s="67">
        <f t="shared" si="242"/>
        <v>10426.138000000001</v>
      </c>
      <c r="I566" s="246">
        <f t="shared" si="239"/>
        <v>89.718851379841496</v>
      </c>
      <c r="J566" s="246">
        <f t="shared" si="240"/>
        <v>85.679001422957541</v>
      </c>
    </row>
    <row r="567" spans="1:10" ht="26.25" x14ac:dyDescent="0.25">
      <c r="A567" s="94"/>
      <c r="B567" s="94"/>
      <c r="C567" s="6"/>
      <c r="D567" s="6" t="s">
        <v>449</v>
      </c>
      <c r="E567" s="3" t="s">
        <v>450</v>
      </c>
      <c r="F567" s="67">
        <v>13563.3</v>
      </c>
      <c r="G567" s="264">
        <v>11620.9</v>
      </c>
      <c r="H567" s="264">
        <v>10426.138000000001</v>
      </c>
      <c r="I567" s="246">
        <f t="shared" si="239"/>
        <v>89.718851379841496</v>
      </c>
      <c r="J567" s="246">
        <f t="shared" si="240"/>
        <v>85.679001422957541</v>
      </c>
    </row>
    <row r="568" spans="1:10" ht="26.25" x14ac:dyDescent="0.25">
      <c r="A568" s="94"/>
      <c r="B568" s="94"/>
      <c r="C568" s="6" t="s">
        <v>478</v>
      </c>
      <c r="D568" s="6"/>
      <c r="E568" s="3" t="s">
        <v>603</v>
      </c>
      <c r="F568" s="67">
        <f>F569</f>
        <v>2844</v>
      </c>
      <c r="G568" s="67">
        <f t="shared" ref="G568:H568" si="243">G569</f>
        <v>2844</v>
      </c>
      <c r="H568" s="67">
        <f t="shared" si="243"/>
        <v>2844</v>
      </c>
      <c r="I568" s="246">
        <f t="shared" si="239"/>
        <v>100</v>
      </c>
      <c r="J568" s="246">
        <f t="shared" si="240"/>
        <v>100</v>
      </c>
    </row>
    <row r="569" spans="1:10" ht="26.25" x14ac:dyDescent="0.25">
      <c r="A569" s="94"/>
      <c r="B569" s="94"/>
      <c r="C569" s="6"/>
      <c r="D569" s="6" t="s">
        <v>449</v>
      </c>
      <c r="E569" s="3" t="s">
        <v>450</v>
      </c>
      <c r="F569" s="67">
        <f>F570+F571</f>
        <v>2844</v>
      </c>
      <c r="G569" s="67">
        <f t="shared" ref="G569:H569" si="244">G570+G571</f>
        <v>2844</v>
      </c>
      <c r="H569" s="67">
        <f t="shared" si="244"/>
        <v>2844</v>
      </c>
      <c r="I569" s="246">
        <f t="shared" si="239"/>
        <v>100</v>
      </c>
      <c r="J569" s="246">
        <f t="shared" si="240"/>
        <v>100</v>
      </c>
    </row>
    <row r="570" spans="1:10" x14ac:dyDescent="0.25">
      <c r="A570" s="94"/>
      <c r="B570" s="94"/>
      <c r="C570" s="6"/>
      <c r="D570" s="6"/>
      <c r="E570" s="3" t="s">
        <v>81</v>
      </c>
      <c r="F570" s="67">
        <v>2133</v>
      </c>
      <c r="G570" s="67">
        <v>2133</v>
      </c>
      <c r="H570" s="67">
        <v>2133</v>
      </c>
      <c r="I570" s="246">
        <f t="shared" si="239"/>
        <v>100</v>
      </c>
      <c r="J570" s="246">
        <f t="shared" si="240"/>
        <v>100</v>
      </c>
    </row>
    <row r="571" spans="1:10" x14ac:dyDescent="0.25">
      <c r="A571" s="94"/>
      <c r="B571" s="94"/>
      <c r="C571" s="6"/>
      <c r="D571" s="6"/>
      <c r="E571" s="3" t="s">
        <v>82</v>
      </c>
      <c r="F571" s="67">
        <v>711</v>
      </c>
      <c r="G571" s="67">
        <v>711</v>
      </c>
      <c r="H571" s="67">
        <v>711</v>
      </c>
      <c r="I571" s="246">
        <f t="shared" si="239"/>
        <v>100</v>
      </c>
      <c r="J571" s="246">
        <f t="shared" si="240"/>
        <v>100</v>
      </c>
    </row>
    <row r="572" spans="1:10" ht="39" x14ac:dyDescent="0.25">
      <c r="A572" s="94"/>
      <c r="B572" s="94"/>
      <c r="C572" s="6" t="s">
        <v>852</v>
      </c>
      <c r="D572" s="6"/>
      <c r="E572" s="3" t="s">
        <v>853</v>
      </c>
      <c r="F572" s="67"/>
      <c r="G572" s="67">
        <f>G573</f>
        <v>89.8</v>
      </c>
      <c r="H572" s="67">
        <f>H573</f>
        <v>84.01249</v>
      </c>
      <c r="I572" s="246">
        <f t="shared" si="239"/>
        <v>93.555111358574621</v>
      </c>
      <c r="J572" s="246"/>
    </row>
    <row r="573" spans="1:10" ht="26.25" x14ac:dyDescent="0.25">
      <c r="A573" s="94"/>
      <c r="B573" s="94"/>
      <c r="C573" s="6"/>
      <c r="D573" s="6" t="s">
        <v>449</v>
      </c>
      <c r="E573" s="3" t="s">
        <v>450</v>
      </c>
      <c r="F573" s="67"/>
      <c r="G573" s="264">
        <v>89.8</v>
      </c>
      <c r="H573" s="264">
        <v>84.01249</v>
      </c>
      <c r="I573" s="246">
        <f t="shared" si="239"/>
        <v>93.555111358574621</v>
      </c>
      <c r="J573" s="246"/>
    </row>
    <row r="574" spans="1:10" s="41" customFormat="1" ht="25.5" x14ac:dyDescent="0.25">
      <c r="A574" s="96"/>
      <c r="B574" s="96"/>
      <c r="C574" s="86" t="s">
        <v>491</v>
      </c>
      <c r="D574" s="14"/>
      <c r="E574" s="87" t="s">
        <v>651</v>
      </c>
      <c r="F574" s="68">
        <f t="shared" ref="F574:H575" si="245">F575</f>
        <v>428.48340000000002</v>
      </c>
      <c r="G574" s="68">
        <f t="shared" si="245"/>
        <v>428.48340000000002</v>
      </c>
      <c r="H574" s="68">
        <f t="shared" si="245"/>
        <v>428.48340000000002</v>
      </c>
      <c r="I574" s="245">
        <f t="shared" si="239"/>
        <v>100</v>
      </c>
      <c r="J574" s="245">
        <f t="shared" si="240"/>
        <v>100</v>
      </c>
    </row>
    <row r="575" spans="1:10" ht="39" x14ac:dyDescent="0.25">
      <c r="A575" s="94"/>
      <c r="B575" s="94"/>
      <c r="C575" s="85" t="s">
        <v>492</v>
      </c>
      <c r="D575" s="85"/>
      <c r="E575" s="3" t="s">
        <v>493</v>
      </c>
      <c r="F575" s="67">
        <f t="shared" si="245"/>
        <v>428.48340000000002</v>
      </c>
      <c r="G575" s="67">
        <f t="shared" si="245"/>
        <v>428.48340000000002</v>
      </c>
      <c r="H575" s="67">
        <f t="shared" si="245"/>
        <v>428.48340000000002</v>
      </c>
      <c r="I575" s="246">
        <f t="shared" si="239"/>
        <v>100</v>
      </c>
      <c r="J575" s="246">
        <f t="shared" si="240"/>
        <v>100</v>
      </c>
    </row>
    <row r="576" spans="1:10" ht="26.25" x14ac:dyDescent="0.25">
      <c r="A576" s="94"/>
      <c r="B576" s="94"/>
      <c r="C576" s="85"/>
      <c r="D576" s="85" t="s">
        <v>449</v>
      </c>
      <c r="E576" s="83" t="s">
        <v>450</v>
      </c>
      <c r="F576" s="67">
        <v>428.48340000000002</v>
      </c>
      <c r="G576" s="67">
        <v>428.48340000000002</v>
      </c>
      <c r="H576" s="67">
        <v>428.48340000000002</v>
      </c>
      <c r="I576" s="246">
        <f t="shared" si="239"/>
        <v>100</v>
      </c>
      <c r="J576" s="246">
        <f t="shared" si="240"/>
        <v>100</v>
      </c>
    </row>
    <row r="577" spans="1:10" x14ac:dyDescent="0.25">
      <c r="A577" s="30"/>
      <c r="B577" s="30"/>
      <c r="C577" s="30" t="s">
        <v>128</v>
      </c>
      <c r="D577" s="30"/>
      <c r="E577" s="31" t="s">
        <v>129</v>
      </c>
      <c r="F577" s="72">
        <f>F578</f>
        <v>4944.8999999999996</v>
      </c>
      <c r="G577" s="72">
        <f t="shared" ref="G577:H579" si="246">G578</f>
        <v>4653.8199000000004</v>
      </c>
      <c r="H577" s="72">
        <f t="shared" si="246"/>
        <v>4233.8229899999997</v>
      </c>
      <c r="I577" s="244">
        <f t="shared" si="239"/>
        <v>90.975222096583479</v>
      </c>
      <c r="J577" s="244">
        <f t="shared" si="240"/>
        <v>94.113529090578183</v>
      </c>
    </row>
    <row r="578" spans="1:10" ht="26.25" x14ac:dyDescent="0.25">
      <c r="A578" s="32"/>
      <c r="B578" s="32"/>
      <c r="C578" s="32" t="s">
        <v>136</v>
      </c>
      <c r="D578" s="32"/>
      <c r="E578" s="33" t="s">
        <v>137</v>
      </c>
      <c r="F578" s="68">
        <f>F579</f>
        <v>4944.8999999999996</v>
      </c>
      <c r="G578" s="68">
        <f t="shared" si="246"/>
        <v>4653.8199000000004</v>
      </c>
      <c r="H578" s="68">
        <f t="shared" si="246"/>
        <v>4233.8229899999997</v>
      </c>
      <c r="I578" s="245">
        <f t="shared" si="239"/>
        <v>90.975222096583479</v>
      </c>
      <c r="J578" s="245">
        <f t="shared" si="240"/>
        <v>94.113529090578183</v>
      </c>
    </row>
    <row r="579" spans="1:10" ht="26.25" x14ac:dyDescent="0.25">
      <c r="A579" s="94"/>
      <c r="B579" s="94"/>
      <c r="C579" s="6" t="s">
        <v>138</v>
      </c>
      <c r="D579" s="6"/>
      <c r="E579" s="3" t="s">
        <v>139</v>
      </c>
      <c r="F579" s="67">
        <f>F580</f>
        <v>4944.8999999999996</v>
      </c>
      <c r="G579" s="67">
        <f t="shared" si="246"/>
        <v>4653.8199000000004</v>
      </c>
      <c r="H579" s="67">
        <f t="shared" si="246"/>
        <v>4233.8229899999997</v>
      </c>
      <c r="I579" s="246">
        <f t="shared" si="239"/>
        <v>90.975222096583479</v>
      </c>
      <c r="J579" s="246">
        <f t="shared" si="240"/>
        <v>94.113529090578183</v>
      </c>
    </row>
    <row r="580" spans="1:10" ht="26.25" x14ac:dyDescent="0.25">
      <c r="A580" s="94"/>
      <c r="B580" s="94"/>
      <c r="C580" s="6"/>
      <c r="D580" s="262" t="s">
        <v>449</v>
      </c>
      <c r="E580" s="263" t="s">
        <v>450</v>
      </c>
      <c r="F580" s="67">
        <v>4944.8999999999996</v>
      </c>
      <c r="G580" s="264">
        <v>4653.8199000000004</v>
      </c>
      <c r="H580" s="264">
        <v>4233.8229899999997</v>
      </c>
      <c r="I580" s="246">
        <f t="shared" si="239"/>
        <v>90.975222096583479</v>
      </c>
      <c r="J580" s="246">
        <f t="shared" si="240"/>
        <v>94.113529090578183</v>
      </c>
    </row>
    <row r="581" spans="1:10" ht="24.75" customHeight="1" x14ac:dyDescent="0.25">
      <c r="A581" s="30"/>
      <c r="B581" s="30"/>
      <c r="C581" s="30" t="s">
        <v>142</v>
      </c>
      <c r="D581" s="30"/>
      <c r="E581" s="31" t="s">
        <v>143</v>
      </c>
      <c r="F581" s="72">
        <f t="shared" ref="F581:H581" si="247">F582</f>
        <v>21052.799999999999</v>
      </c>
      <c r="G581" s="72">
        <f t="shared" si="247"/>
        <v>21052.799999999999</v>
      </c>
      <c r="H581" s="72">
        <f t="shared" si="247"/>
        <v>21052.762499999997</v>
      </c>
      <c r="I581" s="244">
        <f t="shared" si="239"/>
        <v>99.999821876424974</v>
      </c>
      <c r="J581" s="244">
        <f t="shared" si="240"/>
        <v>100</v>
      </c>
    </row>
    <row r="582" spans="1:10" ht="26.25" x14ac:dyDescent="0.25">
      <c r="A582" s="35"/>
      <c r="B582" s="35"/>
      <c r="C582" s="35" t="s">
        <v>144</v>
      </c>
      <c r="D582" s="35"/>
      <c r="E582" s="33" t="s">
        <v>145</v>
      </c>
      <c r="F582" s="68">
        <f>+F583+F587+F589</f>
        <v>21052.799999999999</v>
      </c>
      <c r="G582" s="68">
        <f t="shared" ref="G582:H582" si="248">+G583+G587+G589</f>
        <v>21052.799999999999</v>
      </c>
      <c r="H582" s="68">
        <f t="shared" si="248"/>
        <v>21052.762499999997</v>
      </c>
      <c r="I582" s="245">
        <f t="shared" si="239"/>
        <v>99.999821876424974</v>
      </c>
      <c r="J582" s="245">
        <f t="shared" si="240"/>
        <v>100</v>
      </c>
    </row>
    <row r="583" spans="1:10" ht="25.5" x14ac:dyDescent="0.25">
      <c r="A583" s="94"/>
      <c r="B583" s="94"/>
      <c r="C583" s="6" t="s">
        <v>465</v>
      </c>
      <c r="D583" s="6"/>
      <c r="E583" s="1" t="s">
        <v>642</v>
      </c>
      <c r="F583" s="77">
        <f>F584</f>
        <v>17700</v>
      </c>
      <c r="G583" s="77">
        <f t="shared" ref="G583:H583" si="249">G584</f>
        <v>17700</v>
      </c>
      <c r="H583" s="77">
        <f t="shared" si="249"/>
        <v>17700</v>
      </c>
      <c r="I583" s="248">
        <f t="shared" si="239"/>
        <v>100</v>
      </c>
      <c r="J583" s="248">
        <f t="shared" si="240"/>
        <v>100</v>
      </c>
    </row>
    <row r="584" spans="1:10" ht="26.25" x14ac:dyDescent="0.25">
      <c r="A584" s="94"/>
      <c r="B584" s="94"/>
      <c r="C584" s="6"/>
      <c r="D584" s="6" t="s">
        <v>449</v>
      </c>
      <c r="E584" s="3" t="s">
        <v>450</v>
      </c>
      <c r="F584" s="77">
        <f>F585+F586</f>
        <v>17700</v>
      </c>
      <c r="G584" s="77">
        <f t="shared" ref="G584:H584" si="250">G585+G586</f>
        <v>17700</v>
      </c>
      <c r="H584" s="77">
        <f t="shared" si="250"/>
        <v>17700</v>
      </c>
      <c r="I584" s="248">
        <f t="shared" si="239"/>
        <v>100</v>
      </c>
      <c r="J584" s="248">
        <f t="shared" si="240"/>
        <v>100</v>
      </c>
    </row>
    <row r="585" spans="1:10" x14ac:dyDescent="0.25">
      <c r="A585" s="94"/>
      <c r="B585" s="94"/>
      <c r="C585" s="6"/>
      <c r="D585" s="6"/>
      <c r="E585" s="3" t="s">
        <v>149</v>
      </c>
      <c r="F585" s="77">
        <v>15930</v>
      </c>
      <c r="G585" s="77">
        <v>15930</v>
      </c>
      <c r="H585" s="77">
        <v>15930</v>
      </c>
      <c r="I585" s="248">
        <f t="shared" si="239"/>
        <v>100</v>
      </c>
      <c r="J585" s="248">
        <f t="shared" si="240"/>
        <v>100</v>
      </c>
    </row>
    <row r="586" spans="1:10" x14ac:dyDescent="0.25">
      <c r="A586" s="94"/>
      <c r="B586" s="94"/>
      <c r="C586" s="6"/>
      <c r="D586" s="6"/>
      <c r="E586" s="3" t="s">
        <v>102</v>
      </c>
      <c r="F586" s="77">
        <v>1770</v>
      </c>
      <c r="G586" s="77">
        <v>1770</v>
      </c>
      <c r="H586" s="77">
        <v>1770</v>
      </c>
      <c r="I586" s="248">
        <f t="shared" si="239"/>
        <v>100</v>
      </c>
      <c r="J586" s="248">
        <f t="shared" si="240"/>
        <v>100</v>
      </c>
    </row>
    <row r="587" spans="1:10" x14ac:dyDescent="0.25">
      <c r="A587" s="94"/>
      <c r="B587" s="94"/>
      <c r="C587" s="6" t="s">
        <v>729</v>
      </c>
      <c r="D587" s="88"/>
      <c r="E587" s="3" t="s">
        <v>728</v>
      </c>
      <c r="F587" s="77">
        <f>F588</f>
        <v>2639.5</v>
      </c>
      <c r="G587" s="77">
        <f t="shared" ref="G587:H587" si="251">G588</f>
        <v>2598.94</v>
      </c>
      <c r="H587" s="77">
        <f t="shared" si="251"/>
        <v>2598.94</v>
      </c>
      <c r="I587" s="248">
        <f t="shared" si="239"/>
        <v>100</v>
      </c>
      <c r="J587" s="248">
        <f t="shared" si="240"/>
        <v>98.463345330555029</v>
      </c>
    </row>
    <row r="588" spans="1:10" ht="26.25" x14ac:dyDescent="0.25">
      <c r="A588" s="94"/>
      <c r="B588" s="94"/>
      <c r="C588" s="88"/>
      <c r="D588" s="6" t="s">
        <v>449</v>
      </c>
      <c r="E588" s="3" t="s">
        <v>450</v>
      </c>
      <c r="F588" s="77">
        <v>2639.5</v>
      </c>
      <c r="G588" s="264">
        <v>2598.94</v>
      </c>
      <c r="H588" s="264">
        <v>2598.94</v>
      </c>
      <c r="I588" s="248">
        <f t="shared" si="239"/>
        <v>100</v>
      </c>
      <c r="J588" s="248">
        <f t="shared" si="240"/>
        <v>98.463345330555029</v>
      </c>
    </row>
    <row r="589" spans="1:10" ht="26.25" x14ac:dyDescent="0.25">
      <c r="A589" s="94"/>
      <c r="B589" s="94"/>
      <c r="C589" s="22" t="s">
        <v>811</v>
      </c>
      <c r="D589" s="6"/>
      <c r="E589" s="3" t="s">
        <v>810</v>
      </c>
      <c r="F589" s="67">
        <f>F590</f>
        <v>713.3</v>
      </c>
      <c r="G589" s="67">
        <f t="shared" ref="G589:H589" si="252">G590</f>
        <v>753.86</v>
      </c>
      <c r="H589" s="67">
        <f t="shared" si="252"/>
        <v>753.82249999999999</v>
      </c>
      <c r="I589" s="246">
        <f t="shared" si="239"/>
        <v>99.995025601570575</v>
      </c>
      <c r="J589" s="246">
        <f t="shared" si="240"/>
        <v>105.68624702088884</v>
      </c>
    </row>
    <row r="590" spans="1:10" ht="26.25" x14ac:dyDescent="0.25">
      <c r="A590" s="94"/>
      <c r="B590" s="94"/>
      <c r="C590" s="88"/>
      <c r="D590" s="6" t="s">
        <v>449</v>
      </c>
      <c r="E590" s="3" t="s">
        <v>450</v>
      </c>
      <c r="F590" s="67">
        <f>260.4+452.9</f>
        <v>713.3</v>
      </c>
      <c r="G590" s="264">
        <v>753.86</v>
      </c>
      <c r="H590" s="264">
        <v>753.82249999999999</v>
      </c>
      <c r="I590" s="246">
        <f t="shared" si="239"/>
        <v>99.995025601570575</v>
      </c>
      <c r="J590" s="246">
        <f t="shared" si="240"/>
        <v>105.68624702088884</v>
      </c>
    </row>
    <row r="591" spans="1:10" x14ac:dyDescent="0.25">
      <c r="A591" s="65"/>
      <c r="B591" s="17" t="s">
        <v>604</v>
      </c>
      <c r="C591" s="104"/>
      <c r="D591" s="17"/>
      <c r="E591" s="123" t="s">
        <v>605</v>
      </c>
      <c r="F591" s="71">
        <f t="shared" ref="F591:H594" si="253">F592</f>
        <v>36419.754730000001</v>
      </c>
      <c r="G591" s="71">
        <f t="shared" si="253"/>
        <v>36419.794829999999</v>
      </c>
      <c r="H591" s="71">
        <f t="shared" si="253"/>
        <v>36419.794829999999</v>
      </c>
      <c r="I591" s="247">
        <f t="shared" si="239"/>
        <v>100</v>
      </c>
      <c r="J591" s="247">
        <f t="shared" si="240"/>
        <v>100.00011010507977</v>
      </c>
    </row>
    <row r="592" spans="1:10" x14ac:dyDescent="0.25">
      <c r="A592" s="65"/>
      <c r="B592" s="17"/>
      <c r="C592" s="104" t="s">
        <v>4</v>
      </c>
      <c r="D592" s="103"/>
      <c r="E592" s="123" t="s">
        <v>5</v>
      </c>
      <c r="F592" s="71">
        <f t="shared" si="253"/>
        <v>36419.754730000001</v>
      </c>
      <c r="G592" s="71">
        <f t="shared" si="253"/>
        <v>36419.794829999999</v>
      </c>
      <c r="H592" s="71">
        <f t="shared" si="253"/>
        <v>36419.794829999999</v>
      </c>
      <c r="I592" s="247">
        <f t="shared" si="239"/>
        <v>100</v>
      </c>
      <c r="J592" s="247">
        <f t="shared" si="240"/>
        <v>100.00011010507977</v>
      </c>
    </row>
    <row r="593" spans="1:10" ht="25.5" x14ac:dyDescent="0.25">
      <c r="A593" s="106"/>
      <c r="B593" s="107"/>
      <c r="C593" s="108" t="s">
        <v>55</v>
      </c>
      <c r="D593" s="107"/>
      <c r="E593" s="109" t="s">
        <v>503</v>
      </c>
      <c r="F593" s="159">
        <f>F594+F600</f>
        <v>36419.754730000001</v>
      </c>
      <c r="G593" s="159">
        <f t="shared" ref="G593:H593" si="254">G594+G600</f>
        <v>36419.794829999999</v>
      </c>
      <c r="H593" s="159">
        <f t="shared" si="254"/>
        <v>36419.794829999999</v>
      </c>
      <c r="I593" s="257">
        <f t="shared" si="239"/>
        <v>100</v>
      </c>
      <c r="J593" s="257">
        <f t="shared" si="240"/>
        <v>100.00011010507977</v>
      </c>
    </row>
    <row r="594" spans="1:10" x14ac:dyDescent="0.25">
      <c r="A594" s="30"/>
      <c r="B594" s="30"/>
      <c r="C594" s="30" t="s">
        <v>103</v>
      </c>
      <c r="D594" s="30"/>
      <c r="E594" s="31" t="s">
        <v>104</v>
      </c>
      <c r="F594" s="72">
        <f t="shared" si="253"/>
        <v>35962.300000000003</v>
      </c>
      <c r="G594" s="72">
        <f t="shared" si="253"/>
        <v>35962.340100000001</v>
      </c>
      <c r="H594" s="72">
        <f t="shared" si="253"/>
        <v>35962.340100000001</v>
      </c>
      <c r="I594" s="244">
        <f t="shared" si="239"/>
        <v>100</v>
      </c>
      <c r="J594" s="244">
        <f t="shared" si="240"/>
        <v>100.00011150566009</v>
      </c>
    </row>
    <row r="595" spans="1:10" ht="26.25" x14ac:dyDescent="0.25">
      <c r="A595" s="32"/>
      <c r="B595" s="32"/>
      <c r="C595" s="32" t="s">
        <v>105</v>
      </c>
      <c r="D595" s="35"/>
      <c r="E595" s="33" t="s">
        <v>106</v>
      </c>
      <c r="F595" s="68">
        <f>F596+F598</f>
        <v>35962.300000000003</v>
      </c>
      <c r="G595" s="68">
        <f t="shared" ref="G595:H595" si="255">G596+G598</f>
        <v>35962.340100000001</v>
      </c>
      <c r="H595" s="68">
        <f t="shared" si="255"/>
        <v>35962.340100000001</v>
      </c>
      <c r="I595" s="245">
        <f t="shared" si="239"/>
        <v>100</v>
      </c>
      <c r="J595" s="245">
        <f t="shared" si="240"/>
        <v>100.00011150566009</v>
      </c>
    </row>
    <row r="596" spans="1:10" ht="39" x14ac:dyDescent="0.25">
      <c r="A596" s="94"/>
      <c r="B596" s="94"/>
      <c r="C596" s="6" t="s">
        <v>107</v>
      </c>
      <c r="D596" s="12"/>
      <c r="E596" s="3" t="s">
        <v>640</v>
      </c>
      <c r="F596" s="67">
        <f>F597</f>
        <v>22569.8</v>
      </c>
      <c r="G596" s="67">
        <f t="shared" ref="G596:H596" si="256">G597</f>
        <v>22569.840100000001</v>
      </c>
      <c r="H596" s="67">
        <f t="shared" si="256"/>
        <v>22569.840100000001</v>
      </c>
      <c r="I596" s="246">
        <f t="shared" si="239"/>
        <v>100</v>
      </c>
      <c r="J596" s="246">
        <f t="shared" si="240"/>
        <v>100.00017767104717</v>
      </c>
    </row>
    <row r="597" spans="1:10" ht="26.25" x14ac:dyDescent="0.25">
      <c r="A597" s="94"/>
      <c r="B597" s="94"/>
      <c r="C597" s="6"/>
      <c r="D597" s="6" t="s">
        <v>449</v>
      </c>
      <c r="E597" s="3" t="s">
        <v>450</v>
      </c>
      <c r="F597" s="67">
        <f>22651.1-70.8-10.5</f>
        <v>22569.8</v>
      </c>
      <c r="G597" s="264">
        <v>22569.840100000001</v>
      </c>
      <c r="H597" s="264">
        <v>22569.840100000001</v>
      </c>
      <c r="I597" s="246">
        <f t="shared" si="239"/>
        <v>100</v>
      </c>
      <c r="J597" s="246">
        <f t="shared" si="240"/>
        <v>100.00017767104717</v>
      </c>
    </row>
    <row r="598" spans="1:10" ht="39" x14ac:dyDescent="0.25">
      <c r="A598" s="94"/>
      <c r="B598" s="94"/>
      <c r="C598" s="6" t="s">
        <v>108</v>
      </c>
      <c r="D598" s="12"/>
      <c r="E598" s="3" t="s">
        <v>641</v>
      </c>
      <c r="F598" s="67">
        <f>F599</f>
        <v>13392.5</v>
      </c>
      <c r="G598" s="67">
        <f t="shared" ref="G598:H598" si="257">G599</f>
        <v>13392.5</v>
      </c>
      <c r="H598" s="67">
        <f t="shared" si="257"/>
        <v>13392.5</v>
      </c>
      <c r="I598" s="246">
        <f t="shared" si="239"/>
        <v>100</v>
      </c>
      <c r="J598" s="246">
        <f t="shared" si="240"/>
        <v>100</v>
      </c>
    </row>
    <row r="599" spans="1:10" ht="26.25" x14ac:dyDescent="0.25">
      <c r="A599" s="94"/>
      <c r="B599" s="94"/>
      <c r="C599" s="6"/>
      <c r="D599" s="6" t="s">
        <v>449</v>
      </c>
      <c r="E599" s="3" t="s">
        <v>450</v>
      </c>
      <c r="F599" s="67">
        <f>13452.3-59.8</f>
        <v>13392.5</v>
      </c>
      <c r="G599" s="264">
        <v>13392.5</v>
      </c>
      <c r="H599" s="264">
        <v>13392.5</v>
      </c>
      <c r="I599" s="246">
        <f t="shared" si="239"/>
        <v>100</v>
      </c>
      <c r="J599" s="246">
        <f t="shared" si="240"/>
        <v>100</v>
      </c>
    </row>
    <row r="600" spans="1:10" ht="24.75" customHeight="1" x14ac:dyDescent="0.25">
      <c r="A600" s="30"/>
      <c r="B600" s="30"/>
      <c r="C600" s="30" t="s">
        <v>142</v>
      </c>
      <c r="D600" s="30"/>
      <c r="E600" s="31" t="s">
        <v>143</v>
      </c>
      <c r="F600" s="72">
        <f t="shared" ref="F600:H600" si="258">F601</f>
        <v>457.45472999999998</v>
      </c>
      <c r="G600" s="72">
        <f t="shared" si="258"/>
        <v>457.45472999999998</v>
      </c>
      <c r="H600" s="72">
        <f t="shared" si="258"/>
        <v>457.45472999999998</v>
      </c>
      <c r="I600" s="244">
        <f t="shared" si="239"/>
        <v>100</v>
      </c>
      <c r="J600" s="244">
        <f t="shared" si="240"/>
        <v>100</v>
      </c>
    </row>
    <row r="601" spans="1:10" ht="26.25" x14ac:dyDescent="0.25">
      <c r="A601" s="35"/>
      <c r="B601" s="35"/>
      <c r="C601" s="35" t="s">
        <v>144</v>
      </c>
      <c r="D601" s="35"/>
      <c r="E601" s="33" t="s">
        <v>145</v>
      </c>
      <c r="F601" s="68">
        <f>F604</f>
        <v>457.45472999999998</v>
      </c>
      <c r="G601" s="68">
        <f>G604+G602</f>
        <v>457.45472999999998</v>
      </c>
      <c r="H601" s="68">
        <f>H604+H602</f>
        <v>457.45472999999998</v>
      </c>
      <c r="I601" s="245">
        <f t="shared" si="239"/>
        <v>100</v>
      </c>
      <c r="J601" s="245">
        <f t="shared" si="240"/>
        <v>100</v>
      </c>
    </row>
    <row r="602" spans="1:10" x14ac:dyDescent="0.25">
      <c r="A602" s="625"/>
      <c r="B602" s="94"/>
      <c r="C602" s="6" t="s">
        <v>729</v>
      </c>
      <c r="D602" s="88"/>
      <c r="E602" s="3" t="s">
        <v>728</v>
      </c>
      <c r="F602" s="67"/>
      <c r="G602" s="67">
        <f t="shared" ref="F602:H604" si="259">G603</f>
        <v>457.45472999999998</v>
      </c>
      <c r="H602" s="67">
        <f t="shared" si="259"/>
        <v>457.45472999999998</v>
      </c>
      <c r="I602" s="246">
        <f t="shared" ref="I602:I603" si="260">H602/G602*100</f>
        <v>100</v>
      </c>
      <c r="J602" s="246"/>
    </row>
    <row r="603" spans="1:10" ht="26.25" x14ac:dyDescent="0.25">
      <c r="A603" s="94"/>
      <c r="B603" s="94"/>
      <c r="C603" s="6"/>
      <c r="D603" s="6" t="s">
        <v>449</v>
      </c>
      <c r="E603" s="3" t="s">
        <v>450</v>
      </c>
      <c r="F603" s="67"/>
      <c r="G603" s="67">
        <v>457.45472999999998</v>
      </c>
      <c r="H603" s="67">
        <v>457.45472999999998</v>
      </c>
      <c r="I603" s="246">
        <f t="shared" si="260"/>
        <v>100</v>
      </c>
      <c r="J603" s="246"/>
    </row>
    <row r="604" spans="1:10" ht="51" x14ac:dyDescent="0.25">
      <c r="A604" s="625"/>
      <c r="B604" s="94"/>
      <c r="C604" s="4" t="s">
        <v>816</v>
      </c>
      <c r="D604" s="4"/>
      <c r="E604" s="5" t="s">
        <v>815</v>
      </c>
      <c r="F604" s="67">
        <f t="shared" si="259"/>
        <v>457.45472999999998</v>
      </c>
      <c r="G604" s="67"/>
      <c r="H604" s="67"/>
      <c r="I604" s="246"/>
      <c r="J604" s="246">
        <f t="shared" si="240"/>
        <v>0</v>
      </c>
    </row>
    <row r="605" spans="1:10" ht="26.25" x14ac:dyDescent="0.25">
      <c r="A605" s="94"/>
      <c r="B605" s="94"/>
      <c r="C605" s="6"/>
      <c r="D605" s="6" t="s">
        <v>449</v>
      </c>
      <c r="E605" s="3" t="s">
        <v>450</v>
      </c>
      <c r="F605" s="67">
        <v>457.45472999999998</v>
      </c>
      <c r="G605" s="67"/>
      <c r="H605" s="67"/>
      <c r="I605" s="246"/>
      <c r="J605" s="246">
        <f t="shared" si="240"/>
        <v>0</v>
      </c>
    </row>
    <row r="606" spans="1:10" x14ac:dyDescent="0.25">
      <c r="A606" s="65"/>
      <c r="B606" s="17" t="s">
        <v>608</v>
      </c>
      <c r="C606" s="104"/>
      <c r="D606" s="17"/>
      <c r="E606" s="123" t="s">
        <v>609</v>
      </c>
      <c r="F606" s="71">
        <f>F607</f>
        <v>13811.8</v>
      </c>
      <c r="G606" s="71">
        <f>G607+G652</f>
        <v>13852.114840000002</v>
      </c>
      <c r="H606" s="71">
        <f>H607+H652</f>
        <v>13679.112730000001</v>
      </c>
      <c r="I606" s="247">
        <f t="shared" si="239"/>
        <v>98.751077997848881</v>
      </c>
      <c r="J606" s="247">
        <f t="shared" si="240"/>
        <v>100.29188693725656</v>
      </c>
    </row>
    <row r="607" spans="1:10" x14ac:dyDescent="0.25">
      <c r="A607" s="65"/>
      <c r="B607" s="17"/>
      <c r="C607" s="104" t="s">
        <v>4</v>
      </c>
      <c r="D607" s="17"/>
      <c r="E607" s="123" t="s">
        <v>5</v>
      </c>
      <c r="F607" s="71">
        <f>F608+F615</f>
        <v>13811.8</v>
      </c>
      <c r="G607" s="71">
        <f t="shared" ref="G607:H607" si="261">G608+G615</f>
        <v>13814.400000000001</v>
      </c>
      <c r="H607" s="71">
        <f t="shared" si="261"/>
        <v>13641.39789</v>
      </c>
      <c r="I607" s="247">
        <f t="shared" si="239"/>
        <v>98.747668302640719</v>
      </c>
      <c r="J607" s="247">
        <f t="shared" si="240"/>
        <v>100.01882448341274</v>
      </c>
    </row>
    <row r="608" spans="1:10" ht="25.5" x14ac:dyDescent="0.25">
      <c r="A608" s="106"/>
      <c r="B608" s="107"/>
      <c r="C608" s="108" t="s">
        <v>6</v>
      </c>
      <c r="D608" s="107"/>
      <c r="E608" s="109" t="s">
        <v>497</v>
      </c>
      <c r="F608" s="159">
        <f t="shared" ref="F608:H610" si="262">F609</f>
        <v>6458.7</v>
      </c>
      <c r="G608" s="159">
        <f t="shared" si="262"/>
        <v>6458.7</v>
      </c>
      <c r="H608" s="159">
        <f t="shared" si="262"/>
        <v>6458.6900599999999</v>
      </c>
      <c r="I608" s="257">
        <f t="shared" si="239"/>
        <v>99.999846099060193</v>
      </c>
      <c r="J608" s="257">
        <f t="shared" si="240"/>
        <v>100</v>
      </c>
    </row>
    <row r="609" spans="1:10" ht="26.25" x14ac:dyDescent="0.25">
      <c r="A609" s="30"/>
      <c r="B609" s="30"/>
      <c r="C609" s="30" t="s">
        <v>18</v>
      </c>
      <c r="D609" s="30"/>
      <c r="E609" s="34" t="s">
        <v>19</v>
      </c>
      <c r="F609" s="72">
        <f t="shared" si="262"/>
        <v>6458.7</v>
      </c>
      <c r="G609" s="72">
        <f t="shared" si="262"/>
        <v>6458.7</v>
      </c>
      <c r="H609" s="72">
        <f t="shared" si="262"/>
        <v>6458.6900599999999</v>
      </c>
      <c r="I609" s="244">
        <f t="shared" si="239"/>
        <v>99.999846099060193</v>
      </c>
      <c r="J609" s="244">
        <f t="shared" si="240"/>
        <v>100</v>
      </c>
    </row>
    <row r="610" spans="1:10" ht="39" x14ac:dyDescent="0.25">
      <c r="A610" s="32"/>
      <c r="B610" s="32"/>
      <c r="C610" s="32" t="s">
        <v>20</v>
      </c>
      <c r="D610" s="32"/>
      <c r="E610" s="33" t="s">
        <v>21</v>
      </c>
      <c r="F610" s="68">
        <f t="shared" si="262"/>
        <v>6458.7</v>
      </c>
      <c r="G610" s="68">
        <f t="shared" si="262"/>
        <v>6458.7</v>
      </c>
      <c r="H610" s="68">
        <f t="shared" si="262"/>
        <v>6458.6900599999999</v>
      </c>
      <c r="I610" s="245">
        <f t="shared" si="239"/>
        <v>99.999846099060193</v>
      </c>
      <c r="J610" s="245">
        <f t="shared" si="240"/>
        <v>100</v>
      </c>
    </row>
    <row r="611" spans="1:10" ht="25.5" x14ac:dyDescent="0.25">
      <c r="A611" s="94"/>
      <c r="B611" s="94"/>
      <c r="C611" s="6" t="s">
        <v>24</v>
      </c>
      <c r="D611" s="6"/>
      <c r="E611" s="1" t="s">
        <v>25</v>
      </c>
      <c r="F611" s="67">
        <f>F612+F613</f>
        <v>6458.7</v>
      </c>
      <c r="G611" s="67">
        <f>G612+G613+G614</f>
        <v>6458.7</v>
      </c>
      <c r="H611" s="67">
        <f>H612+H613+H614</f>
        <v>6458.6900599999999</v>
      </c>
      <c r="I611" s="246">
        <f t="shared" si="239"/>
        <v>99.999846099060193</v>
      </c>
      <c r="J611" s="246">
        <f t="shared" si="240"/>
        <v>100</v>
      </c>
    </row>
    <row r="612" spans="1:10" ht="39" x14ac:dyDescent="0.25">
      <c r="A612" s="94"/>
      <c r="B612" s="94"/>
      <c r="C612" s="6"/>
      <c r="D612" s="6" t="s">
        <v>383</v>
      </c>
      <c r="E612" s="3" t="s">
        <v>384</v>
      </c>
      <c r="F612" s="67">
        <v>6244</v>
      </c>
      <c r="G612" s="264">
        <v>6256.6383699999997</v>
      </c>
      <c r="H612" s="264">
        <v>6256.6383699999997</v>
      </c>
      <c r="I612" s="246">
        <f t="shared" si="239"/>
        <v>100</v>
      </c>
      <c r="J612" s="246">
        <f t="shared" si="240"/>
        <v>100.20240823190262</v>
      </c>
    </row>
    <row r="613" spans="1:10" x14ac:dyDescent="0.25">
      <c r="A613" s="94"/>
      <c r="B613" s="94"/>
      <c r="C613" s="6"/>
      <c r="D613" s="6" t="s">
        <v>272</v>
      </c>
      <c r="E613" s="3" t="s">
        <v>273</v>
      </c>
      <c r="F613" s="67">
        <f>219.1-4.4</f>
        <v>214.7</v>
      </c>
      <c r="G613" s="264">
        <v>195.06163000000001</v>
      </c>
      <c r="H613" s="264">
        <v>195.05169000000001</v>
      </c>
      <c r="I613" s="246">
        <f t="shared" si="239"/>
        <v>99.994904174644702</v>
      </c>
      <c r="J613" s="246">
        <f t="shared" si="240"/>
        <v>90.853111318118323</v>
      </c>
    </row>
    <row r="614" spans="1:10" x14ac:dyDescent="0.25">
      <c r="A614" s="94"/>
      <c r="B614" s="94"/>
      <c r="C614" s="6"/>
      <c r="D614" s="6" t="s">
        <v>390</v>
      </c>
      <c r="E614" s="3" t="s">
        <v>391</v>
      </c>
      <c r="F614" s="67"/>
      <c r="G614" s="264">
        <v>7</v>
      </c>
      <c r="H614" s="264">
        <v>7</v>
      </c>
      <c r="I614" s="246">
        <f t="shared" si="239"/>
        <v>100</v>
      </c>
      <c r="J614" s="246"/>
    </row>
    <row r="615" spans="1:10" ht="25.5" x14ac:dyDescent="0.25">
      <c r="A615" s="106"/>
      <c r="B615" s="107"/>
      <c r="C615" s="108" t="s">
        <v>55</v>
      </c>
      <c r="D615" s="107"/>
      <c r="E615" s="109" t="s">
        <v>56</v>
      </c>
      <c r="F615" s="159">
        <f>F616+F638+F644+F628</f>
        <v>7353.0999999999995</v>
      </c>
      <c r="G615" s="159">
        <f>G616+G638+G644+G628+G648</f>
        <v>7355.7000000000007</v>
      </c>
      <c r="H615" s="159">
        <f>H616+H638+H644+H628+H648</f>
        <v>7182.7078300000003</v>
      </c>
      <c r="I615" s="257">
        <f t="shared" si="239"/>
        <v>97.6481888875294</v>
      </c>
      <c r="J615" s="257">
        <f t="shared" si="240"/>
        <v>100.03535923624052</v>
      </c>
    </row>
    <row r="616" spans="1:10" x14ac:dyDescent="0.25">
      <c r="A616" s="30"/>
      <c r="B616" s="30"/>
      <c r="C616" s="30" t="s">
        <v>103</v>
      </c>
      <c r="D616" s="30"/>
      <c r="E616" s="34" t="s">
        <v>104</v>
      </c>
      <c r="F616" s="72">
        <f>F617</f>
        <v>697.00000000000011</v>
      </c>
      <c r="G616" s="72">
        <f t="shared" ref="G616:H616" si="263">G617</f>
        <v>697.00000000000011</v>
      </c>
      <c r="H616" s="72">
        <f t="shared" si="263"/>
        <v>686.96994000000007</v>
      </c>
      <c r="I616" s="244">
        <f t="shared" si="239"/>
        <v>98.560967001434719</v>
      </c>
      <c r="J616" s="244">
        <f t="shared" si="240"/>
        <v>100</v>
      </c>
    </row>
    <row r="617" spans="1:10" ht="26.25" x14ac:dyDescent="0.25">
      <c r="A617" s="32"/>
      <c r="B617" s="32"/>
      <c r="C617" s="32" t="s">
        <v>105</v>
      </c>
      <c r="D617" s="32"/>
      <c r="E617" s="33" t="s">
        <v>106</v>
      </c>
      <c r="F617" s="68">
        <f>F618+F620+F622+F624+F626</f>
        <v>697.00000000000011</v>
      </c>
      <c r="G617" s="68">
        <f t="shared" ref="G617:H617" si="264">G618+G620+G622+G624+G626</f>
        <v>697.00000000000011</v>
      </c>
      <c r="H617" s="68">
        <f t="shared" si="264"/>
        <v>686.96994000000007</v>
      </c>
      <c r="I617" s="245">
        <f t="shared" si="239"/>
        <v>98.560967001434719</v>
      </c>
      <c r="J617" s="245">
        <f t="shared" si="240"/>
        <v>100</v>
      </c>
    </row>
    <row r="618" spans="1:10" x14ac:dyDescent="0.25">
      <c r="A618" s="94"/>
      <c r="B618" s="94"/>
      <c r="C618" s="6" t="s">
        <v>109</v>
      </c>
      <c r="D618" s="6"/>
      <c r="E618" s="3" t="s">
        <v>110</v>
      </c>
      <c r="F618" s="67">
        <f>F619</f>
        <v>274.2</v>
      </c>
      <c r="G618" s="67">
        <f t="shared" ref="G618:H618" si="265">G619</f>
        <v>274.2</v>
      </c>
      <c r="H618" s="67">
        <f t="shared" si="265"/>
        <v>274.2</v>
      </c>
      <c r="I618" s="246">
        <f t="shared" si="239"/>
        <v>100</v>
      </c>
      <c r="J618" s="246">
        <f t="shared" si="240"/>
        <v>100</v>
      </c>
    </row>
    <row r="619" spans="1:10" ht="26.25" x14ac:dyDescent="0.25">
      <c r="A619" s="94"/>
      <c r="B619" s="94"/>
      <c r="C619" s="6"/>
      <c r="D619" s="6" t="s">
        <v>449</v>
      </c>
      <c r="E619" s="3" t="s">
        <v>450</v>
      </c>
      <c r="F619" s="67">
        <v>274.2</v>
      </c>
      <c r="G619" s="67">
        <v>274.2</v>
      </c>
      <c r="H619" s="67">
        <v>274.2</v>
      </c>
      <c r="I619" s="246">
        <f t="shared" si="239"/>
        <v>100</v>
      </c>
      <c r="J619" s="246">
        <f t="shared" si="240"/>
        <v>100</v>
      </c>
    </row>
    <row r="620" spans="1:10" x14ac:dyDescent="0.25">
      <c r="A620" s="94"/>
      <c r="B620" s="94"/>
      <c r="C620" s="6" t="s">
        <v>111</v>
      </c>
      <c r="D620" s="6"/>
      <c r="E620" s="3" t="s">
        <v>112</v>
      </c>
      <c r="F620" s="67">
        <f>F621</f>
        <v>108.9</v>
      </c>
      <c r="G620" s="67">
        <f t="shared" ref="G620:H620" si="266">G621</f>
        <v>108.9</v>
      </c>
      <c r="H620" s="67">
        <f t="shared" si="266"/>
        <v>100.26902</v>
      </c>
      <c r="I620" s="246">
        <f t="shared" si="239"/>
        <v>92.074398530762153</v>
      </c>
      <c r="J620" s="246">
        <f t="shared" si="240"/>
        <v>100</v>
      </c>
    </row>
    <row r="621" spans="1:10" ht="26.25" x14ac:dyDescent="0.25">
      <c r="A621" s="94"/>
      <c r="B621" s="94"/>
      <c r="C621" s="6"/>
      <c r="D621" s="6" t="s">
        <v>449</v>
      </c>
      <c r="E621" s="3" t="s">
        <v>450</v>
      </c>
      <c r="F621" s="67">
        <v>108.9</v>
      </c>
      <c r="G621" s="67">
        <v>108.9</v>
      </c>
      <c r="H621" s="264">
        <v>100.26902</v>
      </c>
      <c r="I621" s="246">
        <f t="shared" si="239"/>
        <v>92.074398530762153</v>
      </c>
      <c r="J621" s="246">
        <f t="shared" si="240"/>
        <v>100</v>
      </c>
    </row>
    <row r="622" spans="1:10" x14ac:dyDescent="0.25">
      <c r="A622" s="94"/>
      <c r="B622" s="94"/>
      <c r="C622" s="6" t="s">
        <v>113</v>
      </c>
      <c r="D622" s="6"/>
      <c r="E622" s="3" t="s">
        <v>114</v>
      </c>
      <c r="F622" s="67">
        <v>74.599999999999994</v>
      </c>
      <c r="G622" s="67">
        <v>74.599999999999994</v>
      </c>
      <c r="H622" s="67">
        <f>H623</f>
        <v>73.201319999999996</v>
      </c>
      <c r="I622" s="246">
        <f t="shared" si="239"/>
        <v>98.12509383378017</v>
      </c>
      <c r="J622" s="246">
        <f t="shared" si="240"/>
        <v>100</v>
      </c>
    </row>
    <row r="623" spans="1:10" ht="26.25" x14ac:dyDescent="0.25">
      <c r="A623" s="94"/>
      <c r="B623" s="94"/>
      <c r="C623" s="6"/>
      <c r="D623" s="6" t="s">
        <v>449</v>
      </c>
      <c r="E623" s="3" t="s">
        <v>450</v>
      </c>
      <c r="F623" s="67">
        <v>74.599999999999994</v>
      </c>
      <c r="G623" s="67">
        <v>74.599999999999994</v>
      </c>
      <c r="H623" s="264">
        <v>73.201319999999996</v>
      </c>
      <c r="I623" s="246">
        <f t="shared" si="239"/>
        <v>98.12509383378017</v>
      </c>
      <c r="J623" s="246">
        <f t="shared" si="240"/>
        <v>100</v>
      </c>
    </row>
    <row r="624" spans="1:10" ht="39" x14ac:dyDescent="0.25">
      <c r="A624" s="94"/>
      <c r="B624" s="94"/>
      <c r="C624" s="6" t="s">
        <v>115</v>
      </c>
      <c r="D624" s="6"/>
      <c r="E624" s="3" t="s">
        <v>116</v>
      </c>
      <c r="F624" s="67">
        <f>F625</f>
        <v>83.7</v>
      </c>
      <c r="G624" s="67">
        <f t="shared" ref="G624:H624" si="267">G625</f>
        <v>83.7</v>
      </c>
      <c r="H624" s="67">
        <f t="shared" si="267"/>
        <v>83.7</v>
      </c>
      <c r="I624" s="246">
        <f t="shared" si="239"/>
        <v>100</v>
      </c>
      <c r="J624" s="246">
        <f t="shared" si="240"/>
        <v>100</v>
      </c>
    </row>
    <row r="625" spans="1:10" ht="26.25" x14ac:dyDescent="0.25">
      <c r="A625" s="94"/>
      <c r="B625" s="94"/>
      <c r="C625" s="6"/>
      <c r="D625" s="6" t="s">
        <v>449</v>
      </c>
      <c r="E625" s="3" t="s">
        <v>450</v>
      </c>
      <c r="F625" s="67">
        <v>83.7</v>
      </c>
      <c r="G625" s="67">
        <v>83.7</v>
      </c>
      <c r="H625" s="67">
        <v>83.7</v>
      </c>
      <c r="I625" s="246">
        <f t="shared" si="239"/>
        <v>100</v>
      </c>
      <c r="J625" s="246">
        <f t="shared" si="240"/>
        <v>100</v>
      </c>
    </row>
    <row r="626" spans="1:10" ht="26.25" x14ac:dyDescent="0.25">
      <c r="A626" s="94"/>
      <c r="B626" s="94"/>
      <c r="C626" s="6" t="s">
        <v>417</v>
      </c>
      <c r="D626" s="6"/>
      <c r="E626" s="3" t="s">
        <v>117</v>
      </c>
      <c r="F626" s="67">
        <f>F627</f>
        <v>155.6</v>
      </c>
      <c r="G626" s="67">
        <f t="shared" ref="G626:H626" si="268">G627</f>
        <v>155.6</v>
      </c>
      <c r="H626" s="67">
        <f t="shared" si="268"/>
        <v>155.59960000000001</v>
      </c>
      <c r="I626" s="246">
        <f t="shared" ref="I626:I690" si="269">H626/G626*100</f>
        <v>99.999742930591268</v>
      </c>
      <c r="J626" s="246">
        <f t="shared" ref="J626:J690" si="270">G626/F626*100</f>
        <v>100</v>
      </c>
    </row>
    <row r="627" spans="1:10" ht="26.25" x14ac:dyDescent="0.25">
      <c r="A627" s="94"/>
      <c r="B627" s="94"/>
      <c r="C627" s="6"/>
      <c r="D627" s="6" t="s">
        <v>449</v>
      </c>
      <c r="E627" s="3" t="s">
        <v>450</v>
      </c>
      <c r="F627" s="67">
        <v>155.6</v>
      </c>
      <c r="G627" s="67">
        <v>155.6</v>
      </c>
      <c r="H627" s="264">
        <v>155.59960000000001</v>
      </c>
      <c r="I627" s="246">
        <f t="shared" si="269"/>
        <v>99.999742930591268</v>
      </c>
      <c r="J627" s="246">
        <f t="shared" si="270"/>
        <v>100</v>
      </c>
    </row>
    <row r="628" spans="1:10" x14ac:dyDescent="0.25">
      <c r="A628" s="30"/>
      <c r="B628" s="30"/>
      <c r="C628" s="30" t="s">
        <v>118</v>
      </c>
      <c r="D628" s="30"/>
      <c r="E628" s="34" t="s">
        <v>119</v>
      </c>
      <c r="F628" s="72">
        <f>F629</f>
        <v>6336.4</v>
      </c>
      <c r="G628" s="72">
        <f t="shared" ref="G628:H628" si="271">G629</f>
        <v>6334.0000000000009</v>
      </c>
      <c r="H628" s="72">
        <f t="shared" si="271"/>
        <v>6171.0378900000005</v>
      </c>
      <c r="I628" s="244">
        <f t="shared" si="269"/>
        <v>97.427184875276282</v>
      </c>
      <c r="J628" s="244">
        <f t="shared" si="270"/>
        <v>99.962123603307901</v>
      </c>
    </row>
    <row r="629" spans="1:10" ht="26.25" x14ac:dyDescent="0.25">
      <c r="A629" s="32"/>
      <c r="B629" s="32"/>
      <c r="C629" s="32" t="s">
        <v>120</v>
      </c>
      <c r="D629" s="32"/>
      <c r="E629" s="33" t="s">
        <v>121</v>
      </c>
      <c r="F629" s="68">
        <f>F634+F630+F632</f>
        <v>6336.4</v>
      </c>
      <c r="G629" s="68">
        <f t="shared" ref="G629:H629" si="272">G634+G630+G632</f>
        <v>6334.0000000000009</v>
      </c>
      <c r="H629" s="68">
        <f t="shared" si="272"/>
        <v>6171.0378900000005</v>
      </c>
      <c r="I629" s="245">
        <f t="shared" si="269"/>
        <v>97.427184875276282</v>
      </c>
      <c r="J629" s="245">
        <f t="shared" si="270"/>
        <v>99.962123603307901</v>
      </c>
    </row>
    <row r="630" spans="1:10" ht="26.25" x14ac:dyDescent="0.25">
      <c r="A630" s="94"/>
      <c r="B630" s="94"/>
      <c r="C630" s="6" t="s">
        <v>122</v>
      </c>
      <c r="D630" s="6"/>
      <c r="E630" s="3" t="s">
        <v>123</v>
      </c>
      <c r="F630" s="67">
        <f>F631</f>
        <v>109.3</v>
      </c>
      <c r="G630" s="67">
        <f t="shared" ref="G630:H630" si="273">G631</f>
        <v>32.574399999999997</v>
      </c>
      <c r="H630" s="67">
        <f t="shared" si="273"/>
        <v>32.574399999999997</v>
      </c>
      <c r="I630" s="246">
        <f t="shared" si="269"/>
        <v>100</v>
      </c>
      <c r="J630" s="246">
        <f t="shared" si="270"/>
        <v>29.802744739249771</v>
      </c>
    </row>
    <row r="631" spans="1:10" ht="26.25" x14ac:dyDescent="0.25">
      <c r="A631" s="94"/>
      <c r="B631" s="94"/>
      <c r="C631" s="6"/>
      <c r="D631" s="6" t="s">
        <v>449</v>
      </c>
      <c r="E631" s="3" t="s">
        <v>450</v>
      </c>
      <c r="F631" s="67">
        <v>109.3</v>
      </c>
      <c r="G631" s="264">
        <v>32.574399999999997</v>
      </c>
      <c r="H631" s="264">
        <v>32.574399999999997</v>
      </c>
      <c r="I631" s="246">
        <f t="shared" si="269"/>
        <v>100</v>
      </c>
      <c r="J631" s="246">
        <f t="shared" si="270"/>
        <v>29.802744739249771</v>
      </c>
    </row>
    <row r="632" spans="1:10" ht="26.25" x14ac:dyDescent="0.25">
      <c r="A632" s="94"/>
      <c r="B632" s="94"/>
      <c r="C632" s="6" t="s">
        <v>124</v>
      </c>
      <c r="D632" s="6"/>
      <c r="E632" s="3" t="s">
        <v>125</v>
      </c>
      <c r="F632" s="67">
        <f>F633</f>
        <v>1551.9</v>
      </c>
      <c r="G632" s="67">
        <f t="shared" ref="G632:H632" si="274">G633</f>
        <v>1626.2256</v>
      </c>
      <c r="H632" s="67">
        <f t="shared" si="274"/>
        <v>1600.8426400000001</v>
      </c>
      <c r="I632" s="246">
        <f t="shared" si="269"/>
        <v>98.439148910212708</v>
      </c>
      <c r="J632" s="246">
        <f t="shared" si="270"/>
        <v>104.78932920935627</v>
      </c>
    </row>
    <row r="633" spans="1:10" ht="26.25" x14ac:dyDescent="0.25">
      <c r="A633" s="94"/>
      <c r="B633" s="94"/>
      <c r="C633" s="6"/>
      <c r="D633" s="6" t="s">
        <v>449</v>
      </c>
      <c r="E633" s="3" t="s">
        <v>450</v>
      </c>
      <c r="F633" s="67">
        <v>1551.9</v>
      </c>
      <c r="G633" s="264">
        <v>1626.2256</v>
      </c>
      <c r="H633" s="264">
        <v>1600.8426400000001</v>
      </c>
      <c r="I633" s="246">
        <f t="shared" si="269"/>
        <v>98.439148910212708</v>
      </c>
      <c r="J633" s="246">
        <f t="shared" si="270"/>
        <v>104.78932920935627</v>
      </c>
    </row>
    <row r="634" spans="1:10" ht="39" x14ac:dyDescent="0.25">
      <c r="A634" s="94"/>
      <c r="B634" s="94"/>
      <c r="C634" s="6" t="s">
        <v>126</v>
      </c>
      <c r="D634" s="6"/>
      <c r="E634" s="3" t="s">
        <v>127</v>
      </c>
      <c r="F634" s="67">
        <f>F636</f>
        <v>4675.2</v>
      </c>
      <c r="G634" s="67">
        <f>G636+G635+G637</f>
        <v>4675.2000000000007</v>
      </c>
      <c r="H634" s="67">
        <f>H636+H635+H637</f>
        <v>4537.6208500000002</v>
      </c>
      <c r="I634" s="246">
        <f t="shared" si="269"/>
        <v>97.057256374058852</v>
      </c>
      <c r="J634" s="246">
        <f t="shared" si="270"/>
        <v>100.00000000000003</v>
      </c>
    </row>
    <row r="635" spans="1:10" x14ac:dyDescent="0.25">
      <c r="A635" s="94"/>
      <c r="B635" s="94"/>
      <c r="C635" s="6"/>
      <c r="D635" s="6" t="s">
        <v>408</v>
      </c>
      <c r="E635" s="3" t="s">
        <v>409</v>
      </c>
      <c r="F635" s="67">
        <v>0</v>
      </c>
      <c r="G635" s="264">
        <v>235.79971</v>
      </c>
      <c r="H635" s="264">
        <v>235.79971</v>
      </c>
      <c r="I635" s="246">
        <f t="shared" si="269"/>
        <v>100</v>
      </c>
      <c r="J635" s="246"/>
    </row>
    <row r="636" spans="1:10" ht="26.25" x14ac:dyDescent="0.25">
      <c r="A636" s="94"/>
      <c r="B636" s="94"/>
      <c r="C636" s="6"/>
      <c r="D636" s="6" t="s">
        <v>449</v>
      </c>
      <c r="E636" s="3" t="s">
        <v>450</v>
      </c>
      <c r="F636" s="67">
        <v>4675.2</v>
      </c>
      <c r="G636" s="264">
        <v>4330.4384700000001</v>
      </c>
      <c r="H636" s="264">
        <v>4248.22379</v>
      </c>
      <c r="I636" s="246">
        <f t="shared" si="269"/>
        <v>98.101469849541587</v>
      </c>
      <c r="J636" s="246">
        <f t="shared" si="270"/>
        <v>92.625737294661192</v>
      </c>
    </row>
    <row r="637" spans="1:10" x14ac:dyDescent="0.25">
      <c r="A637" s="94"/>
      <c r="B637" s="94"/>
      <c r="C637" s="6"/>
      <c r="D637" s="6" t="s">
        <v>390</v>
      </c>
      <c r="E637" s="3" t="s">
        <v>391</v>
      </c>
      <c r="F637" s="67">
        <v>0</v>
      </c>
      <c r="G637" s="264">
        <v>108.96182</v>
      </c>
      <c r="H637" s="264">
        <v>53.597349999999999</v>
      </c>
      <c r="I637" s="246">
        <f t="shared" si="269"/>
        <v>49.189110460893545</v>
      </c>
      <c r="J637" s="246"/>
    </row>
    <row r="638" spans="1:10" x14ac:dyDescent="0.25">
      <c r="A638" s="30"/>
      <c r="B638" s="30"/>
      <c r="C638" s="30" t="s">
        <v>128</v>
      </c>
      <c r="D638" s="30"/>
      <c r="E638" s="31" t="s">
        <v>129</v>
      </c>
      <c r="F638" s="72">
        <f>F639</f>
        <v>276.7</v>
      </c>
      <c r="G638" s="72">
        <f t="shared" ref="G638:H638" si="275">G639</f>
        <v>276.7</v>
      </c>
      <c r="H638" s="72">
        <f t="shared" si="275"/>
        <v>276.7</v>
      </c>
      <c r="I638" s="244">
        <f t="shared" si="269"/>
        <v>100</v>
      </c>
      <c r="J638" s="244">
        <f t="shared" si="270"/>
        <v>100</v>
      </c>
    </row>
    <row r="639" spans="1:10" ht="26.25" x14ac:dyDescent="0.25">
      <c r="A639" s="32"/>
      <c r="B639" s="32"/>
      <c r="C639" s="32" t="s">
        <v>130</v>
      </c>
      <c r="D639" s="32"/>
      <c r="E639" s="33" t="s">
        <v>131</v>
      </c>
      <c r="F639" s="68">
        <f>F642+F640</f>
        <v>276.7</v>
      </c>
      <c r="G639" s="68">
        <f t="shared" ref="G639:H639" si="276">G642+G640</f>
        <v>276.7</v>
      </c>
      <c r="H639" s="68">
        <f t="shared" si="276"/>
        <v>276.7</v>
      </c>
      <c r="I639" s="245">
        <f t="shared" si="269"/>
        <v>100</v>
      </c>
      <c r="J639" s="245">
        <f t="shared" si="270"/>
        <v>100</v>
      </c>
    </row>
    <row r="640" spans="1:10" x14ac:dyDescent="0.25">
      <c r="A640" s="262"/>
      <c r="B640" s="262"/>
      <c r="C640" s="262" t="s">
        <v>132</v>
      </c>
      <c r="D640" s="262"/>
      <c r="E640" s="263" t="s">
        <v>133</v>
      </c>
      <c r="F640" s="67">
        <f>F641</f>
        <v>175</v>
      </c>
      <c r="G640" s="67">
        <f t="shared" ref="G640:H640" si="277">G641</f>
        <v>175</v>
      </c>
      <c r="H640" s="67">
        <f t="shared" si="277"/>
        <v>175</v>
      </c>
      <c r="I640" s="246">
        <f t="shared" si="269"/>
        <v>100</v>
      </c>
      <c r="J640" s="246">
        <f t="shared" si="270"/>
        <v>100</v>
      </c>
    </row>
    <row r="641" spans="1:132" ht="26.25" x14ac:dyDescent="0.25">
      <c r="A641" s="262"/>
      <c r="B641" s="262"/>
      <c r="C641" s="262"/>
      <c r="D641" s="262" t="s">
        <v>449</v>
      </c>
      <c r="E641" s="263" t="s">
        <v>450</v>
      </c>
      <c r="F641" s="67">
        <v>175</v>
      </c>
      <c r="G641" s="67">
        <v>175</v>
      </c>
      <c r="H641" s="67">
        <v>175</v>
      </c>
      <c r="I641" s="246">
        <f t="shared" si="269"/>
        <v>100</v>
      </c>
      <c r="J641" s="246">
        <f t="shared" si="270"/>
        <v>100</v>
      </c>
    </row>
    <row r="642" spans="1:132" ht="26.25" x14ac:dyDescent="0.25">
      <c r="A642" s="6"/>
      <c r="B642" s="6"/>
      <c r="C642" s="6" t="s">
        <v>134</v>
      </c>
      <c r="D642" s="6"/>
      <c r="E642" s="3" t="s">
        <v>135</v>
      </c>
      <c r="F642" s="67">
        <f>F643</f>
        <v>101.7</v>
      </c>
      <c r="G642" s="67">
        <f t="shared" ref="G642:H642" si="278">G643</f>
        <v>101.7</v>
      </c>
      <c r="H642" s="67">
        <f t="shared" si="278"/>
        <v>101.7</v>
      </c>
      <c r="I642" s="246">
        <f t="shared" si="269"/>
        <v>100</v>
      </c>
      <c r="J642" s="246">
        <f t="shared" si="270"/>
        <v>100</v>
      </c>
    </row>
    <row r="643" spans="1:132" ht="26.25" x14ac:dyDescent="0.25">
      <c r="A643" s="6"/>
      <c r="B643" s="6"/>
      <c r="C643" s="6"/>
      <c r="D643" s="262" t="s">
        <v>449</v>
      </c>
      <c r="E643" s="263" t="s">
        <v>450</v>
      </c>
      <c r="F643" s="67">
        <v>101.7</v>
      </c>
      <c r="G643" s="67">
        <v>101.7</v>
      </c>
      <c r="H643" s="67">
        <v>101.7</v>
      </c>
      <c r="I643" s="246">
        <f t="shared" si="269"/>
        <v>100</v>
      </c>
      <c r="J643" s="246">
        <f t="shared" si="270"/>
        <v>100</v>
      </c>
    </row>
    <row r="644" spans="1:132" x14ac:dyDescent="0.25">
      <c r="A644" s="30"/>
      <c r="B644" s="30"/>
      <c r="C644" s="30" t="s">
        <v>150</v>
      </c>
      <c r="D644" s="30"/>
      <c r="E644" s="31" t="s">
        <v>151</v>
      </c>
      <c r="F644" s="72">
        <f t="shared" ref="F644:H646" si="279">F645</f>
        <v>43</v>
      </c>
      <c r="G644" s="72">
        <f t="shared" si="279"/>
        <v>43</v>
      </c>
      <c r="H644" s="72">
        <f t="shared" si="279"/>
        <v>43</v>
      </c>
      <c r="I644" s="244">
        <f t="shared" si="269"/>
        <v>100</v>
      </c>
      <c r="J644" s="244">
        <f t="shared" si="270"/>
        <v>100</v>
      </c>
    </row>
    <row r="645" spans="1:132" x14ac:dyDescent="0.25">
      <c r="A645" s="32"/>
      <c r="B645" s="32"/>
      <c r="C645" s="32" t="s">
        <v>152</v>
      </c>
      <c r="D645" s="32"/>
      <c r="E645" s="33" t="s">
        <v>153</v>
      </c>
      <c r="F645" s="68">
        <f t="shared" si="279"/>
        <v>43</v>
      </c>
      <c r="G645" s="68">
        <f t="shared" si="279"/>
        <v>43</v>
      </c>
      <c r="H645" s="68">
        <f t="shared" si="279"/>
        <v>43</v>
      </c>
      <c r="I645" s="245">
        <f t="shared" si="269"/>
        <v>100</v>
      </c>
      <c r="J645" s="245">
        <f t="shared" si="270"/>
        <v>100</v>
      </c>
    </row>
    <row r="646" spans="1:132" ht="26.25" x14ac:dyDescent="0.25">
      <c r="A646" s="94"/>
      <c r="B646" s="94"/>
      <c r="C646" s="6" t="s">
        <v>154</v>
      </c>
      <c r="D646" s="6"/>
      <c r="E646" s="3" t="s">
        <v>155</v>
      </c>
      <c r="F646" s="67">
        <f>F647</f>
        <v>43</v>
      </c>
      <c r="G646" s="67">
        <f t="shared" si="279"/>
        <v>43</v>
      </c>
      <c r="H646" s="67">
        <f t="shared" si="279"/>
        <v>43</v>
      </c>
      <c r="I646" s="246">
        <f t="shared" si="269"/>
        <v>100</v>
      </c>
      <c r="J646" s="246">
        <f t="shared" si="270"/>
        <v>100</v>
      </c>
    </row>
    <row r="647" spans="1:132" ht="26.25" x14ac:dyDescent="0.25">
      <c r="A647" s="94"/>
      <c r="B647" s="94"/>
      <c r="C647" s="6"/>
      <c r="D647" s="6" t="s">
        <v>449</v>
      </c>
      <c r="E647" s="3" t="s">
        <v>450</v>
      </c>
      <c r="F647" s="67">
        <v>43</v>
      </c>
      <c r="G647" s="67">
        <v>43</v>
      </c>
      <c r="H647" s="67">
        <v>43</v>
      </c>
      <c r="I647" s="246">
        <f t="shared" si="269"/>
        <v>100</v>
      </c>
      <c r="J647" s="246">
        <f t="shared" si="270"/>
        <v>100</v>
      </c>
    </row>
    <row r="648" spans="1:132" ht="25.5" x14ac:dyDescent="0.25">
      <c r="A648" s="30"/>
      <c r="B648" s="30"/>
      <c r="C648" s="30" t="s">
        <v>855</v>
      </c>
      <c r="D648" s="30"/>
      <c r="E648" s="238" t="s">
        <v>856</v>
      </c>
      <c r="F648" s="72">
        <f t="shared" ref="F648:H649" si="280">F649</f>
        <v>0</v>
      </c>
      <c r="G648" s="72">
        <f t="shared" si="280"/>
        <v>5</v>
      </c>
      <c r="H648" s="72">
        <f t="shared" si="280"/>
        <v>5</v>
      </c>
      <c r="I648" s="244">
        <f t="shared" si="269"/>
        <v>100</v>
      </c>
      <c r="J648" s="244"/>
    </row>
    <row r="649" spans="1:132" ht="31.5" customHeight="1" x14ac:dyDescent="0.25">
      <c r="A649" s="32"/>
      <c r="B649" s="32"/>
      <c r="C649" s="32" t="s">
        <v>857</v>
      </c>
      <c r="D649" s="32"/>
      <c r="E649" s="33" t="s">
        <v>858</v>
      </c>
      <c r="F649" s="68">
        <f t="shared" si="280"/>
        <v>0</v>
      </c>
      <c r="G649" s="68">
        <f t="shared" si="280"/>
        <v>5</v>
      </c>
      <c r="H649" s="68">
        <f t="shared" si="280"/>
        <v>5</v>
      </c>
      <c r="I649" s="245">
        <f t="shared" si="269"/>
        <v>100</v>
      </c>
      <c r="J649" s="245"/>
    </row>
    <row r="650" spans="1:132" ht="29.25" customHeight="1" x14ac:dyDescent="0.25">
      <c r="A650" s="94"/>
      <c r="B650" s="94"/>
      <c r="C650" s="6" t="s">
        <v>859</v>
      </c>
      <c r="D650" s="6"/>
      <c r="E650" s="3" t="s">
        <v>858</v>
      </c>
      <c r="F650" s="67">
        <v>0</v>
      </c>
      <c r="G650" s="67">
        <v>5</v>
      </c>
      <c r="H650" s="67">
        <v>5</v>
      </c>
      <c r="I650" s="246">
        <f t="shared" si="269"/>
        <v>100</v>
      </c>
      <c r="J650" s="246"/>
    </row>
    <row r="651" spans="1:132" ht="26.25" x14ac:dyDescent="0.25">
      <c r="A651" s="94"/>
      <c r="B651" s="94"/>
      <c r="C651" s="6"/>
      <c r="D651" s="6" t="s">
        <v>449</v>
      </c>
      <c r="E651" s="3" t="s">
        <v>450</v>
      </c>
      <c r="F651" s="67">
        <v>0</v>
      </c>
      <c r="G651" s="67">
        <v>5</v>
      </c>
      <c r="H651" s="67">
        <v>5</v>
      </c>
      <c r="I651" s="246">
        <f t="shared" si="269"/>
        <v>100</v>
      </c>
      <c r="J651" s="246"/>
    </row>
    <row r="652" spans="1:132" x14ac:dyDescent="0.25">
      <c r="A652" s="140"/>
      <c r="B652" s="140"/>
      <c r="C652" s="113" t="s">
        <v>540</v>
      </c>
      <c r="D652" s="114"/>
      <c r="E652" s="115" t="s">
        <v>541</v>
      </c>
      <c r="F652" s="239"/>
      <c r="G652" s="133">
        <f t="shared" ref="G652:H654" si="281">G653</f>
        <v>37.714839999999995</v>
      </c>
      <c r="H652" s="133">
        <f t="shared" si="281"/>
        <v>37.714839999999995</v>
      </c>
      <c r="I652" s="254">
        <f t="shared" si="269"/>
        <v>100</v>
      </c>
      <c r="J652" s="259"/>
    </row>
    <row r="653" spans="1:132" ht="26.25" x14ac:dyDescent="0.25">
      <c r="A653" s="229"/>
      <c r="B653" s="60"/>
      <c r="C653" s="60" t="s">
        <v>386</v>
      </c>
      <c r="D653" s="60"/>
      <c r="E653" s="62" t="s">
        <v>542</v>
      </c>
      <c r="F653" s="80"/>
      <c r="G653" s="80">
        <f>G654+G656</f>
        <v>37.714839999999995</v>
      </c>
      <c r="H653" s="80">
        <f>H654+H656</f>
        <v>37.714839999999995</v>
      </c>
      <c r="I653" s="255">
        <f t="shared" si="269"/>
        <v>100</v>
      </c>
      <c r="J653" s="255"/>
    </row>
    <row r="654" spans="1:132" x14ac:dyDescent="0.25">
      <c r="A654" s="94"/>
      <c r="B654" s="94"/>
      <c r="C654" s="122" t="s">
        <v>841</v>
      </c>
      <c r="D654" s="16"/>
      <c r="E654" s="1" t="s">
        <v>839</v>
      </c>
      <c r="F654" s="240"/>
      <c r="G654" s="76">
        <f t="shared" si="281"/>
        <v>26.80519</v>
      </c>
      <c r="H654" s="76">
        <f t="shared" si="281"/>
        <v>26.80519</v>
      </c>
      <c r="I654" s="240">
        <f t="shared" si="269"/>
        <v>100</v>
      </c>
      <c r="J654" s="240"/>
      <c r="K654" s="240"/>
      <c r="L654" s="240"/>
      <c r="M654" s="240"/>
      <c r="N654" s="240"/>
      <c r="O654" s="240"/>
      <c r="P654" s="240"/>
      <c r="Q654" s="240"/>
      <c r="R654" s="240"/>
      <c r="S654" s="240"/>
      <c r="T654" s="240"/>
      <c r="U654" s="240"/>
      <c r="V654" s="240"/>
      <c r="W654" s="240"/>
      <c r="X654" s="240"/>
      <c r="Y654" s="240"/>
      <c r="Z654" s="240"/>
      <c r="AA654" s="240"/>
      <c r="AB654" s="240"/>
      <c r="AC654" s="240"/>
      <c r="AD654" s="240"/>
      <c r="AE654" s="240"/>
      <c r="AF654" s="76"/>
      <c r="AG654" s="240"/>
      <c r="AH654" s="240"/>
      <c r="AI654" s="240"/>
      <c r="AJ654" s="240"/>
      <c r="AK654" s="240"/>
      <c r="AL654" s="240"/>
      <c r="AM654" s="240"/>
      <c r="AN654" s="240"/>
      <c r="AO654" s="240"/>
      <c r="AP654" s="240"/>
      <c r="AQ654" s="240"/>
      <c r="AR654" s="240"/>
      <c r="AS654" s="240"/>
      <c r="AT654" s="240"/>
      <c r="AU654" s="240"/>
      <c r="AV654" s="240"/>
      <c r="AW654" s="240"/>
      <c r="AX654" s="240"/>
      <c r="AY654" s="240"/>
      <c r="AZ654" s="240"/>
      <c r="BA654" s="240"/>
      <c r="BB654" s="240"/>
      <c r="BC654" s="240"/>
      <c r="BD654" s="240"/>
      <c r="BE654" s="240"/>
      <c r="BF654" s="240"/>
      <c r="BG654" s="240"/>
      <c r="BH654" s="240"/>
      <c r="BI654" s="240"/>
      <c r="BJ654" s="240"/>
      <c r="BK654" s="240"/>
      <c r="BL654" s="240"/>
      <c r="BM654" s="240"/>
      <c r="BN654" s="240"/>
      <c r="BO654" s="240"/>
      <c r="BP654" s="240"/>
      <c r="BQ654" s="240"/>
      <c r="BR654" s="240"/>
      <c r="BS654" s="240"/>
      <c r="BT654" s="240"/>
      <c r="BU654" s="240"/>
      <c r="BV654" s="240"/>
      <c r="BW654" s="240"/>
      <c r="BX654" s="240"/>
      <c r="BY654" s="240"/>
      <c r="BZ654" s="240"/>
      <c r="CA654" s="240"/>
      <c r="CB654" s="240"/>
      <c r="CC654" s="240"/>
      <c r="CD654" s="240"/>
      <c r="CE654" s="240"/>
      <c r="CF654" s="240"/>
      <c r="CG654" s="240"/>
      <c r="CH654" s="240"/>
      <c r="CI654" s="240"/>
      <c r="CJ654" s="240"/>
      <c r="CK654" s="240"/>
      <c r="CL654" s="240"/>
      <c r="CM654" s="240"/>
      <c r="CN654" s="240"/>
      <c r="CO654" s="240"/>
      <c r="CP654" s="240"/>
      <c r="CQ654" s="124">
        <f>CQ655</f>
        <v>352.33695</v>
      </c>
      <c r="CR654" s="240"/>
      <c r="CS654" s="240"/>
      <c r="CT654" s="240"/>
      <c r="CU654" s="240"/>
      <c r="CV654" s="240"/>
      <c r="CW654" s="240"/>
      <c r="CX654" s="240"/>
      <c r="CY654" s="240"/>
      <c r="CZ654" s="240"/>
      <c r="DA654" s="240"/>
      <c r="DB654" s="240"/>
      <c r="DC654" s="240"/>
      <c r="DD654" s="240"/>
      <c r="DE654" s="240"/>
      <c r="DF654" s="240"/>
      <c r="DG654" s="240"/>
      <c r="DH654" s="240"/>
      <c r="DI654" s="240"/>
      <c r="DJ654" s="240"/>
      <c r="DK654" s="240"/>
      <c r="DL654" s="240"/>
      <c r="DM654" s="240"/>
      <c r="DN654" s="240"/>
      <c r="DO654" s="240"/>
      <c r="DP654" s="240"/>
      <c r="DQ654" s="240"/>
      <c r="DR654" s="240"/>
      <c r="DS654" s="240"/>
      <c r="DT654" s="241"/>
      <c r="DY654" s="240"/>
      <c r="EA654" s="240"/>
      <c r="EB654" s="240"/>
    </row>
    <row r="655" spans="1:132" ht="39" x14ac:dyDescent="0.25">
      <c r="A655" s="94"/>
      <c r="B655" s="94"/>
      <c r="C655" s="122"/>
      <c r="D655" s="16" t="s">
        <v>383</v>
      </c>
      <c r="E655" s="3" t="s">
        <v>384</v>
      </c>
      <c r="F655" s="240"/>
      <c r="G655" s="264">
        <v>26.80519</v>
      </c>
      <c r="H655" s="264">
        <v>26.80519</v>
      </c>
      <c r="I655" s="240">
        <f t="shared" si="269"/>
        <v>100</v>
      </c>
      <c r="J655" s="240"/>
      <c r="K655" s="240"/>
      <c r="L655" s="240"/>
      <c r="M655" s="240"/>
      <c r="N655" s="240"/>
      <c r="O655" s="240"/>
      <c r="P655" s="240"/>
      <c r="Q655" s="240"/>
      <c r="R655" s="240"/>
      <c r="S655" s="240"/>
      <c r="T655" s="240"/>
      <c r="U655" s="240"/>
      <c r="V655" s="240"/>
      <c r="W655" s="240"/>
      <c r="X655" s="240"/>
      <c r="Y655" s="240"/>
      <c r="Z655" s="240"/>
      <c r="AA655" s="240"/>
      <c r="AB655" s="240"/>
      <c r="AC655" s="240"/>
      <c r="AD655" s="240"/>
      <c r="AE655" s="240"/>
      <c r="AF655" s="76"/>
      <c r="AG655" s="240"/>
      <c r="AH655" s="240"/>
      <c r="AI655" s="240"/>
      <c r="AJ655" s="240"/>
      <c r="AK655" s="240"/>
      <c r="AL655" s="240"/>
      <c r="AM655" s="240"/>
      <c r="AN655" s="240"/>
      <c r="AO655" s="240"/>
      <c r="AP655" s="240"/>
      <c r="AQ655" s="240"/>
      <c r="AR655" s="240"/>
      <c r="AS655" s="240"/>
      <c r="AT655" s="240"/>
      <c r="AU655" s="240"/>
      <c r="AV655" s="240"/>
      <c r="AW655" s="240"/>
      <c r="AX655" s="240"/>
      <c r="AY655" s="240"/>
      <c r="AZ655" s="240"/>
      <c r="BA655" s="240"/>
      <c r="BB655" s="240"/>
      <c r="BC655" s="240"/>
      <c r="BD655" s="240"/>
      <c r="BE655" s="240"/>
      <c r="BF655" s="240"/>
      <c r="BG655" s="240"/>
      <c r="BH655" s="240"/>
      <c r="BI655" s="240"/>
      <c r="BJ655" s="240"/>
      <c r="BK655" s="240"/>
      <c r="BL655" s="240"/>
      <c r="BM655" s="240"/>
      <c r="BN655" s="240"/>
      <c r="BO655" s="240"/>
      <c r="BP655" s="240"/>
      <c r="BQ655" s="240"/>
      <c r="BR655" s="240"/>
      <c r="BS655" s="240"/>
      <c r="BT655" s="240"/>
      <c r="BU655" s="240"/>
      <c r="BV655" s="240"/>
      <c r="BW655" s="240"/>
      <c r="BX655" s="240"/>
      <c r="BY655" s="240"/>
      <c r="BZ655" s="240"/>
      <c r="CA655" s="240"/>
      <c r="CB655" s="240"/>
      <c r="CC655" s="240"/>
      <c r="CD655" s="240">
        <v>352.33695</v>
      </c>
      <c r="CE655" s="240"/>
      <c r="CF655" s="240"/>
      <c r="CG655" s="240"/>
      <c r="CH655" s="240"/>
      <c r="CI655" s="240"/>
      <c r="CJ655" s="240"/>
      <c r="CK655" s="240"/>
      <c r="CL655" s="240"/>
      <c r="CM655" s="240"/>
      <c r="CN655" s="240"/>
      <c r="CO655" s="240"/>
      <c r="CP655" s="240"/>
      <c r="CQ655" s="124">
        <f>SUM(BP655:CP655)</f>
        <v>352.33695</v>
      </c>
      <c r="CR655" s="240"/>
      <c r="CS655" s="240"/>
      <c r="CT655" s="240"/>
      <c r="CU655" s="240"/>
      <c r="CV655" s="240"/>
      <c r="CW655" s="240"/>
      <c r="CX655" s="240"/>
      <c r="CY655" s="240"/>
      <c r="CZ655" s="240"/>
      <c r="DA655" s="240"/>
      <c r="DB655" s="240"/>
      <c r="DC655" s="240"/>
      <c r="DD655" s="240"/>
      <c r="DE655" s="240"/>
      <c r="DF655" s="240"/>
      <c r="DG655" s="240"/>
      <c r="DH655" s="240"/>
      <c r="DI655" s="240"/>
      <c r="DJ655" s="240"/>
      <c r="DK655" s="240"/>
      <c r="DL655" s="240"/>
      <c r="DM655" s="240"/>
      <c r="DN655" s="240"/>
      <c r="DO655" s="240"/>
      <c r="DP655" s="240"/>
      <c r="DQ655" s="240"/>
      <c r="DR655" s="240"/>
      <c r="DS655" s="240"/>
      <c r="DT655" s="241"/>
      <c r="DY655" s="240"/>
      <c r="EA655" s="240"/>
      <c r="EB655" s="240"/>
    </row>
    <row r="656" spans="1:132" x14ac:dyDescent="0.25">
      <c r="A656" s="94"/>
      <c r="B656" s="94"/>
      <c r="C656" s="6" t="s">
        <v>840</v>
      </c>
      <c r="D656" s="6"/>
      <c r="E656" s="3" t="s">
        <v>838</v>
      </c>
      <c r="F656" s="76"/>
      <c r="G656" s="264">
        <f>G657</f>
        <v>10.909649999999999</v>
      </c>
      <c r="H656" s="264">
        <f>H657</f>
        <v>10.909649999999999</v>
      </c>
      <c r="I656" s="240">
        <f t="shared" si="269"/>
        <v>100</v>
      </c>
      <c r="J656" s="240"/>
    </row>
    <row r="657" spans="1:10" ht="39" x14ac:dyDescent="0.25">
      <c r="A657" s="94"/>
      <c r="B657" s="94"/>
      <c r="C657" s="6"/>
      <c r="D657" s="6" t="s">
        <v>383</v>
      </c>
      <c r="E657" s="3" t="s">
        <v>384</v>
      </c>
      <c r="F657" s="76"/>
      <c r="G657" s="264">
        <v>10.909649999999999</v>
      </c>
      <c r="H657" s="264">
        <v>10.909649999999999</v>
      </c>
      <c r="I657" s="240">
        <f t="shared" si="269"/>
        <v>100</v>
      </c>
      <c r="J657" s="240"/>
    </row>
    <row r="658" spans="1:10" x14ac:dyDescent="0.25">
      <c r="A658" s="94"/>
      <c r="B658" s="17">
        <v>1000</v>
      </c>
      <c r="C658" s="104"/>
      <c r="D658" s="103"/>
      <c r="E658" s="98" t="s">
        <v>592</v>
      </c>
      <c r="F658" s="71">
        <f>F659+F686</f>
        <v>28118.063730000002</v>
      </c>
      <c r="G658" s="71">
        <f t="shared" ref="G658:H658" si="282">G659+G686</f>
        <v>25139.64143</v>
      </c>
      <c r="H658" s="71">
        <f t="shared" si="282"/>
        <v>24306.677590000003</v>
      </c>
      <c r="I658" s="247">
        <f t="shared" si="269"/>
        <v>96.68665186685601</v>
      </c>
      <c r="J658" s="247">
        <f t="shared" si="270"/>
        <v>89.407441676639223</v>
      </c>
    </row>
    <row r="659" spans="1:10" x14ac:dyDescent="0.25">
      <c r="A659" s="94"/>
      <c r="B659" s="17">
        <v>1003</v>
      </c>
      <c r="C659" s="104"/>
      <c r="D659" s="103"/>
      <c r="E659" s="98" t="s">
        <v>596</v>
      </c>
      <c r="F659" s="71">
        <f t="shared" ref="F659:H660" si="283">F660</f>
        <v>24145.963730000003</v>
      </c>
      <c r="G659" s="71">
        <f t="shared" si="283"/>
        <v>22350.71643</v>
      </c>
      <c r="H659" s="71">
        <f t="shared" si="283"/>
        <v>21580.832560000003</v>
      </c>
      <c r="I659" s="247">
        <f t="shared" si="269"/>
        <v>96.555439856206888</v>
      </c>
      <c r="J659" s="247">
        <f t="shared" si="270"/>
        <v>92.565021135315021</v>
      </c>
    </row>
    <row r="660" spans="1:10" x14ac:dyDescent="0.25">
      <c r="A660" s="94"/>
      <c r="B660" s="17"/>
      <c r="C660" s="104" t="s">
        <v>4</v>
      </c>
      <c r="D660" s="103"/>
      <c r="E660" s="123" t="s">
        <v>5</v>
      </c>
      <c r="F660" s="71">
        <f t="shared" si="283"/>
        <v>24145.963730000003</v>
      </c>
      <c r="G660" s="71">
        <f t="shared" si="283"/>
        <v>22350.71643</v>
      </c>
      <c r="H660" s="71">
        <f t="shared" si="283"/>
        <v>21580.832560000003</v>
      </c>
      <c r="I660" s="247">
        <f t="shared" si="269"/>
        <v>96.555439856206888</v>
      </c>
      <c r="J660" s="247">
        <f t="shared" si="270"/>
        <v>92.565021135315021</v>
      </c>
    </row>
    <row r="661" spans="1:10" ht="25.5" x14ac:dyDescent="0.25">
      <c r="A661" s="108"/>
      <c r="B661" s="108"/>
      <c r="C661" s="108" t="s">
        <v>55</v>
      </c>
      <c r="D661" s="107"/>
      <c r="E661" s="109" t="s">
        <v>56</v>
      </c>
      <c r="F661" s="159">
        <f t="shared" ref="F661:H661" si="284">F662+F666+F674</f>
        <v>24145.963730000003</v>
      </c>
      <c r="G661" s="159">
        <f t="shared" si="284"/>
        <v>22350.71643</v>
      </c>
      <c r="H661" s="159">
        <f t="shared" si="284"/>
        <v>21580.832560000003</v>
      </c>
      <c r="I661" s="257">
        <f t="shared" si="269"/>
        <v>96.555439856206888</v>
      </c>
      <c r="J661" s="257">
        <f t="shared" si="270"/>
        <v>92.565021135315021</v>
      </c>
    </row>
    <row r="662" spans="1:10" x14ac:dyDescent="0.25">
      <c r="A662" s="30"/>
      <c r="B662" s="30"/>
      <c r="C662" s="30" t="s">
        <v>57</v>
      </c>
      <c r="D662" s="30"/>
      <c r="E662" s="31" t="s">
        <v>58</v>
      </c>
      <c r="F662" s="72">
        <f t="shared" ref="F662:H664" si="285">F663</f>
        <v>123.9</v>
      </c>
      <c r="G662" s="72">
        <f t="shared" si="285"/>
        <v>123.9</v>
      </c>
      <c r="H662" s="72">
        <f t="shared" si="285"/>
        <v>111.41096</v>
      </c>
      <c r="I662" s="244">
        <f t="shared" si="269"/>
        <v>89.920064568200161</v>
      </c>
      <c r="J662" s="244">
        <f t="shared" si="270"/>
        <v>100</v>
      </c>
    </row>
    <row r="663" spans="1:10" ht="26.25" x14ac:dyDescent="0.25">
      <c r="A663" s="32"/>
      <c r="B663" s="32"/>
      <c r="C663" s="32" t="s">
        <v>59</v>
      </c>
      <c r="D663" s="32"/>
      <c r="E663" s="33" t="s">
        <v>60</v>
      </c>
      <c r="F663" s="68">
        <f t="shared" si="285"/>
        <v>123.9</v>
      </c>
      <c r="G663" s="68">
        <f t="shared" si="285"/>
        <v>123.9</v>
      </c>
      <c r="H663" s="68">
        <f t="shared" si="285"/>
        <v>111.41096</v>
      </c>
      <c r="I663" s="245">
        <f t="shared" si="269"/>
        <v>89.920064568200161</v>
      </c>
      <c r="J663" s="245">
        <f t="shared" si="270"/>
        <v>100</v>
      </c>
    </row>
    <row r="664" spans="1:10" ht="26.25" x14ac:dyDescent="0.25">
      <c r="A664" s="94"/>
      <c r="B664" s="94"/>
      <c r="C664" s="16" t="s">
        <v>69</v>
      </c>
      <c r="D664" s="6"/>
      <c r="E664" s="3" t="s">
        <v>70</v>
      </c>
      <c r="F664" s="67">
        <f>F665</f>
        <v>123.9</v>
      </c>
      <c r="G664" s="67">
        <f t="shared" si="285"/>
        <v>123.9</v>
      </c>
      <c r="H664" s="67">
        <f t="shared" si="285"/>
        <v>111.41096</v>
      </c>
      <c r="I664" s="246">
        <f t="shared" si="269"/>
        <v>89.920064568200161</v>
      </c>
      <c r="J664" s="246">
        <f t="shared" si="270"/>
        <v>100</v>
      </c>
    </row>
    <row r="665" spans="1:10" ht="26.25" x14ac:dyDescent="0.25">
      <c r="A665" s="94"/>
      <c r="B665" s="94"/>
      <c r="C665" s="16"/>
      <c r="D665" s="6" t="s">
        <v>449</v>
      </c>
      <c r="E665" s="3" t="s">
        <v>450</v>
      </c>
      <c r="F665" s="67">
        <v>123.9</v>
      </c>
      <c r="G665" s="67">
        <v>123.9</v>
      </c>
      <c r="H665" s="67">
        <v>111.41096</v>
      </c>
      <c r="I665" s="246">
        <f t="shared" si="269"/>
        <v>89.920064568200161</v>
      </c>
      <c r="J665" s="246">
        <f t="shared" si="270"/>
        <v>100</v>
      </c>
    </row>
    <row r="666" spans="1:10" x14ac:dyDescent="0.25">
      <c r="A666" s="30"/>
      <c r="B666" s="30"/>
      <c r="C666" s="30" t="s">
        <v>71</v>
      </c>
      <c r="D666" s="30"/>
      <c r="E666" s="31" t="s">
        <v>72</v>
      </c>
      <c r="F666" s="72">
        <f>F667</f>
        <v>10666.995269999999</v>
      </c>
      <c r="G666" s="72">
        <f t="shared" ref="G666:H666" si="286">G667</f>
        <v>7330.1952700000002</v>
      </c>
      <c r="H666" s="72">
        <f t="shared" si="286"/>
        <v>6575.6324400000003</v>
      </c>
      <c r="I666" s="244">
        <f t="shared" si="269"/>
        <v>89.706101922166127</v>
      </c>
      <c r="J666" s="244">
        <f t="shared" si="270"/>
        <v>68.718463676603847</v>
      </c>
    </row>
    <row r="667" spans="1:10" ht="26.25" x14ac:dyDescent="0.25">
      <c r="A667" s="32"/>
      <c r="B667" s="32"/>
      <c r="C667" s="32" t="s">
        <v>83</v>
      </c>
      <c r="D667" s="32"/>
      <c r="E667" s="33" t="s">
        <v>84</v>
      </c>
      <c r="F667" s="68">
        <f>F668+F670+F672</f>
        <v>10666.995269999999</v>
      </c>
      <c r="G667" s="68">
        <f t="shared" ref="G667:H667" si="287">G668+G670+G672</f>
        <v>7330.1952700000002</v>
      </c>
      <c r="H667" s="68">
        <f t="shared" si="287"/>
        <v>6575.6324400000003</v>
      </c>
      <c r="I667" s="245">
        <f t="shared" si="269"/>
        <v>89.706101922166127</v>
      </c>
      <c r="J667" s="245">
        <f t="shared" si="270"/>
        <v>68.718463676603847</v>
      </c>
    </row>
    <row r="668" spans="1:10" ht="25.5" x14ac:dyDescent="0.25">
      <c r="A668" s="94"/>
      <c r="B668" s="94"/>
      <c r="C668" s="37" t="s">
        <v>92</v>
      </c>
      <c r="D668" s="6"/>
      <c r="E668" s="1" t="s">
        <v>637</v>
      </c>
      <c r="F668" s="67">
        <f>F669</f>
        <v>3993</v>
      </c>
      <c r="G668" s="67">
        <f t="shared" ref="G668:H668" si="288">G669</f>
        <v>3326.5105400000002</v>
      </c>
      <c r="H668" s="67">
        <f t="shared" si="288"/>
        <v>3000.6069699999998</v>
      </c>
      <c r="I668" s="246">
        <f t="shared" si="269"/>
        <v>90.202839700005867</v>
      </c>
      <c r="J668" s="246">
        <f t="shared" si="270"/>
        <v>83.308553468569997</v>
      </c>
    </row>
    <row r="669" spans="1:10" ht="26.25" x14ac:dyDescent="0.25">
      <c r="A669" s="94"/>
      <c r="B669" s="94"/>
      <c r="C669" s="37"/>
      <c r="D669" s="6" t="s">
        <v>449</v>
      </c>
      <c r="E669" s="3" t="s">
        <v>450</v>
      </c>
      <c r="F669" s="67">
        <v>3993</v>
      </c>
      <c r="G669" s="264">
        <v>3326.5105400000002</v>
      </c>
      <c r="H669" s="264">
        <v>3000.6069699999998</v>
      </c>
      <c r="I669" s="246">
        <f t="shared" si="269"/>
        <v>90.202839700005867</v>
      </c>
      <c r="J669" s="246">
        <f t="shared" si="270"/>
        <v>83.308553468569997</v>
      </c>
    </row>
    <row r="670" spans="1:10" ht="26.25" x14ac:dyDescent="0.25">
      <c r="A670" s="94"/>
      <c r="B670" s="94"/>
      <c r="C670" s="37" t="s">
        <v>93</v>
      </c>
      <c r="D670" s="6"/>
      <c r="E670" s="3" t="s">
        <v>638</v>
      </c>
      <c r="F670" s="67">
        <f>F671</f>
        <v>5123.5</v>
      </c>
      <c r="G670" s="67">
        <f t="shared" ref="G670:H670" si="289">G671</f>
        <v>2453.1894600000001</v>
      </c>
      <c r="H670" s="67">
        <f t="shared" si="289"/>
        <v>2173.5312699999999</v>
      </c>
      <c r="I670" s="246">
        <f t="shared" si="269"/>
        <v>88.600220465646387</v>
      </c>
      <c r="J670" s="246">
        <f t="shared" si="270"/>
        <v>47.881125402556847</v>
      </c>
    </row>
    <row r="671" spans="1:10" ht="26.25" x14ac:dyDescent="0.25">
      <c r="A671" s="94"/>
      <c r="B671" s="94"/>
      <c r="C671" s="37"/>
      <c r="D671" s="6" t="s">
        <v>449</v>
      </c>
      <c r="E671" s="3" t="s">
        <v>450</v>
      </c>
      <c r="F671" s="67">
        <v>5123.5</v>
      </c>
      <c r="G671" s="264">
        <v>2453.1894600000001</v>
      </c>
      <c r="H671" s="264">
        <v>2173.5312699999999</v>
      </c>
      <c r="I671" s="246">
        <f t="shared" si="269"/>
        <v>88.600220465646387</v>
      </c>
      <c r="J671" s="246">
        <f t="shared" si="270"/>
        <v>47.881125402556847</v>
      </c>
    </row>
    <row r="672" spans="1:10" ht="26.25" x14ac:dyDescent="0.25">
      <c r="A672" s="94"/>
      <c r="B672" s="94"/>
      <c r="C672" s="6" t="s">
        <v>87</v>
      </c>
      <c r="D672" s="6"/>
      <c r="E672" s="3" t="s">
        <v>70</v>
      </c>
      <c r="F672" s="67">
        <f>F673</f>
        <v>1550.4952699999999</v>
      </c>
      <c r="G672" s="67">
        <f t="shared" ref="G672:H672" si="290">G673</f>
        <v>1550.4952699999999</v>
      </c>
      <c r="H672" s="67">
        <f t="shared" si="290"/>
        <v>1401.4942000000001</v>
      </c>
      <c r="I672" s="246">
        <f t="shared" si="269"/>
        <v>90.390098384498799</v>
      </c>
      <c r="J672" s="246">
        <f t="shared" si="270"/>
        <v>100</v>
      </c>
    </row>
    <row r="673" spans="1:11" ht="26.25" x14ac:dyDescent="0.25">
      <c r="A673" s="94"/>
      <c r="B673" s="94"/>
      <c r="C673" s="6"/>
      <c r="D673" s="6" t="s">
        <v>449</v>
      </c>
      <c r="E673" s="3" t="s">
        <v>450</v>
      </c>
      <c r="F673" s="67">
        <v>1550.4952699999999</v>
      </c>
      <c r="G673" s="264">
        <v>1550.4952699999999</v>
      </c>
      <c r="H673" s="264">
        <v>1401.4942000000001</v>
      </c>
      <c r="I673" s="246">
        <f t="shared" si="269"/>
        <v>90.390098384498799</v>
      </c>
      <c r="J673" s="246">
        <f t="shared" si="270"/>
        <v>100</v>
      </c>
    </row>
    <row r="674" spans="1:11" x14ac:dyDescent="0.25">
      <c r="A674" s="30"/>
      <c r="B674" s="30"/>
      <c r="C674" s="30" t="s">
        <v>128</v>
      </c>
      <c r="D674" s="30"/>
      <c r="E674" s="31" t="s">
        <v>129</v>
      </c>
      <c r="F674" s="72">
        <f t="shared" ref="F674:H674" si="291">F675</f>
        <v>13355.068460000002</v>
      </c>
      <c r="G674" s="72">
        <f t="shared" si="291"/>
        <v>14896.621160000001</v>
      </c>
      <c r="H674" s="72">
        <f t="shared" si="291"/>
        <v>14893.78916</v>
      </c>
      <c r="I674" s="244">
        <f t="shared" si="269"/>
        <v>99.980988977503131</v>
      </c>
      <c r="J674" s="244">
        <f t="shared" si="270"/>
        <v>111.54282888640465</v>
      </c>
    </row>
    <row r="675" spans="1:11" ht="26.25" x14ac:dyDescent="0.25">
      <c r="A675" s="32"/>
      <c r="B675" s="32"/>
      <c r="C675" s="32" t="s">
        <v>136</v>
      </c>
      <c r="D675" s="32"/>
      <c r="E675" s="33" t="s">
        <v>137</v>
      </c>
      <c r="F675" s="68">
        <f>F676+F679+F682</f>
        <v>13355.068460000002</v>
      </c>
      <c r="G675" s="68">
        <f t="shared" ref="G675:H675" si="292">G676+G679+G682</f>
        <v>14896.621160000001</v>
      </c>
      <c r="H675" s="68">
        <f t="shared" si="292"/>
        <v>14893.78916</v>
      </c>
      <c r="I675" s="245">
        <f t="shared" si="269"/>
        <v>99.980988977503131</v>
      </c>
      <c r="J675" s="245">
        <f t="shared" si="270"/>
        <v>111.54282888640465</v>
      </c>
    </row>
    <row r="676" spans="1:11" ht="26.25" x14ac:dyDescent="0.25">
      <c r="A676" s="94"/>
      <c r="B676" s="94"/>
      <c r="C676" s="6" t="s">
        <v>138</v>
      </c>
      <c r="D676" s="6"/>
      <c r="E676" s="3" t="s">
        <v>139</v>
      </c>
      <c r="F676" s="67">
        <f>SUM(F677)</f>
        <v>599.4</v>
      </c>
      <c r="G676" s="264">
        <v>62.5</v>
      </c>
      <c r="H676" s="264">
        <v>62.5</v>
      </c>
      <c r="I676" s="246">
        <f t="shared" si="269"/>
        <v>100</v>
      </c>
      <c r="J676" s="246">
        <f t="shared" si="270"/>
        <v>10.427093760427095</v>
      </c>
    </row>
    <row r="677" spans="1:11" x14ac:dyDescent="0.25">
      <c r="A677" s="94"/>
      <c r="B677" s="94"/>
      <c r="C677" s="6"/>
      <c r="D677" s="6" t="s">
        <v>408</v>
      </c>
      <c r="E677" s="3" t="s">
        <v>409</v>
      </c>
      <c r="F677" s="67">
        <v>599.4</v>
      </c>
      <c r="G677" s="264"/>
      <c r="H677" s="264"/>
      <c r="I677" s="246"/>
      <c r="J677" s="246">
        <f t="shared" si="270"/>
        <v>0</v>
      </c>
    </row>
    <row r="678" spans="1:11" ht="26.25" x14ac:dyDescent="0.25">
      <c r="A678" s="94"/>
      <c r="B678" s="94"/>
      <c r="C678" s="6"/>
      <c r="D678" s="6" t="s">
        <v>449</v>
      </c>
      <c r="E678" s="3" t="s">
        <v>450</v>
      </c>
      <c r="F678" s="67"/>
      <c r="G678" s="264">
        <v>62.5</v>
      </c>
      <c r="H678" s="264">
        <v>62.5</v>
      </c>
      <c r="I678" s="246">
        <f t="shared" ref="I678" si="293">H678/G678*100</f>
        <v>100</v>
      </c>
      <c r="J678" s="246"/>
    </row>
    <row r="679" spans="1:11" ht="51.75" x14ac:dyDescent="0.25">
      <c r="A679" s="94"/>
      <c r="B679" s="94"/>
      <c r="C679" s="6" t="s">
        <v>140</v>
      </c>
      <c r="D679" s="6"/>
      <c r="E679" s="3" t="s">
        <v>141</v>
      </c>
      <c r="F679" s="67">
        <f t="shared" ref="F679:H679" si="294">F680+F681</f>
        <v>12716.228460000002</v>
      </c>
      <c r="G679" s="67">
        <f t="shared" si="294"/>
        <v>14748.969160000001</v>
      </c>
      <c r="H679" s="67">
        <f t="shared" si="294"/>
        <v>14748.969160000001</v>
      </c>
      <c r="I679" s="246">
        <f t="shared" si="269"/>
        <v>100</v>
      </c>
      <c r="J679" s="246">
        <f t="shared" si="270"/>
        <v>115.9854056286749</v>
      </c>
    </row>
    <row r="680" spans="1:11" x14ac:dyDescent="0.25">
      <c r="A680" s="94"/>
      <c r="B680" s="94"/>
      <c r="C680" s="6"/>
      <c r="D680" s="6" t="s">
        <v>408</v>
      </c>
      <c r="E680" s="3" t="s">
        <v>409</v>
      </c>
      <c r="F680" s="67">
        <f>5817.8+128.31296</f>
        <v>5946.1129600000004</v>
      </c>
      <c r="G680" s="264">
        <v>7006.8879100000004</v>
      </c>
      <c r="H680" s="264">
        <v>7006.8879100000004</v>
      </c>
      <c r="I680" s="246">
        <f t="shared" si="269"/>
        <v>100</v>
      </c>
      <c r="J680" s="246">
        <f t="shared" si="270"/>
        <v>117.83980487985886</v>
      </c>
    </row>
    <row r="681" spans="1:11" ht="26.25" x14ac:dyDescent="0.25">
      <c r="A681" s="94"/>
      <c r="B681" s="94"/>
      <c r="C681" s="6"/>
      <c r="D681" s="6" t="s">
        <v>449</v>
      </c>
      <c r="E681" s="3" t="s">
        <v>450</v>
      </c>
      <c r="F681" s="67">
        <f>6968.6-198.4845</f>
        <v>6770.1155000000008</v>
      </c>
      <c r="G681" s="264">
        <v>7742.0812500000002</v>
      </c>
      <c r="H681" s="264">
        <v>7742.0812500000002</v>
      </c>
      <c r="I681" s="246">
        <f t="shared" si="269"/>
        <v>100</v>
      </c>
      <c r="J681" s="246">
        <f t="shared" si="270"/>
        <v>114.35670853769038</v>
      </c>
      <c r="K681" s="25" t="s">
        <v>147</v>
      </c>
    </row>
    <row r="682" spans="1:11" ht="26.25" x14ac:dyDescent="0.25">
      <c r="A682" s="94"/>
      <c r="B682" s="94"/>
      <c r="C682" s="6" t="s">
        <v>800</v>
      </c>
      <c r="D682" s="6"/>
      <c r="E682" s="3" t="s">
        <v>801</v>
      </c>
      <c r="F682" s="67">
        <v>39.44</v>
      </c>
      <c r="G682" s="67">
        <f>G683</f>
        <v>85.152000000000001</v>
      </c>
      <c r="H682" s="67">
        <f>H683</f>
        <v>82.32</v>
      </c>
      <c r="I682" s="246">
        <f t="shared" si="269"/>
        <v>96.674182638105961</v>
      </c>
      <c r="J682" s="246">
        <f t="shared" si="270"/>
        <v>215.90263691683572</v>
      </c>
    </row>
    <row r="683" spans="1:11" x14ac:dyDescent="0.25">
      <c r="A683" s="94"/>
      <c r="B683" s="94"/>
      <c r="C683" s="6"/>
      <c r="D683" s="6" t="s">
        <v>272</v>
      </c>
      <c r="E683" s="3" t="s">
        <v>273</v>
      </c>
      <c r="F683" s="67">
        <v>39.44</v>
      </c>
      <c r="G683" s="67">
        <f>G684+G685</f>
        <v>85.152000000000001</v>
      </c>
      <c r="H683" s="67">
        <f>H684+H685</f>
        <v>82.32</v>
      </c>
      <c r="I683" s="246">
        <f t="shared" si="269"/>
        <v>96.674182638105961</v>
      </c>
      <c r="J683" s="246">
        <f t="shared" si="270"/>
        <v>215.90263691683572</v>
      </c>
    </row>
    <row r="684" spans="1:11" x14ac:dyDescent="0.25">
      <c r="A684" s="94"/>
      <c r="B684" s="94"/>
      <c r="C684" s="6"/>
      <c r="D684" s="6"/>
      <c r="E684" s="3" t="s">
        <v>860</v>
      </c>
      <c r="F684" s="67"/>
      <c r="G684" s="67">
        <v>45.712000000000003</v>
      </c>
      <c r="H684" s="67">
        <v>44.191699999999997</v>
      </c>
      <c r="I684" s="246">
        <f t="shared" si="269"/>
        <v>96.674177458872933</v>
      </c>
      <c r="J684" s="246"/>
    </row>
    <row r="685" spans="1:11" x14ac:dyDescent="0.25">
      <c r="A685" s="94"/>
      <c r="B685" s="94"/>
      <c r="C685" s="6"/>
      <c r="D685" s="6"/>
      <c r="E685" s="3" t="s">
        <v>82</v>
      </c>
      <c r="F685" s="67">
        <v>39.44</v>
      </c>
      <c r="G685" s="67">
        <v>39.44</v>
      </c>
      <c r="H685" s="67">
        <v>38.128300000000003</v>
      </c>
      <c r="I685" s="246">
        <f t="shared" si="269"/>
        <v>96.67418864097364</v>
      </c>
      <c r="J685" s="246">
        <f t="shared" si="270"/>
        <v>100</v>
      </c>
    </row>
    <row r="686" spans="1:11" x14ac:dyDescent="0.25">
      <c r="A686" s="103"/>
      <c r="B686" s="17">
        <v>1004</v>
      </c>
      <c r="C686" s="104"/>
      <c r="D686" s="103"/>
      <c r="E686" s="98" t="s">
        <v>597</v>
      </c>
      <c r="F686" s="71">
        <f t="shared" ref="F686:H691" si="295">F687</f>
        <v>3972.1</v>
      </c>
      <c r="G686" s="71">
        <f t="shared" si="295"/>
        <v>2788.9250000000002</v>
      </c>
      <c r="H686" s="71">
        <f t="shared" si="295"/>
        <v>2725.84503</v>
      </c>
      <c r="I686" s="247">
        <f t="shared" si="269"/>
        <v>97.738197692659341</v>
      </c>
      <c r="J686" s="247">
        <f t="shared" si="270"/>
        <v>70.212859696382267</v>
      </c>
    </row>
    <row r="687" spans="1:11" x14ac:dyDescent="0.25">
      <c r="A687" s="103"/>
      <c r="B687" s="17"/>
      <c r="C687" s="104" t="s">
        <v>4</v>
      </c>
      <c r="D687" s="17"/>
      <c r="E687" s="7" t="s">
        <v>559</v>
      </c>
      <c r="F687" s="71">
        <f t="shared" si="295"/>
        <v>3972.1</v>
      </c>
      <c r="G687" s="71">
        <f t="shared" si="295"/>
        <v>2788.9250000000002</v>
      </c>
      <c r="H687" s="71">
        <f t="shared" si="295"/>
        <v>2725.84503</v>
      </c>
      <c r="I687" s="247">
        <f t="shared" si="269"/>
        <v>97.738197692659341</v>
      </c>
      <c r="J687" s="247">
        <f t="shared" si="270"/>
        <v>70.212859696382267</v>
      </c>
    </row>
    <row r="688" spans="1:11" ht="25.5" x14ac:dyDescent="0.25">
      <c r="A688" s="106"/>
      <c r="B688" s="107"/>
      <c r="C688" s="108" t="s">
        <v>55</v>
      </c>
      <c r="D688" s="107"/>
      <c r="E688" s="109" t="s">
        <v>56</v>
      </c>
      <c r="F688" s="159">
        <f t="shared" si="295"/>
        <v>3972.1</v>
      </c>
      <c r="G688" s="159">
        <f t="shared" si="295"/>
        <v>2788.9250000000002</v>
      </c>
      <c r="H688" s="159">
        <f t="shared" si="295"/>
        <v>2725.84503</v>
      </c>
      <c r="I688" s="257">
        <f t="shared" si="269"/>
        <v>97.738197692659341</v>
      </c>
      <c r="J688" s="257">
        <f t="shared" si="270"/>
        <v>70.212859696382267</v>
      </c>
    </row>
    <row r="689" spans="1:10" x14ac:dyDescent="0.25">
      <c r="A689" s="126"/>
      <c r="B689" s="127"/>
      <c r="C689" s="128" t="s">
        <v>57</v>
      </c>
      <c r="D689" s="127"/>
      <c r="E689" s="129" t="s">
        <v>58</v>
      </c>
      <c r="F689" s="160">
        <f t="shared" si="295"/>
        <v>3972.1</v>
      </c>
      <c r="G689" s="160">
        <f t="shared" si="295"/>
        <v>2788.9250000000002</v>
      </c>
      <c r="H689" s="160">
        <f t="shared" si="295"/>
        <v>2725.84503</v>
      </c>
      <c r="I689" s="258">
        <f t="shared" si="269"/>
        <v>97.738197692659341</v>
      </c>
      <c r="J689" s="258">
        <f t="shared" si="270"/>
        <v>70.212859696382267</v>
      </c>
    </row>
    <row r="690" spans="1:10" ht="26.25" x14ac:dyDescent="0.25">
      <c r="A690" s="32"/>
      <c r="B690" s="32"/>
      <c r="C690" s="32" t="s">
        <v>59</v>
      </c>
      <c r="D690" s="32"/>
      <c r="E690" s="33" t="s">
        <v>74</v>
      </c>
      <c r="F690" s="68">
        <f t="shared" si="295"/>
        <v>3972.1</v>
      </c>
      <c r="G690" s="68">
        <f t="shared" si="295"/>
        <v>2788.9250000000002</v>
      </c>
      <c r="H690" s="68">
        <f t="shared" si="295"/>
        <v>2725.84503</v>
      </c>
      <c r="I690" s="245">
        <f t="shared" si="269"/>
        <v>97.738197692659341</v>
      </c>
      <c r="J690" s="245">
        <f t="shared" si="270"/>
        <v>70.212859696382267</v>
      </c>
    </row>
    <row r="691" spans="1:10" ht="39" x14ac:dyDescent="0.25">
      <c r="A691" s="94"/>
      <c r="B691" s="94"/>
      <c r="C691" s="6" t="s">
        <v>65</v>
      </c>
      <c r="D691" s="6"/>
      <c r="E691" s="3" t="s">
        <v>66</v>
      </c>
      <c r="F691" s="67">
        <f t="shared" si="295"/>
        <v>3972.1</v>
      </c>
      <c r="G691" s="67">
        <f t="shared" si="295"/>
        <v>2788.9250000000002</v>
      </c>
      <c r="H691" s="67">
        <f t="shared" si="295"/>
        <v>2725.84503</v>
      </c>
      <c r="I691" s="246">
        <f t="shared" ref="I691:I746" si="296">H691/G691*100</f>
        <v>97.738197692659341</v>
      </c>
      <c r="J691" s="246">
        <f t="shared" ref="J691:J746" si="297">G691/F691*100</f>
        <v>70.212859696382267</v>
      </c>
    </row>
    <row r="692" spans="1:10" ht="26.25" x14ac:dyDescent="0.25">
      <c r="A692" s="94"/>
      <c r="B692" s="94"/>
      <c r="C692" s="6"/>
      <c r="D692" s="6" t="s">
        <v>449</v>
      </c>
      <c r="E692" s="3" t="s">
        <v>450</v>
      </c>
      <c r="F692" s="67">
        <v>3972.1</v>
      </c>
      <c r="G692" s="264">
        <v>2788.9250000000002</v>
      </c>
      <c r="H692" s="264">
        <v>2725.84503</v>
      </c>
      <c r="I692" s="246">
        <f t="shared" si="296"/>
        <v>97.738197692659341</v>
      </c>
      <c r="J692" s="246">
        <f t="shared" si="297"/>
        <v>70.212859696382267</v>
      </c>
    </row>
    <row r="693" spans="1:10" x14ac:dyDescent="0.25">
      <c r="A693" s="65"/>
      <c r="B693" s="17">
        <v>1100</v>
      </c>
      <c r="C693" s="104"/>
      <c r="D693" s="103"/>
      <c r="E693" s="98" t="s">
        <v>610</v>
      </c>
      <c r="F693" s="71">
        <f t="shared" ref="F693:H695" si="298">F694</f>
        <v>5542.7</v>
      </c>
      <c r="G693" s="71">
        <f t="shared" si="298"/>
        <v>5903.2541000000001</v>
      </c>
      <c r="H693" s="71">
        <f t="shared" si="298"/>
        <v>1903.2535499999999</v>
      </c>
      <c r="I693" s="247">
        <f t="shared" si="296"/>
        <v>32.24075260456771</v>
      </c>
      <c r="J693" s="247">
        <f t="shared" si="297"/>
        <v>106.50502643116171</v>
      </c>
    </row>
    <row r="694" spans="1:10" x14ac:dyDescent="0.25">
      <c r="A694" s="65"/>
      <c r="B694" s="17" t="s">
        <v>611</v>
      </c>
      <c r="C694" s="104"/>
      <c r="D694" s="17"/>
      <c r="E694" s="123" t="s">
        <v>612</v>
      </c>
      <c r="F694" s="71">
        <f t="shared" si="298"/>
        <v>5542.7</v>
      </c>
      <c r="G694" s="71">
        <f t="shared" si="298"/>
        <v>5903.2541000000001</v>
      </c>
      <c r="H694" s="71">
        <f t="shared" si="298"/>
        <v>1903.2535499999999</v>
      </c>
      <c r="I694" s="247">
        <f t="shared" si="296"/>
        <v>32.24075260456771</v>
      </c>
      <c r="J694" s="247">
        <f t="shared" si="297"/>
        <v>106.50502643116171</v>
      </c>
    </row>
    <row r="695" spans="1:10" x14ac:dyDescent="0.25">
      <c r="A695" s="65"/>
      <c r="B695" s="17"/>
      <c r="C695" s="104" t="s">
        <v>4</v>
      </c>
      <c r="D695" s="17"/>
      <c r="E695" s="123" t="s">
        <v>5</v>
      </c>
      <c r="F695" s="71">
        <f t="shared" si="298"/>
        <v>5542.7</v>
      </c>
      <c r="G695" s="71">
        <f t="shared" si="298"/>
        <v>5903.2541000000001</v>
      </c>
      <c r="H695" s="71">
        <f t="shared" si="298"/>
        <v>1903.2535499999999</v>
      </c>
      <c r="I695" s="247">
        <f t="shared" si="296"/>
        <v>32.24075260456771</v>
      </c>
      <c r="J695" s="247">
        <f t="shared" si="297"/>
        <v>106.50502643116171</v>
      </c>
    </row>
    <row r="696" spans="1:10" ht="25.5" x14ac:dyDescent="0.25">
      <c r="A696" s="106"/>
      <c r="B696" s="107"/>
      <c r="C696" s="108" t="s">
        <v>248</v>
      </c>
      <c r="D696" s="107"/>
      <c r="E696" s="109" t="s">
        <v>249</v>
      </c>
      <c r="F696" s="159">
        <f>F697+F702</f>
        <v>5542.7</v>
      </c>
      <c r="G696" s="159">
        <f t="shared" ref="G696:H696" si="299">G697+G702</f>
        <v>5903.2541000000001</v>
      </c>
      <c r="H696" s="159">
        <f t="shared" si="299"/>
        <v>1903.2535499999999</v>
      </c>
      <c r="I696" s="257">
        <f t="shared" si="296"/>
        <v>32.24075260456771</v>
      </c>
      <c r="J696" s="257">
        <f t="shared" si="297"/>
        <v>106.50502643116171</v>
      </c>
    </row>
    <row r="697" spans="1:10" ht="26.25" x14ac:dyDescent="0.25">
      <c r="A697" s="32"/>
      <c r="B697" s="32"/>
      <c r="C697" s="32" t="s">
        <v>250</v>
      </c>
      <c r="D697" s="32"/>
      <c r="E697" s="33" t="s">
        <v>645</v>
      </c>
      <c r="F697" s="68">
        <f>F698</f>
        <v>1442.7</v>
      </c>
      <c r="G697" s="68">
        <f>G698+G700</f>
        <v>1803.2541000000001</v>
      </c>
      <c r="H697" s="68">
        <f>H698+H700</f>
        <v>1803.2535499999999</v>
      </c>
      <c r="I697" s="245">
        <f t="shared" si="296"/>
        <v>99.999969499584111</v>
      </c>
      <c r="J697" s="245">
        <f t="shared" si="297"/>
        <v>124.9916198793928</v>
      </c>
    </row>
    <row r="698" spans="1:10" ht="39" x14ac:dyDescent="0.25">
      <c r="A698" s="94"/>
      <c r="B698" s="94"/>
      <c r="C698" s="6" t="s">
        <v>252</v>
      </c>
      <c r="D698" s="6"/>
      <c r="E698" s="3" t="s">
        <v>253</v>
      </c>
      <c r="F698" s="67">
        <f t="shared" ref="F698:H698" si="300">F699</f>
        <v>1442.7</v>
      </c>
      <c r="G698" s="67">
        <f t="shared" si="300"/>
        <v>1442.7</v>
      </c>
      <c r="H698" s="67">
        <f t="shared" si="300"/>
        <v>1442.7</v>
      </c>
      <c r="I698" s="246">
        <f t="shared" si="296"/>
        <v>100</v>
      </c>
      <c r="J698" s="246">
        <f t="shared" si="297"/>
        <v>100</v>
      </c>
    </row>
    <row r="699" spans="1:10" ht="26.25" x14ac:dyDescent="0.25">
      <c r="A699" s="94"/>
      <c r="B699" s="94"/>
      <c r="C699" s="6"/>
      <c r="D699" s="6" t="s">
        <v>449</v>
      </c>
      <c r="E699" s="3" t="s">
        <v>450</v>
      </c>
      <c r="F699" s="67">
        <v>1442.7</v>
      </c>
      <c r="G699" s="67">
        <v>1442.7</v>
      </c>
      <c r="H699" s="67">
        <v>1442.7</v>
      </c>
      <c r="I699" s="246">
        <f t="shared" si="296"/>
        <v>100</v>
      </c>
      <c r="J699" s="246">
        <f t="shared" si="297"/>
        <v>100</v>
      </c>
    </row>
    <row r="700" spans="1:10" x14ac:dyDescent="0.25">
      <c r="A700" s="94"/>
      <c r="B700" s="94"/>
      <c r="C700" s="6" t="s">
        <v>861</v>
      </c>
      <c r="D700" s="6"/>
      <c r="E700" s="1" t="s">
        <v>862</v>
      </c>
      <c r="F700" s="67"/>
      <c r="G700" s="67">
        <f>G701</f>
        <v>360.55410000000001</v>
      </c>
      <c r="H700" s="67">
        <f>H701</f>
        <v>360.55354999999997</v>
      </c>
      <c r="I700" s="246">
        <f t="shared" si="296"/>
        <v>99.999847457011299</v>
      </c>
      <c r="J700" s="246"/>
    </row>
    <row r="701" spans="1:10" ht="26.25" x14ac:dyDescent="0.25">
      <c r="A701" s="94"/>
      <c r="B701" s="94"/>
      <c r="C701" s="6"/>
      <c r="D701" s="6" t="s">
        <v>449</v>
      </c>
      <c r="E701" s="3" t="s">
        <v>450</v>
      </c>
      <c r="F701" s="67"/>
      <c r="G701" s="264">
        <v>360.55410000000001</v>
      </c>
      <c r="H701" s="264">
        <v>360.55354999999997</v>
      </c>
      <c r="I701" s="246">
        <f t="shared" si="296"/>
        <v>99.999847457011299</v>
      </c>
      <c r="J701" s="246"/>
    </row>
    <row r="702" spans="1:10" ht="37.5" customHeight="1" x14ac:dyDescent="0.25">
      <c r="A702" s="32"/>
      <c r="B702" s="32"/>
      <c r="C702" s="32" t="s">
        <v>254</v>
      </c>
      <c r="D702" s="32"/>
      <c r="E702" s="33" t="s">
        <v>255</v>
      </c>
      <c r="F702" s="68">
        <f>F703+F707</f>
        <v>4100</v>
      </c>
      <c r="G702" s="68">
        <f t="shared" ref="G702:H702" si="301">G703+G707</f>
        <v>4100</v>
      </c>
      <c r="H702" s="68">
        <f t="shared" si="301"/>
        <v>100</v>
      </c>
      <c r="I702" s="245">
        <f t="shared" si="296"/>
        <v>2.4390243902439024</v>
      </c>
      <c r="J702" s="245">
        <f t="shared" si="297"/>
        <v>100</v>
      </c>
    </row>
    <row r="703" spans="1:10" ht="26.25" x14ac:dyDescent="0.25">
      <c r="A703" s="94"/>
      <c r="B703" s="94"/>
      <c r="C703" s="6" t="s">
        <v>256</v>
      </c>
      <c r="D703" s="6"/>
      <c r="E703" s="3" t="s">
        <v>257</v>
      </c>
      <c r="F703" s="67">
        <f t="shared" ref="F703:H703" si="302">F704</f>
        <v>4000</v>
      </c>
      <c r="G703" s="67">
        <f t="shared" si="302"/>
        <v>4000</v>
      </c>
      <c r="H703" s="67">
        <f t="shared" si="302"/>
        <v>0</v>
      </c>
      <c r="I703" s="246">
        <f t="shared" si="296"/>
        <v>0</v>
      </c>
      <c r="J703" s="246">
        <f t="shared" si="297"/>
        <v>100</v>
      </c>
    </row>
    <row r="704" spans="1:10" ht="26.25" x14ac:dyDescent="0.25">
      <c r="A704" s="94"/>
      <c r="B704" s="94"/>
      <c r="C704" s="6"/>
      <c r="D704" s="6" t="s">
        <v>449</v>
      </c>
      <c r="E704" s="3" t="s">
        <v>450</v>
      </c>
      <c r="F704" s="67">
        <f>F705+F706</f>
        <v>4000</v>
      </c>
      <c r="G704" s="67">
        <f t="shared" ref="G704:H704" si="303">G705+G706</f>
        <v>4000</v>
      </c>
      <c r="H704" s="67">
        <f t="shared" si="303"/>
        <v>0</v>
      </c>
      <c r="I704" s="246">
        <f t="shared" si="296"/>
        <v>0</v>
      </c>
      <c r="J704" s="246">
        <f t="shared" si="297"/>
        <v>100</v>
      </c>
    </row>
    <row r="705" spans="1:10" x14ac:dyDescent="0.25">
      <c r="A705" s="94"/>
      <c r="B705" s="94"/>
      <c r="C705" s="6"/>
      <c r="D705" s="6"/>
      <c r="E705" s="3" t="s">
        <v>149</v>
      </c>
      <c r="F705" s="67">
        <v>3000</v>
      </c>
      <c r="G705" s="67">
        <v>3000</v>
      </c>
      <c r="H705" s="67">
        <v>0</v>
      </c>
      <c r="I705" s="246">
        <f t="shared" si="296"/>
        <v>0</v>
      </c>
      <c r="J705" s="246">
        <f t="shared" si="297"/>
        <v>100</v>
      </c>
    </row>
    <row r="706" spans="1:10" x14ac:dyDescent="0.25">
      <c r="A706" s="94"/>
      <c r="B706" s="94"/>
      <c r="C706" s="6"/>
      <c r="D706" s="6"/>
      <c r="E706" s="3" t="s">
        <v>102</v>
      </c>
      <c r="F706" s="67">
        <v>1000</v>
      </c>
      <c r="G706" s="67">
        <v>1000</v>
      </c>
      <c r="H706" s="67">
        <v>0</v>
      </c>
      <c r="I706" s="246">
        <f t="shared" si="296"/>
        <v>0</v>
      </c>
      <c r="J706" s="246">
        <f t="shared" si="297"/>
        <v>100</v>
      </c>
    </row>
    <row r="707" spans="1:10" ht="39" x14ac:dyDescent="0.25">
      <c r="A707" s="94"/>
      <c r="B707" s="94"/>
      <c r="C707" s="6" t="s">
        <v>819</v>
      </c>
      <c r="D707" s="6"/>
      <c r="E707" s="3" t="s">
        <v>820</v>
      </c>
      <c r="F707" s="67">
        <v>100</v>
      </c>
      <c r="G707" s="67">
        <v>100</v>
      </c>
      <c r="H707" s="67">
        <v>100</v>
      </c>
      <c r="I707" s="246">
        <f t="shared" si="296"/>
        <v>100</v>
      </c>
      <c r="J707" s="246">
        <f t="shared" si="297"/>
        <v>100</v>
      </c>
    </row>
    <row r="708" spans="1:10" ht="26.25" x14ac:dyDescent="0.25">
      <c r="A708" s="94"/>
      <c r="B708" s="94"/>
      <c r="C708" s="6"/>
      <c r="D708" s="6" t="s">
        <v>449</v>
      </c>
      <c r="E708" s="3" t="s">
        <v>450</v>
      </c>
      <c r="F708" s="67">
        <v>100</v>
      </c>
      <c r="G708" s="67">
        <v>100</v>
      </c>
      <c r="H708" s="67">
        <v>100</v>
      </c>
      <c r="I708" s="246">
        <f t="shared" si="296"/>
        <v>100</v>
      </c>
      <c r="J708" s="246">
        <f t="shared" si="297"/>
        <v>100</v>
      </c>
    </row>
    <row r="709" spans="1:10" ht="25.5" x14ac:dyDescent="0.25">
      <c r="A709" s="101">
        <v>621</v>
      </c>
      <c r="B709" s="145"/>
      <c r="C709" s="146"/>
      <c r="D709" s="101"/>
      <c r="E709" s="102" t="s">
        <v>613</v>
      </c>
      <c r="F709" s="79">
        <f>F710+F726+F756+F811+F824+F831</f>
        <v>99971.49966999999</v>
      </c>
      <c r="G709" s="79">
        <f>G710+G726+G756+G811+G824+G831</f>
        <v>100233.97128999999</v>
      </c>
      <c r="H709" s="79">
        <f>H710+H726+H756+H811+H824+H831</f>
        <v>100233.95761</v>
      </c>
      <c r="I709" s="242">
        <f t="shared" si="296"/>
        <v>99.999986351932563</v>
      </c>
      <c r="J709" s="242">
        <f t="shared" si="297"/>
        <v>100.26254644660368</v>
      </c>
    </row>
    <row r="710" spans="1:10" x14ac:dyDescent="0.25">
      <c r="A710" s="147"/>
      <c r="B710" s="17" t="s">
        <v>530</v>
      </c>
      <c r="C710" s="104"/>
      <c r="D710" s="103"/>
      <c r="E710" s="98" t="s">
        <v>538</v>
      </c>
      <c r="F710" s="71">
        <f>F711</f>
        <v>96.5</v>
      </c>
      <c r="G710" s="71">
        <f t="shared" ref="G710:H712" si="304">G711</f>
        <v>96.5</v>
      </c>
      <c r="H710" s="71">
        <f t="shared" si="304"/>
        <v>96.5</v>
      </c>
      <c r="I710" s="247">
        <f t="shared" si="296"/>
        <v>100</v>
      </c>
      <c r="J710" s="247">
        <f t="shared" si="297"/>
        <v>100</v>
      </c>
    </row>
    <row r="711" spans="1:10" x14ac:dyDescent="0.25">
      <c r="A711" s="147"/>
      <c r="B711" s="17" t="s">
        <v>535</v>
      </c>
      <c r="C711" s="104"/>
      <c r="D711" s="103"/>
      <c r="E711" s="98" t="s">
        <v>546</v>
      </c>
      <c r="F711" s="71">
        <f>F712</f>
        <v>96.5</v>
      </c>
      <c r="G711" s="71">
        <f t="shared" si="304"/>
        <v>96.5</v>
      </c>
      <c r="H711" s="71">
        <f t="shared" si="304"/>
        <v>96.5</v>
      </c>
      <c r="I711" s="247">
        <f t="shared" si="296"/>
        <v>100</v>
      </c>
      <c r="J711" s="247">
        <f t="shared" si="297"/>
        <v>100</v>
      </c>
    </row>
    <row r="712" spans="1:10" x14ac:dyDescent="0.25">
      <c r="A712" s="148"/>
      <c r="B712" s="17"/>
      <c r="C712" s="104" t="s">
        <v>4</v>
      </c>
      <c r="D712" s="103"/>
      <c r="E712" s="123" t="s">
        <v>5</v>
      </c>
      <c r="F712" s="71">
        <f>F713</f>
        <v>96.5</v>
      </c>
      <c r="G712" s="71">
        <f t="shared" si="304"/>
        <v>96.5</v>
      </c>
      <c r="H712" s="71">
        <f t="shared" si="304"/>
        <v>96.5</v>
      </c>
      <c r="I712" s="247">
        <f t="shared" si="296"/>
        <v>100</v>
      </c>
      <c r="J712" s="247">
        <f t="shared" si="297"/>
        <v>100</v>
      </c>
    </row>
    <row r="713" spans="1:10" ht="25.5" x14ac:dyDescent="0.25">
      <c r="A713" s="106"/>
      <c r="B713" s="107"/>
      <c r="C713" s="108" t="s">
        <v>156</v>
      </c>
      <c r="D713" s="107"/>
      <c r="E713" s="109" t="s">
        <v>157</v>
      </c>
      <c r="F713" s="159">
        <f>F714+F718+F722</f>
        <v>96.5</v>
      </c>
      <c r="G713" s="159">
        <f t="shared" ref="G713:H713" si="305">G714+G718+G722</f>
        <v>96.5</v>
      </c>
      <c r="H713" s="159">
        <f t="shared" si="305"/>
        <v>96.5</v>
      </c>
      <c r="I713" s="257">
        <f t="shared" si="296"/>
        <v>100</v>
      </c>
      <c r="J713" s="257">
        <f t="shared" si="297"/>
        <v>100</v>
      </c>
    </row>
    <row r="714" spans="1:10" ht="26.25" x14ac:dyDescent="0.25">
      <c r="A714" s="30"/>
      <c r="B714" s="30"/>
      <c r="C714" s="30" t="s">
        <v>164</v>
      </c>
      <c r="D714" s="30"/>
      <c r="E714" s="31" t="s">
        <v>165</v>
      </c>
      <c r="F714" s="72">
        <f t="shared" ref="F714:H715" si="306">F715</f>
        <v>10</v>
      </c>
      <c r="G714" s="72">
        <f t="shared" si="306"/>
        <v>10</v>
      </c>
      <c r="H714" s="72">
        <f t="shared" si="306"/>
        <v>10</v>
      </c>
      <c r="I714" s="244">
        <f t="shared" si="296"/>
        <v>100</v>
      </c>
      <c r="J714" s="244">
        <f t="shared" si="297"/>
        <v>100</v>
      </c>
    </row>
    <row r="715" spans="1:10" ht="26.25" x14ac:dyDescent="0.25">
      <c r="A715" s="32"/>
      <c r="B715" s="32"/>
      <c r="C715" s="32" t="s">
        <v>166</v>
      </c>
      <c r="D715" s="32"/>
      <c r="E715" s="33" t="s">
        <v>167</v>
      </c>
      <c r="F715" s="68">
        <f t="shared" si="306"/>
        <v>10</v>
      </c>
      <c r="G715" s="68">
        <f t="shared" si="306"/>
        <v>10</v>
      </c>
      <c r="H715" s="68">
        <f t="shared" si="306"/>
        <v>10</v>
      </c>
      <c r="I715" s="245">
        <f t="shared" si="296"/>
        <v>100</v>
      </c>
      <c r="J715" s="245">
        <f t="shared" si="297"/>
        <v>100</v>
      </c>
    </row>
    <row r="716" spans="1:10" x14ac:dyDescent="0.25">
      <c r="A716" s="94"/>
      <c r="B716" s="94"/>
      <c r="C716" s="6" t="s">
        <v>168</v>
      </c>
      <c r="D716" s="6"/>
      <c r="E716" s="3" t="s">
        <v>505</v>
      </c>
      <c r="F716" s="67">
        <v>10</v>
      </c>
      <c r="G716" s="67">
        <v>10</v>
      </c>
      <c r="H716" s="67">
        <v>10</v>
      </c>
      <c r="I716" s="246">
        <f t="shared" si="296"/>
        <v>100</v>
      </c>
      <c r="J716" s="246">
        <f t="shared" si="297"/>
        <v>100</v>
      </c>
    </row>
    <row r="717" spans="1:10" ht="26.25" x14ac:dyDescent="0.25">
      <c r="A717" s="94"/>
      <c r="B717" s="94"/>
      <c r="C717" s="6"/>
      <c r="D717" s="6" t="s">
        <v>449</v>
      </c>
      <c r="E717" s="3" t="s">
        <v>450</v>
      </c>
      <c r="F717" s="67">
        <v>10</v>
      </c>
      <c r="G717" s="67">
        <v>10</v>
      </c>
      <c r="H717" s="67">
        <v>10</v>
      </c>
      <c r="I717" s="246">
        <f t="shared" si="296"/>
        <v>100</v>
      </c>
      <c r="J717" s="246">
        <f t="shared" si="297"/>
        <v>100</v>
      </c>
    </row>
    <row r="718" spans="1:10" x14ac:dyDescent="0.25">
      <c r="A718" s="30"/>
      <c r="B718" s="30"/>
      <c r="C718" s="30" t="s">
        <v>169</v>
      </c>
      <c r="D718" s="30"/>
      <c r="E718" s="31" t="s">
        <v>170</v>
      </c>
      <c r="F718" s="72">
        <f t="shared" ref="F718:H719" si="307">F719</f>
        <v>26.5</v>
      </c>
      <c r="G718" s="72">
        <f t="shared" si="307"/>
        <v>26.5</v>
      </c>
      <c r="H718" s="72">
        <f t="shared" si="307"/>
        <v>26.5</v>
      </c>
      <c r="I718" s="244">
        <f t="shared" si="296"/>
        <v>100</v>
      </c>
      <c r="J718" s="244">
        <f t="shared" si="297"/>
        <v>100</v>
      </c>
    </row>
    <row r="719" spans="1:10" ht="26.25" x14ac:dyDescent="0.25">
      <c r="A719" s="32"/>
      <c r="B719" s="32"/>
      <c r="C719" s="32" t="s">
        <v>171</v>
      </c>
      <c r="D719" s="32"/>
      <c r="E719" s="33" t="s">
        <v>172</v>
      </c>
      <c r="F719" s="68">
        <f t="shared" si="307"/>
        <v>26.5</v>
      </c>
      <c r="G719" s="68">
        <f t="shared" si="307"/>
        <v>26.5</v>
      </c>
      <c r="H719" s="68">
        <f t="shared" si="307"/>
        <v>26.5</v>
      </c>
      <c r="I719" s="245">
        <f t="shared" si="296"/>
        <v>100</v>
      </c>
      <c r="J719" s="245">
        <f t="shared" si="297"/>
        <v>100</v>
      </c>
    </row>
    <row r="720" spans="1:10" ht="26.25" x14ac:dyDescent="0.25">
      <c r="A720" s="94"/>
      <c r="B720" s="94"/>
      <c r="C720" s="6" t="s">
        <v>173</v>
      </c>
      <c r="D720" s="6"/>
      <c r="E720" s="3" t="s">
        <v>174</v>
      </c>
      <c r="F720" s="77">
        <v>26.5</v>
      </c>
      <c r="G720" s="77">
        <v>26.5</v>
      </c>
      <c r="H720" s="77">
        <v>26.5</v>
      </c>
      <c r="I720" s="248">
        <f t="shared" si="296"/>
        <v>100</v>
      </c>
      <c r="J720" s="248">
        <f t="shared" si="297"/>
        <v>100</v>
      </c>
    </row>
    <row r="721" spans="1:10" ht="26.25" x14ac:dyDescent="0.25">
      <c r="A721" s="94"/>
      <c r="B721" s="94"/>
      <c r="C721" s="6"/>
      <c r="D721" s="6" t="s">
        <v>449</v>
      </c>
      <c r="E721" s="3" t="s">
        <v>450</v>
      </c>
      <c r="F721" s="77">
        <v>26.5</v>
      </c>
      <c r="G721" s="77">
        <v>26.5</v>
      </c>
      <c r="H721" s="77">
        <v>26.5</v>
      </c>
      <c r="I721" s="248">
        <f t="shared" si="296"/>
        <v>100</v>
      </c>
      <c r="J721" s="248">
        <f t="shared" si="297"/>
        <v>100</v>
      </c>
    </row>
    <row r="722" spans="1:10" x14ac:dyDescent="0.25">
      <c r="A722" s="30"/>
      <c r="B722" s="30"/>
      <c r="C722" s="30" t="s">
        <v>418</v>
      </c>
      <c r="D722" s="30"/>
      <c r="E722" s="31" t="s">
        <v>175</v>
      </c>
      <c r="F722" s="72">
        <f t="shared" ref="F722:H723" si="308">F723</f>
        <v>60</v>
      </c>
      <c r="G722" s="72">
        <f t="shared" si="308"/>
        <v>60</v>
      </c>
      <c r="H722" s="72">
        <f t="shared" si="308"/>
        <v>60</v>
      </c>
      <c r="I722" s="244">
        <f t="shared" si="296"/>
        <v>100</v>
      </c>
      <c r="J722" s="244">
        <f t="shared" si="297"/>
        <v>100</v>
      </c>
    </row>
    <row r="723" spans="1:10" ht="26.25" x14ac:dyDescent="0.25">
      <c r="A723" s="32"/>
      <c r="B723" s="32"/>
      <c r="C723" s="32" t="s">
        <v>419</v>
      </c>
      <c r="D723" s="32"/>
      <c r="E723" s="33" t="s">
        <v>176</v>
      </c>
      <c r="F723" s="68">
        <f t="shared" si="308"/>
        <v>60</v>
      </c>
      <c r="G723" s="68">
        <f t="shared" si="308"/>
        <v>60</v>
      </c>
      <c r="H723" s="68">
        <f t="shared" si="308"/>
        <v>60</v>
      </c>
      <c r="I723" s="245">
        <f t="shared" si="296"/>
        <v>100</v>
      </c>
      <c r="J723" s="245">
        <f t="shared" si="297"/>
        <v>100</v>
      </c>
    </row>
    <row r="724" spans="1:10" ht="26.25" x14ac:dyDescent="0.25">
      <c r="A724" s="94"/>
      <c r="B724" s="94"/>
      <c r="C724" s="6" t="s">
        <v>461</v>
      </c>
      <c r="D724" s="6"/>
      <c r="E724" s="3" t="s">
        <v>653</v>
      </c>
      <c r="F724" s="67">
        <v>60</v>
      </c>
      <c r="G724" s="67">
        <v>60</v>
      </c>
      <c r="H724" s="67">
        <v>60</v>
      </c>
      <c r="I724" s="246">
        <f t="shared" si="296"/>
        <v>100</v>
      </c>
      <c r="J724" s="246">
        <f t="shared" si="297"/>
        <v>100</v>
      </c>
    </row>
    <row r="725" spans="1:10" ht="26.25" x14ac:dyDescent="0.25">
      <c r="A725" s="94"/>
      <c r="B725" s="94"/>
      <c r="C725" s="6"/>
      <c r="D725" s="6" t="s">
        <v>449</v>
      </c>
      <c r="E725" s="3" t="s">
        <v>450</v>
      </c>
      <c r="F725" s="67">
        <v>60</v>
      </c>
      <c r="G725" s="67">
        <v>60</v>
      </c>
      <c r="H725" s="67">
        <v>60</v>
      </c>
      <c r="I725" s="246">
        <f t="shared" si="296"/>
        <v>100</v>
      </c>
      <c r="J725" s="246">
        <f t="shared" si="297"/>
        <v>100</v>
      </c>
    </row>
    <row r="726" spans="1:10" x14ac:dyDescent="0.25">
      <c r="A726" s="148"/>
      <c r="B726" s="17" t="s">
        <v>581</v>
      </c>
      <c r="C726" s="104"/>
      <c r="D726" s="103"/>
      <c r="E726" s="98" t="s">
        <v>582</v>
      </c>
      <c r="F726" s="71">
        <f>F727+F734+F745</f>
        <v>19869.3</v>
      </c>
      <c r="G726" s="71">
        <f t="shared" ref="G726:H726" si="309">G727+G734+G745</f>
        <v>19981.7</v>
      </c>
      <c r="H726" s="71">
        <f t="shared" si="309"/>
        <v>19981.7</v>
      </c>
      <c r="I726" s="247">
        <f t="shared" si="296"/>
        <v>100</v>
      </c>
      <c r="J726" s="247">
        <f t="shared" si="297"/>
        <v>100.56569682877605</v>
      </c>
    </row>
    <row r="727" spans="1:10" x14ac:dyDescent="0.25">
      <c r="A727" s="148"/>
      <c r="B727" s="17" t="s">
        <v>604</v>
      </c>
      <c r="C727" s="104"/>
      <c r="D727" s="103"/>
      <c r="E727" s="98" t="s">
        <v>605</v>
      </c>
      <c r="F727" s="71">
        <f t="shared" ref="F727:H732" si="310">F728</f>
        <v>19445.100000000002</v>
      </c>
      <c r="G727" s="71">
        <f t="shared" si="310"/>
        <v>19445.100000000002</v>
      </c>
      <c r="H727" s="71">
        <f t="shared" si="310"/>
        <v>19445.100000000002</v>
      </c>
      <c r="I727" s="247">
        <f t="shared" si="296"/>
        <v>100</v>
      </c>
      <c r="J727" s="247">
        <f t="shared" si="297"/>
        <v>100</v>
      </c>
    </row>
    <row r="728" spans="1:10" x14ac:dyDescent="0.25">
      <c r="A728" s="148"/>
      <c r="B728" s="17"/>
      <c r="C728" s="104" t="s">
        <v>4</v>
      </c>
      <c r="D728" s="17"/>
      <c r="E728" s="123" t="s">
        <v>5</v>
      </c>
      <c r="F728" s="71">
        <f t="shared" si="310"/>
        <v>19445.100000000002</v>
      </c>
      <c r="G728" s="71">
        <f t="shared" si="310"/>
        <v>19445.100000000002</v>
      </c>
      <c r="H728" s="71">
        <f t="shared" si="310"/>
        <v>19445.100000000002</v>
      </c>
      <c r="I728" s="247">
        <f t="shared" si="296"/>
        <v>100</v>
      </c>
      <c r="J728" s="247">
        <f t="shared" si="297"/>
        <v>100</v>
      </c>
    </row>
    <row r="729" spans="1:10" ht="25.5" x14ac:dyDescent="0.25">
      <c r="A729" s="106"/>
      <c r="B729" s="107"/>
      <c r="C729" s="108" t="s">
        <v>203</v>
      </c>
      <c r="D729" s="107"/>
      <c r="E729" s="109" t="s">
        <v>204</v>
      </c>
      <c r="F729" s="159">
        <f t="shared" si="310"/>
        <v>19445.100000000002</v>
      </c>
      <c r="G729" s="159">
        <f t="shared" si="310"/>
        <v>19445.100000000002</v>
      </c>
      <c r="H729" s="159">
        <f t="shared" si="310"/>
        <v>19445.100000000002</v>
      </c>
      <c r="I729" s="257">
        <f t="shared" si="296"/>
        <v>100</v>
      </c>
      <c r="J729" s="257">
        <f t="shared" si="297"/>
        <v>100</v>
      </c>
    </row>
    <row r="730" spans="1:10" ht="26.25" x14ac:dyDescent="0.25">
      <c r="A730" s="30"/>
      <c r="B730" s="30"/>
      <c r="C730" s="30" t="s">
        <v>205</v>
      </c>
      <c r="D730" s="30"/>
      <c r="E730" s="31" t="s">
        <v>206</v>
      </c>
      <c r="F730" s="72">
        <f t="shared" si="310"/>
        <v>19445.100000000002</v>
      </c>
      <c r="G730" s="72">
        <f t="shared" si="310"/>
        <v>19445.100000000002</v>
      </c>
      <c r="H730" s="72">
        <f t="shared" si="310"/>
        <v>19445.100000000002</v>
      </c>
      <c r="I730" s="244">
        <f t="shared" si="296"/>
        <v>100</v>
      </c>
      <c r="J730" s="244">
        <f t="shared" si="297"/>
        <v>100</v>
      </c>
    </row>
    <row r="731" spans="1:10" ht="26.25" x14ac:dyDescent="0.25">
      <c r="A731" s="32"/>
      <c r="B731" s="32"/>
      <c r="C731" s="32" t="s">
        <v>218</v>
      </c>
      <c r="D731" s="32"/>
      <c r="E731" s="33" t="s">
        <v>219</v>
      </c>
      <c r="F731" s="68">
        <f t="shared" si="310"/>
        <v>19445.100000000002</v>
      </c>
      <c r="G731" s="68">
        <f t="shared" si="310"/>
        <v>19445.100000000002</v>
      </c>
      <c r="H731" s="68">
        <f t="shared" si="310"/>
        <v>19445.100000000002</v>
      </c>
      <c r="I731" s="245">
        <f t="shared" si="296"/>
        <v>100</v>
      </c>
      <c r="J731" s="245">
        <f t="shared" si="297"/>
        <v>100</v>
      </c>
    </row>
    <row r="732" spans="1:10" x14ac:dyDescent="0.25">
      <c r="A732" s="94"/>
      <c r="B732" s="94"/>
      <c r="C732" s="6" t="s">
        <v>220</v>
      </c>
      <c r="D732" s="6"/>
      <c r="E732" s="8" t="s">
        <v>423</v>
      </c>
      <c r="F732" s="67">
        <f t="shared" si="310"/>
        <v>19445.100000000002</v>
      </c>
      <c r="G732" s="67">
        <f t="shared" si="310"/>
        <v>19445.100000000002</v>
      </c>
      <c r="H732" s="67">
        <f t="shared" si="310"/>
        <v>19445.100000000002</v>
      </c>
      <c r="I732" s="246">
        <f t="shared" si="296"/>
        <v>100</v>
      </c>
      <c r="J732" s="246">
        <f t="shared" si="297"/>
        <v>100</v>
      </c>
    </row>
    <row r="733" spans="1:10" ht="26.25" x14ac:dyDescent="0.25">
      <c r="A733" s="94"/>
      <c r="B733" s="94"/>
      <c r="C733" s="6"/>
      <c r="D733" s="6" t="s">
        <v>449</v>
      </c>
      <c r="E733" s="3" t="s">
        <v>450</v>
      </c>
      <c r="F733" s="67">
        <f>19464.2-19.1</f>
        <v>19445.100000000002</v>
      </c>
      <c r="G733" s="67">
        <f t="shared" ref="G733:H733" si="311">19464.2-19.1</f>
        <v>19445.100000000002</v>
      </c>
      <c r="H733" s="67">
        <f t="shared" si="311"/>
        <v>19445.100000000002</v>
      </c>
      <c r="I733" s="246">
        <f t="shared" si="296"/>
        <v>100</v>
      </c>
      <c r="J733" s="246">
        <f t="shared" si="297"/>
        <v>100</v>
      </c>
    </row>
    <row r="734" spans="1:10" x14ac:dyDescent="0.25">
      <c r="A734" s="147"/>
      <c r="B734" s="17" t="s">
        <v>606</v>
      </c>
      <c r="C734" s="104"/>
      <c r="D734" s="17"/>
      <c r="E734" s="98" t="s">
        <v>607</v>
      </c>
      <c r="F734" s="71">
        <f t="shared" ref="F734:H735" si="312">F735</f>
        <v>291.60000000000002</v>
      </c>
      <c r="G734" s="71">
        <f t="shared" si="312"/>
        <v>391.6</v>
      </c>
      <c r="H734" s="71">
        <f t="shared" si="312"/>
        <v>391.6</v>
      </c>
      <c r="I734" s="247">
        <f t="shared" si="296"/>
        <v>100</v>
      </c>
      <c r="J734" s="247">
        <f t="shared" si="297"/>
        <v>134.29355281207134</v>
      </c>
    </row>
    <row r="735" spans="1:10" x14ac:dyDescent="0.25">
      <c r="A735" s="147"/>
      <c r="B735" s="17"/>
      <c r="C735" s="104" t="s">
        <v>4</v>
      </c>
      <c r="D735" s="17"/>
      <c r="E735" s="123" t="s">
        <v>5</v>
      </c>
      <c r="F735" s="71">
        <f t="shared" si="312"/>
        <v>291.60000000000002</v>
      </c>
      <c r="G735" s="71">
        <f t="shared" si="312"/>
        <v>391.6</v>
      </c>
      <c r="H735" s="71">
        <f t="shared" si="312"/>
        <v>391.6</v>
      </c>
      <c r="I735" s="247">
        <f t="shared" si="296"/>
        <v>100</v>
      </c>
      <c r="J735" s="247">
        <f t="shared" si="297"/>
        <v>134.29355281207134</v>
      </c>
    </row>
    <row r="736" spans="1:10" ht="25.5" x14ac:dyDescent="0.25">
      <c r="A736" s="106"/>
      <c r="B736" s="107"/>
      <c r="C736" s="108" t="s">
        <v>203</v>
      </c>
      <c r="D736" s="107"/>
      <c r="E736" s="109" t="s">
        <v>204</v>
      </c>
      <c r="F736" s="159">
        <f t="shared" ref="F736:H737" si="313">F737</f>
        <v>291.60000000000002</v>
      </c>
      <c r="G736" s="159">
        <f t="shared" si="313"/>
        <v>391.6</v>
      </c>
      <c r="H736" s="159">
        <f t="shared" si="313"/>
        <v>391.6</v>
      </c>
      <c r="I736" s="257">
        <f t="shared" si="296"/>
        <v>100</v>
      </c>
      <c r="J736" s="257">
        <f t="shared" si="297"/>
        <v>134.29355281207134</v>
      </c>
    </row>
    <row r="737" spans="1:10" x14ac:dyDescent="0.25">
      <c r="A737" s="30"/>
      <c r="B737" s="30"/>
      <c r="C737" s="30" t="s">
        <v>235</v>
      </c>
      <c r="D737" s="30"/>
      <c r="E737" s="31" t="s">
        <v>236</v>
      </c>
      <c r="F737" s="72">
        <f t="shared" si="313"/>
        <v>291.60000000000002</v>
      </c>
      <c r="G737" s="72">
        <f t="shared" si="313"/>
        <v>391.6</v>
      </c>
      <c r="H737" s="72">
        <f t="shared" si="313"/>
        <v>391.6</v>
      </c>
      <c r="I737" s="244">
        <f t="shared" si="296"/>
        <v>100</v>
      </c>
      <c r="J737" s="244">
        <f t="shared" si="297"/>
        <v>134.29355281207134</v>
      </c>
    </row>
    <row r="738" spans="1:10" x14ac:dyDescent="0.25">
      <c r="A738" s="32"/>
      <c r="B738" s="32"/>
      <c r="C738" s="32" t="s">
        <v>237</v>
      </c>
      <c r="D738" s="32"/>
      <c r="E738" s="33" t="s">
        <v>238</v>
      </c>
      <c r="F738" s="68">
        <f>F739+F741</f>
        <v>291.60000000000002</v>
      </c>
      <c r="G738" s="68">
        <f t="shared" ref="G738:H738" si="314">G739+G741</f>
        <v>391.6</v>
      </c>
      <c r="H738" s="68">
        <f t="shared" si="314"/>
        <v>391.6</v>
      </c>
      <c r="I738" s="245">
        <f t="shared" si="296"/>
        <v>100</v>
      </c>
      <c r="J738" s="245">
        <f t="shared" si="297"/>
        <v>134.29355281207134</v>
      </c>
    </row>
    <row r="739" spans="1:10" ht="64.5" x14ac:dyDescent="0.25">
      <c r="A739" s="94"/>
      <c r="B739" s="94"/>
      <c r="C739" s="6" t="s">
        <v>239</v>
      </c>
      <c r="D739" s="6"/>
      <c r="E739" s="3" t="s">
        <v>240</v>
      </c>
      <c r="F739" s="67">
        <f>F740</f>
        <v>225.1</v>
      </c>
      <c r="G739" s="67">
        <f t="shared" ref="G739:H739" si="315">G740</f>
        <v>225.1</v>
      </c>
      <c r="H739" s="67">
        <f t="shared" si="315"/>
        <v>225.1</v>
      </c>
      <c r="I739" s="246">
        <f t="shared" si="296"/>
        <v>100</v>
      </c>
      <c r="J739" s="246">
        <f t="shared" si="297"/>
        <v>100</v>
      </c>
    </row>
    <row r="740" spans="1:10" ht="26.25" x14ac:dyDescent="0.25">
      <c r="A740" s="94"/>
      <c r="B740" s="94"/>
      <c r="C740" s="6"/>
      <c r="D740" s="6" t="s">
        <v>449</v>
      </c>
      <c r="E740" s="3" t="s">
        <v>450</v>
      </c>
      <c r="F740" s="67">
        <f>237-11.9</f>
        <v>225.1</v>
      </c>
      <c r="G740" s="67">
        <f t="shared" ref="G740:H740" si="316">237-11.9</f>
        <v>225.1</v>
      </c>
      <c r="H740" s="67">
        <f t="shared" si="316"/>
        <v>225.1</v>
      </c>
      <c r="I740" s="246">
        <f t="shared" si="296"/>
        <v>100</v>
      </c>
      <c r="J740" s="246">
        <f t="shared" si="297"/>
        <v>100</v>
      </c>
    </row>
    <row r="741" spans="1:10" x14ac:dyDescent="0.25">
      <c r="A741" s="94"/>
      <c r="B741" s="94"/>
      <c r="C741" s="16" t="s">
        <v>241</v>
      </c>
      <c r="D741" s="16"/>
      <c r="E741" s="1" t="s">
        <v>242</v>
      </c>
      <c r="F741" s="67">
        <f>F742</f>
        <v>66.5</v>
      </c>
      <c r="G741" s="67">
        <f t="shared" ref="G741:H741" si="317">G742</f>
        <v>166.5</v>
      </c>
      <c r="H741" s="67">
        <f t="shared" si="317"/>
        <v>166.5</v>
      </c>
      <c r="I741" s="246">
        <f t="shared" si="296"/>
        <v>100</v>
      </c>
      <c r="J741" s="246">
        <f t="shared" si="297"/>
        <v>250.37593984962405</v>
      </c>
    </row>
    <row r="742" spans="1:10" ht="26.25" x14ac:dyDescent="0.25">
      <c r="A742" s="94"/>
      <c r="B742" s="94"/>
      <c r="C742" s="16"/>
      <c r="D742" s="6" t="s">
        <v>449</v>
      </c>
      <c r="E742" s="3" t="s">
        <v>450</v>
      </c>
      <c r="F742" s="67">
        <f>F744</f>
        <v>66.5</v>
      </c>
      <c r="G742" s="67">
        <f>G744+G743</f>
        <v>166.5</v>
      </c>
      <c r="H742" s="67">
        <f>H744+H743</f>
        <v>166.5</v>
      </c>
      <c r="I742" s="246">
        <f t="shared" si="296"/>
        <v>100</v>
      </c>
      <c r="J742" s="246">
        <f t="shared" si="297"/>
        <v>250.37593984962405</v>
      </c>
    </row>
    <row r="743" spans="1:10" x14ac:dyDescent="0.25">
      <c r="A743" s="94"/>
      <c r="B743" s="94"/>
      <c r="C743" s="6"/>
      <c r="D743" s="6"/>
      <c r="E743" s="1" t="s">
        <v>182</v>
      </c>
      <c r="F743" s="67">
        <v>0</v>
      </c>
      <c r="G743" s="67">
        <v>100</v>
      </c>
      <c r="H743" s="67">
        <v>100</v>
      </c>
      <c r="I743" s="246">
        <f t="shared" si="296"/>
        <v>100</v>
      </c>
      <c r="J743" s="246"/>
    </row>
    <row r="744" spans="1:10" x14ac:dyDescent="0.25">
      <c r="A744" s="94"/>
      <c r="B744" s="94"/>
      <c r="C744" s="6"/>
      <c r="D744" s="6"/>
      <c r="E744" s="1" t="s">
        <v>146</v>
      </c>
      <c r="F744" s="67">
        <f>70-3.5</f>
        <v>66.5</v>
      </c>
      <c r="G744" s="67">
        <f t="shared" ref="G744:H744" si="318">70-3.5</f>
        <v>66.5</v>
      </c>
      <c r="H744" s="67">
        <f t="shared" si="318"/>
        <v>66.5</v>
      </c>
      <c r="I744" s="246">
        <f t="shared" si="296"/>
        <v>100</v>
      </c>
      <c r="J744" s="246">
        <f t="shared" si="297"/>
        <v>100</v>
      </c>
    </row>
    <row r="745" spans="1:10" x14ac:dyDescent="0.25">
      <c r="A745" s="147"/>
      <c r="B745" s="17" t="s">
        <v>608</v>
      </c>
      <c r="C745" s="104"/>
      <c r="D745" s="17"/>
      <c r="E745" s="123" t="s">
        <v>609</v>
      </c>
      <c r="F745" s="71">
        <f t="shared" ref="F745:H747" si="319">F746</f>
        <v>132.6</v>
      </c>
      <c r="G745" s="71">
        <f t="shared" si="319"/>
        <v>145</v>
      </c>
      <c r="H745" s="71">
        <f t="shared" si="319"/>
        <v>145</v>
      </c>
      <c r="I745" s="247">
        <f t="shared" si="296"/>
        <v>100</v>
      </c>
      <c r="J745" s="247">
        <f t="shared" si="297"/>
        <v>109.35143288084465</v>
      </c>
    </row>
    <row r="746" spans="1:10" x14ac:dyDescent="0.25">
      <c r="A746" s="147"/>
      <c r="B746" s="17"/>
      <c r="C746" s="104" t="s">
        <v>4</v>
      </c>
      <c r="D746" s="17"/>
      <c r="E746" s="123" t="s">
        <v>5</v>
      </c>
      <c r="F746" s="71">
        <f t="shared" si="319"/>
        <v>132.6</v>
      </c>
      <c r="G746" s="71">
        <f t="shared" si="319"/>
        <v>145</v>
      </c>
      <c r="H746" s="71">
        <f t="shared" si="319"/>
        <v>145</v>
      </c>
      <c r="I746" s="247">
        <f t="shared" si="296"/>
        <v>100</v>
      </c>
      <c r="J746" s="247">
        <f t="shared" si="297"/>
        <v>109.35143288084465</v>
      </c>
    </row>
    <row r="747" spans="1:10" ht="25.5" x14ac:dyDescent="0.25">
      <c r="A747" s="106"/>
      <c r="B747" s="107"/>
      <c r="C747" s="108" t="s">
        <v>55</v>
      </c>
      <c r="D747" s="107"/>
      <c r="E747" s="109" t="s">
        <v>56</v>
      </c>
      <c r="F747" s="159">
        <f t="shared" si="319"/>
        <v>132.6</v>
      </c>
      <c r="G747" s="159">
        <f>G748+G752</f>
        <v>145</v>
      </c>
      <c r="H747" s="159">
        <f>H748+H752</f>
        <v>145</v>
      </c>
      <c r="I747" s="257">
        <f t="shared" ref="I747:I804" si="320">H747/G747*100</f>
        <v>100</v>
      </c>
      <c r="J747" s="257">
        <f t="shared" ref="J747:J804" si="321">G747/F747*100</f>
        <v>109.35143288084465</v>
      </c>
    </row>
    <row r="748" spans="1:10" x14ac:dyDescent="0.25">
      <c r="A748" s="30"/>
      <c r="B748" s="30"/>
      <c r="C748" s="30" t="s">
        <v>118</v>
      </c>
      <c r="D748" s="30"/>
      <c r="E748" s="34" t="s">
        <v>119</v>
      </c>
      <c r="F748" s="72">
        <f t="shared" ref="F748:H750" si="322">F749</f>
        <v>132.6</v>
      </c>
      <c r="G748" s="72">
        <f t="shared" si="322"/>
        <v>135</v>
      </c>
      <c r="H748" s="72">
        <f t="shared" si="322"/>
        <v>135</v>
      </c>
      <c r="I748" s="244">
        <f t="shared" si="320"/>
        <v>100</v>
      </c>
      <c r="J748" s="244">
        <f t="shared" si="321"/>
        <v>101.80995475113122</v>
      </c>
    </row>
    <row r="749" spans="1:10" ht="26.25" x14ac:dyDescent="0.25">
      <c r="A749" s="32"/>
      <c r="B749" s="32"/>
      <c r="C749" s="32" t="s">
        <v>120</v>
      </c>
      <c r="D749" s="32"/>
      <c r="E749" s="33" t="s">
        <v>121</v>
      </c>
      <c r="F749" s="68">
        <f>F750</f>
        <v>132.6</v>
      </c>
      <c r="G749" s="68">
        <f t="shared" si="322"/>
        <v>135</v>
      </c>
      <c r="H749" s="68">
        <f t="shared" si="322"/>
        <v>135</v>
      </c>
      <c r="I749" s="245">
        <f t="shared" si="320"/>
        <v>100</v>
      </c>
      <c r="J749" s="245">
        <f t="shared" si="321"/>
        <v>101.80995475113122</v>
      </c>
    </row>
    <row r="750" spans="1:10" ht="26.25" x14ac:dyDescent="0.25">
      <c r="A750" s="94"/>
      <c r="B750" s="94"/>
      <c r="C750" s="6" t="s">
        <v>124</v>
      </c>
      <c r="D750" s="6"/>
      <c r="E750" s="3" t="s">
        <v>125</v>
      </c>
      <c r="F750" s="67">
        <f>F751</f>
        <v>132.6</v>
      </c>
      <c r="G750" s="67">
        <f t="shared" si="322"/>
        <v>135</v>
      </c>
      <c r="H750" s="67">
        <f t="shared" si="322"/>
        <v>135</v>
      </c>
      <c r="I750" s="246">
        <f t="shared" si="320"/>
        <v>100</v>
      </c>
      <c r="J750" s="246">
        <f t="shared" si="321"/>
        <v>101.80995475113122</v>
      </c>
    </row>
    <row r="751" spans="1:10" ht="26.25" x14ac:dyDescent="0.25">
      <c r="A751" s="94"/>
      <c r="B751" s="94"/>
      <c r="C751" s="6"/>
      <c r="D751" s="6" t="s">
        <v>449</v>
      </c>
      <c r="E751" s="3" t="s">
        <v>450</v>
      </c>
      <c r="F751" s="67">
        <v>132.6</v>
      </c>
      <c r="G751" s="67">
        <v>135</v>
      </c>
      <c r="H751" s="67">
        <v>135</v>
      </c>
      <c r="I751" s="246">
        <f t="shared" si="320"/>
        <v>100</v>
      </c>
      <c r="J751" s="246">
        <f t="shared" si="321"/>
        <v>101.80995475113122</v>
      </c>
    </row>
    <row r="752" spans="1:10" ht="25.5" x14ac:dyDescent="0.25">
      <c r="A752" s="30"/>
      <c r="B752" s="30"/>
      <c r="C752" s="30" t="s">
        <v>855</v>
      </c>
      <c r="D752" s="30"/>
      <c r="E752" s="238" t="s">
        <v>856</v>
      </c>
      <c r="F752" s="72">
        <f t="shared" ref="F752:H753" si="323">F753</f>
        <v>0</v>
      </c>
      <c r="G752" s="72">
        <f t="shared" si="323"/>
        <v>10</v>
      </c>
      <c r="H752" s="72">
        <f t="shared" si="323"/>
        <v>10</v>
      </c>
      <c r="I752" s="244">
        <f t="shared" si="320"/>
        <v>100</v>
      </c>
      <c r="J752" s="244"/>
    </row>
    <row r="753" spans="1:10" ht="31.5" customHeight="1" x14ac:dyDescent="0.25">
      <c r="A753" s="32"/>
      <c r="B753" s="32"/>
      <c r="C753" s="32" t="s">
        <v>857</v>
      </c>
      <c r="D753" s="32"/>
      <c r="E753" s="33" t="s">
        <v>858</v>
      </c>
      <c r="F753" s="68">
        <f t="shared" si="323"/>
        <v>0</v>
      </c>
      <c r="G753" s="68">
        <f t="shared" si="323"/>
        <v>10</v>
      </c>
      <c r="H753" s="68">
        <f t="shared" si="323"/>
        <v>10</v>
      </c>
      <c r="I753" s="245">
        <f t="shared" si="320"/>
        <v>100</v>
      </c>
      <c r="J753" s="245"/>
    </row>
    <row r="754" spans="1:10" ht="29.25" customHeight="1" x14ac:dyDescent="0.25">
      <c r="A754" s="94"/>
      <c r="B754" s="94"/>
      <c r="C754" s="6" t="s">
        <v>859</v>
      </c>
      <c r="D754" s="6"/>
      <c r="E754" s="3" t="s">
        <v>858</v>
      </c>
      <c r="F754" s="67">
        <v>0</v>
      </c>
      <c r="G754" s="67">
        <v>10</v>
      </c>
      <c r="H754" s="67">
        <v>10</v>
      </c>
      <c r="I754" s="246">
        <f t="shared" si="320"/>
        <v>100</v>
      </c>
      <c r="J754" s="246"/>
    </row>
    <row r="755" spans="1:10" ht="26.25" x14ac:dyDescent="0.25">
      <c r="A755" s="94"/>
      <c r="B755" s="94"/>
      <c r="C755" s="6"/>
      <c r="D755" s="6" t="s">
        <v>449</v>
      </c>
      <c r="E755" s="3" t="s">
        <v>450</v>
      </c>
      <c r="F755" s="67">
        <v>0</v>
      </c>
      <c r="G755" s="67">
        <v>10</v>
      </c>
      <c r="H755" s="67">
        <v>10</v>
      </c>
      <c r="I755" s="246">
        <f t="shared" si="320"/>
        <v>100</v>
      </c>
      <c r="J755" s="246"/>
    </row>
    <row r="756" spans="1:10" x14ac:dyDescent="0.25">
      <c r="A756" s="103"/>
      <c r="B756" s="17" t="s">
        <v>585</v>
      </c>
      <c r="C756" s="104"/>
      <c r="D756" s="103"/>
      <c r="E756" s="98" t="s">
        <v>586</v>
      </c>
      <c r="F756" s="71">
        <f>F757+F787</f>
        <v>78124.452629999985</v>
      </c>
      <c r="G756" s="71">
        <f>G757+G787</f>
        <v>78196.436949999988</v>
      </c>
      <c r="H756" s="71">
        <f>H757+H787</f>
        <v>78196.423269999999</v>
      </c>
      <c r="I756" s="247">
        <f t="shared" si="320"/>
        <v>99.999982505596776</v>
      </c>
      <c r="J756" s="247">
        <f t="shared" si="321"/>
        <v>100.09214057516785</v>
      </c>
    </row>
    <row r="757" spans="1:10" x14ac:dyDescent="0.25">
      <c r="A757" s="65"/>
      <c r="B757" s="17" t="s">
        <v>614</v>
      </c>
      <c r="C757" s="104"/>
      <c r="D757" s="103"/>
      <c r="E757" s="98" t="s">
        <v>587</v>
      </c>
      <c r="F757" s="71">
        <f t="shared" ref="F757:H759" si="324">F758</f>
        <v>72976.052629999991</v>
      </c>
      <c r="G757" s="71">
        <f t="shared" si="324"/>
        <v>73028.684209999992</v>
      </c>
      <c r="H757" s="71">
        <f t="shared" si="324"/>
        <v>73028.670809999996</v>
      </c>
      <c r="I757" s="247">
        <f t="shared" si="320"/>
        <v>99.999981651045559</v>
      </c>
      <c r="J757" s="247">
        <f t="shared" si="321"/>
        <v>100.07212171404618</v>
      </c>
    </row>
    <row r="758" spans="1:10" x14ac:dyDescent="0.25">
      <c r="A758" s="65"/>
      <c r="B758" s="17"/>
      <c r="C758" s="104" t="s">
        <v>4</v>
      </c>
      <c r="D758" s="17"/>
      <c r="E758" s="123" t="s">
        <v>5</v>
      </c>
      <c r="F758" s="71">
        <f t="shared" si="324"/>
        <v>72976.052629999991</v>
      </c>
      <c r="G758" s="71">
        <f t="shared" si="324"/>
        <v>73028.684209999992</v>
      </c>
      <c r="H758" s="71">
        <f t="shared" si="324"/>
        <v>73028.670809999996</v>
      </c>
      <c r="I758" s="247">
        <f t="shared" si="320"/>
        <v>99.999981651045559</v>
      </c>
      <c r="J758" s="247">
        <f t="shared" si="321"/>
        <v>100.07212171404618</v>
      </c>
    </row>
    <row r="759" spans="1:10" ht="25.5" x14ac:dyDescent="0.25">
      <c r="A759" s="106"/>
      <c r="B759" s="107"/>
      <c r="C759" s="108" t="s">
        <v>203</v>
      </c>
      <c r="D759" s="107"/>
      <c r="E759" s="109" t="s">
        <v>204</v>
      </c>
      <c r="F759" s="159">
        <f>F760</f>
        <v>72976.052629999991</v>
      </c>
      <c r="G759" s="159">
        <f t="shared" si="324"/>
        <v>73028.684209999992</v>
      </c>
      <c r="H759" s="159">
        <f t="shared" si="324"/>
        <v>73028.670809999996</v>
      </c>
      <c r="I759" s="257">
        <f t="shared" si="320"/>
        <v>99.999981651045559</v>
      </c>
      <c r="J759" s="257">
        <f t="shared" si="321"/>
        <v>100.07212171404618</v>
      </c>
    </row>
    <row r="760" spans="1:10" ht="26.25" x14ac:dyDescent="0.25">
      <c r="A760" s="30"/>
      <c r="B760" s="30"/>
      <c r="C760" s="30" t="s">
        <v>205</v>
      </c>
      <c r="D760" s="30"/>
      <c r="E760" s="31" t="s">
        <v>206</v>
      </c>
      <c r="F760" s="72">
        <f>F761+F764+F769+F772+F781</f>
        <v>72976.052629999991</v>
      </c>
      <c r="G760" s="72">
        <f>G761+G764+G769+G772+G781</f>
        <v>73028.684209999992</v>
      </c>
      <c r="H760" s="72">
        <f>H761+H764+H769+H772+H781</f>
        <v>73028.670809999996</v>
      </c>
      <c r="I760" s="244">
        <f t="shared" si="320"/>
        <v>99.999981651045559</v>
      </c>
      <c r="J760" s="244">
        <f t="shared" si="321"/>
        <v>100.07212171404618</v>
      </c>
    </row>
    <row r="761" spans="1:10" ht="39" x14ac:dyDescent="0.25">
      <c r="A761" s="32"/>
      <c r="B761" s="32"/>
      <c r="C761" s="32" t="s">
        <v>207</v>
      </c>
      <c r="D761" s="32"/>
      <c r="E761" s="33" t="s">
        <v>208</v>
      </c>
      <c r="F761" s="68">
        <f t="shared" ref="F761:H762" si="325">F762</f>
        <v>47452.899999999994</v>
      </c>
      <c r="G761" s="68">
        <f t="shared" si="325"/>
        <v>47452.899999999994</v>
      </c>
      <c r="H761" s="68">
        <f t="shared" si="325"/>
        <v>47452.899999999994</v>
      </c>
      <c r="I761" s="245">
        <f t="shared" si="320"/>
        <v>100</v>
      </c>
      <c r="J761" s="245">
        <f t="shared" si="321"/>
        <v>100</v>
      </c>
    </row>
    <row r="762" spans="1:10" x14ac:dyDescent="0.25">
      <c r="A762" s="6"/>
      <c r="B762" s="6"/>
      <c r="C762" s="6" t="s">
        <v>209</v>
      </c>
      <c r="D762" s="6"/>
      <c r="E762" s="8" t="s">
        <v>420</v>
      </c>
      <c r="F762" s="67">
        <f t="shared" si="325"/>
        <v>47452.899999999994</v>
      </c>
      <c r="G762" s="67">
        <f t="shared" si="325"/>
        <v>47452.899999999994</v>
      </c>
      <c r="H762" s="67">
        <f t="shared" si="325"/>
        <v>47452.899999999994</v>
      </c>
      <c r="I762" s="246">
        <f t="shared" si="320"/>
        <v>100</v>
      </c>
      <c r="J762" s="246">
        <f t="shared" si="321"/>
        <v>100</v>
      </c>
    </row>
    <row r="763" spans="1:10" ht="26.25" x14ac:dyDescent="0.25">
      <c r="A763" s="6"/>
      <c r="B763" s="6"/>
      <c r="C763" s="6"/>
      <c r="D763" s="6" t="s">
        <v>449</v>
      </c>
      <c r="E763" s="3" t="s">
        <v>450</v>
      </c>
      <c r="F763" s="67">
        <v>47452.899999999994</v>
      </c>
      <c r="G763" s="67">
        <v>47452.899999999994</v>
      </c>
      <c r="H763" s="67">
        <v>47452.899999999994</v>
      </c>
      <c r="I763" s="246">
        <f t="shared" si="320"/>
        <v>100</v>
      </c>
      <c r="J763" s="246">
        <f t="shared" si="321"/>
        <v>100</v>
      </c>
    </row>
    <row r="764" spans="1:10" x14ac:dyDescent="0.25">
      <c r="A764" s="32"/>
      <c r="B764" s="32"/>
      <c r="C764" s="32" t="s">
        <v>210</v>
      </c>
      <c r="D764" s="32"/>
      <c r="E764" s="33" t="s">
        <v>211</v>
      </c>
      <c r="F764" s="68">
        <f>F765+F767</f>
        <v>21828.7</v>
      </c>
      <c r="G764" s="68">
        <f t="shared" ref="G764:H764" si="326">G765+G767</f>
        <v>21828.7</v>
      </c>
      <c r="H764" s="68">
        <f t="shared" si="326"/>
        <v>21828.686600000001</v>
      </c>
      <c r="I764" s="245">
        <f t="shared" si="320"/>
        <v>99.999938612927025</v>
      </c>
      <c r="J764" s="245">
        <f t="shared" si="321"/>
        <v>100</v>
      </c>
    </row>
    <row r="765" spans="1:10" ht="26.25" x14ac:dyDescent="0.25">
      <c r="A765" s="6"/>
      <c r="B765" s="6"/>
      <c r="C765" s="6" t="s">
        <v>212</v>
      </c>
      <c r="D765" s="6"/>
      <c r="E765" s="8" t="s">
        <v>421</v>
      </c>
      <c r="F765" s="67">
        <f>F766</f>
        <v>21328.7</v>
      </c>
      <c r="G765" s="67">
        <f t="shared" ref="G765:H765" si="327">G766</f>
        <v>21328.7</v>
      </c>
      <c r="H765" s="67">
        <f t="shared" si="327"/>
        <v>21328.7</v>
      </c>
      <c r="I765" s="246">
        <f t="shared" si="320"/>
        <v>100</v>
      </c>
      <c r="J765" s="246">
        <f t="shared" si="321"/>
        <v>100</v>
      </c>
    </row>
    <row r="766" spans="1:10" ht="26.25" x14ac:dyDescent="0.25">
      <c r="A766" s="6"/>
      <c r="B766" s="6"/>
      <c r="C766" s="6"/>
      <c r="D766" s="6" t="s">
        <v>449</v>
      </c>
      <c r="E766" s="3" t="s">
        <v>450</v>
      </c>
      <c r="F766" s="67">
        <f>18743-113.2+2698.9</f>
        <v>21328.7</v>
      </c>
      <c r="G766" s="67">
        <f t="shared" ref="G766:H766" si="328">18743-113.2+2698.9</f>
        <v>21328.7</v>
      </c>
      <c r="H766" s="67">
        <f t="shared" si="328"/>
        <v>21328.7</v>
      </c>
      <c r="I766" s="246">
        <f t="shared" si="320"/>
        <v>100</v>
      </c>
      <c r="J766" s="246">
        <f t="shared" si="321"/>
        <v>100</v>
      </c>
    </row>
    <row r="767" spans="1:10" x14ac:dyDescent="0.25">
      <c r="A767" s="6"/>
      <c r="B767" s="6"/>
      <c r="C767" s="6" t="s">
        <v>213</v>
      </c>
      <c r="D767" s="6"/>
      <c r="E767" s="8" t="s">
        <v>214</v>
      </c>
      <c r="F767" s="67">
        <v>500</v>
      </c>
      <c r="G767" s="67">
        <v>500</v>
      </c>
      <c r="H767" s="264">
        <v>499.98660000000001</v>
      </c>
      <c r="I767" s="246">
        <f t="shared" si="320"/>
        <v>99.997320000000002</v>
      </c>
      <c r="J767" s="246">
        <f t="shared" si="321"/>
        <v>100</v>
      </c>
    </row>
    <row r="768" spans="1:10" ht="26.25" x14ac:dyDescent="0.25">
      <c r="A768" s="6"/>
      <c r="B768" s="6"/>
      <c r="C768" s="6"/>
      <c r="D768" s="6" t="s">
        <v>449</v>
      </c>
      <c r="E768" s="3" t="s">
        <v>450</v>
      </c>
      <c r="F768" s="67">
        <v>500</v>
      </c>
      <c r="G768" s="67">
        <v>500</v>
      </c>
      <c r="H768" s="264">
        <v>499.98660000000001</v>
      </c>
      <c r="I768" s="246">
        <f t="shared" si="320"/>
        <v>99.997320000000002</v>
      </c>
      <c r="J768" s="246">
        <f t="shared" si="321"/>
        <v>100</v>
      </c>
    </row>
    <row r="769" spans="1:10" ht="26.25" x14ac:dyDescent="0.25">
      <c r="A769" s="32"/>
      <c r="B769" s="32"/>
      <c r="C769" s="32" t="s">
        <v>215</v>
      </c>
      <c r="D769" s="32"/>
      <c r="E769" s="33" t="s">
        <v>216</v>
      </c>
      <c r="F769" s="68">
        <f t="shared" ref="F769:H770" si="329">F770</f>
        <v>1612.9</v>
      </c>
      <c r="G769" s="68">
        <f t="shared" si="329"/>
        <v>1612.9</v>
      </c>
      <c r="H769" s="68">
        <f t="shared" si="329"/>
        <v>1612.9</v>
      </c>
      <c r="I769" s="245">
        <f t="shared" si="320"/>
        <v>100</v>
      </c>
      <c r="J769" s="245">
        <f t="shared" si="321"/>
        <v>100</v>
      </c>
    </row>
    <row r="770" spans="1:10" x14ac:dyDescent="0.25">
      <c r="A770" s="6"/>
      <c r="B770" s="6"/>
      <c r="C770" s="6" t="s">
        <v>217</v>
      </c>
      <c r="D770" s="6"/>
      <c r="E770" s="8" t="s">
        <v>422</v>
      </c>
      <c r="F770" s="67">
        <f t="shared" si="329"/>
        <v>1612.9</v>
      </c>
      <c r="G770" s="67">
        <f t="shared" si="329"/>
        <v>1612.9</v>
      </c>
      <c r="H770" s="67">
        <f t="shared" si="329"/>
        <v>1612.9</v>
      </c>
      <c r="I770" s="246">
        <f t="shared" si="320"/>
        <v>100</v>
      </c>
      <c r="J770" s="246">
        <f t="shared" si="321"/>
        <v>100</v>
      </c>
    </row>
    <row r="771" spans="1:10" ht="26.25" x14ac:dyDescent="0.25">
      <c r="A771" s="6"/>
      <c r="B771" s="6"/>
      <c r="C771" s="6"/>
      <c r="D771" s="6" t="s">
        <v>449</v>
      </c>
      <c r="E771" s="3" t="s">
        <v>450</v>
      </c>
      <c r="F771" s="67">
        <f>1427.3-5.3+190.9</f>
        <v>1612.9</v>
      </c>
      <c r="G771" s="67">
        <f t="shared" ref="G771:H771" si="330">1427.3-5.3+190.9</f>
        <v>1612.9</v>
      </c>
      <c r="H771" s="67">
        <f t="shared" si="330"/>
        <v>1612.9</v>
      </c>
      <c r="I771" s="246">
        <f t="shared" si="320"/>
        <v>100</v>
      </c>
      <c r="J771" s="246">
        <f t="shared" si="321"/>
        <v>100</v>
      </c>
    </row>
    <row r="772" spans="1:10" s="49" customFormat="1" ht="39" x14ac:dyDescent="0.25">
      <c r="A772" s="32"/>
      <c r="B772" s="32"/>
      <c r="C772" s="32" t="s">
        <v>229</v>
      </c>
      <c r="D772" s="32"/>
      <c r="E772" s="47" t="s">
        <v>230</v>
      </c>
      <c r="F772" s="68">
        <f>F773+F779</f>
        <v>2081.5</v>
      </c>
      <c r="G772" s="68">
        <f t="shared" ref="G772:H772" si="331">G773+G779</f>
        <v>2081.5</v>
      </c>
      <c r="H772" s="68">
        <f t="shared" si="331"/>
        <v>2081.5</v>
      </c>
      <c r="I772" s="245">
        <f t="shared" si="320"/>
        <v>100</v>
      </c>
      <c r="J772" s="245">
        <f t="shared" si="321"/>
        <v>100</v>
      </c>
    </row>
    <row r="773" spans="1:10" ht="25.5" x14ac:dyDescent="0.25">
      <c r="A773" s="6"/>
      <c r="B773" s="6"/>
      <c r="C773" s="6" t="s">
        <v>803</v>
      </c>
      <c r="D773" s="17"/>
      <c r="E773" s="1" t="s">
        <v>804</v>
      </c>
      <c r="F773" s="77">
        <f>F774</f>
        <v>2013.2</v>
      </c>
      <c r="G773" s="77">
        <f t="shared" ref="G773:H773" si="332">G774</f>
        <v>2013.2</v>
      </c>
      <c r="H773" s="77">
        <f t="shared" si="332"/>
        <v>2013.2</v>
      </c>
      <c r="I773" s="248">
        <f t="shared" si="320"/>
        <v>100</v>
      </c>
      <c r="J773" s="248">
        <f t="shared" si="321"/>
        <v>100</v>
      </c>
    </row>
    <row r="774" spans="1:10" ht="26.25" x14ac:dyDescent="0.25">
      <c r="A774" s="6"/>
      <c r="B774" s="6"/>
      <c r="C774" s="6"/>
      <c r="D774" s="6" t="s">
        <v>449</v>
      </c>
      <c r="E774" s="3" t="s">
        <v>450</v>
      </c>
      <c r="F774" s="77">
        <f>F776</f>
        <v>2013.2</v>
      </c>
      <c r="G774" s="77">
        <f t="shared" ref="G774:H774" si="333">G776</f>
        <v>2013.2</v>
      </c>
      <c r="H774" s="77">
        <f t="shared" si="333"/>
        <v>2013.2</v>
      </c>
      <c r="I774" s="248">
        <f t="shared" si="320"/>
        <v>100</v>
      </c>
      <c r="J774" s="248">
        <f t="shared" si="321"/>
        <v>100</v>
      </c>
    </row>
    <row r="775" spans="1:10" x14ac:dyDescent="0.25">
      <c r="A775" s="94"/>
      <c r="B775" s="94"/>
      <c r="C775" s="6"/>
      <c r="D775" s="48"/>
      <c r="E775" s="3" t="s">
        <v>231</v>
      </c>
      <c r="F775" s="77"/>
      <c r="G775" s="77"/>
      <c r="H775" s="77"/>
      <c r="I775" s="248"/>
      <c r="J775" s="248"/>
    </row>
    <row r="776" spans="1:10" ht="39" x14ac:dyDescent="0.25">
      <c r="A776" s="94"/>
      <c r="B776" s="94"/>
      <c r="C776" s="10"/>
      <c r="D776" s="10"/>
      <c r="E776" s="11" t="s">
        <v>232</v>
      </c>
      <c r="F776" s="74">
        <f>F777+F778</f>
        <v>2013.2</v>
      </c>
      <c r="G776" s="74">
        <f>G777+G778</f>
        <v>2013.2</v>
      </c>
      <c r="H776" s="74">
        <f>H777+H778</f>
        <v>2013.2</v>
      </c>
      <c r="I776" s="260">
        <f t="shared" si="320"/>
        <v>100</v>
      </c>
      <c r="J776" s="260">
        <f t="shared" si="321"/>
        <v>100</v>
      </c>
    </row>
    <row r="777" spans="1:10" x14ac:dyDescent="0.25">
      <c r="A777" s="94"/>
      <c r="B777" s="94"/>
      <c r="C777" s="12"/>
      <c r="D777" s="6"/>
      <c r="E777" s="1" t="s">
        <v>182</v>
      </c>
      <c r="F777" s="77">
        <v>1509.9</v>
      </c>
      <c r="G777" s="77">
        <v>1509.9</v>
      </c>
      <c r="H777" s="77">
        <v>1509.9</v>
      </c>
      <c r="I777" s="248">
        <f t="shared" si="320"/>
        <v>100</v>
      </c>
      <c r="J777" s="248">
        <f t="shared" si="321"/>
        <v>100</v>
      </c>
    </row>
    <row r="778" spans="1:10" x14ac:dyDescent="0.25">
      <c r="A778" s="94"/>
      <c r="B778" s="94"/>
      <c r="C778" s="12"/>
      <c r="D778" s="6"/>
      <c r="E778" s="3" t="s">
        <v>146</v>
      </c>
      <c r="F778" s="77">
        <v>503.3</v>
      </c>
      <c r="G778" s="77">
        <v>503.3</v>
      </c>
      <c r="H778" s="77">
        <v>503.3</v>
      </c>
      <c r="I778" s="248">
        <f t="shared" si="320"/>
        <v>100</v>
      </c>
      <c r="J778" s="248">
        <f t="shared" si="321"/>
        <v>100</v>
      </c>
    </row>
    <row r="779" spans="1:10" ht="26.25" x14ac:dyDescent="0.25">
      <c r="A779" s="94"/>
      <c r="B779" s="94"/>
      <c r="C779" s="6" t="s">
        <v>825</v>
      </c>
      <c r="D779" s="6"/>
      <c r="E779" s="3" t="s">
        <v>823</v>
      </c>
      <c r="F779" s="77">
        <f>F780</f>
        <v>68.3</v>
      </c>
      <c r="G779" s="77">
        <f t="shared" ref="G779:H779" si="334">G780</f>
        <v>68.3</v>
      </c>
      <c r="H779" s="77">
        <f t="shared" si="334"/>
        <v>68.3</v>
      </c>
      <c r="I779" s="248">
        <f t="shared" si="320"/>
        <v>100</v>
      </c>
      <c r="J779" s="248">
        <f t="shared" si="321"/>
        <v>100</v>
      </c>
    </row>
    <row r="780" spans="1:10" ht="26.25" x14ac:dyDescent="0.25">
      <c r="A780" s="94"/>
      <c r="B780" s="94"/>
      <c r="C780" s="12"/>
      <c r="D780" s="6" t="s">
        <v>449</v>
      </c>
      <c r="E780" s="3" t="s">
        <v>450</v>
      </c>
      <c r="F780" s="77">
        <v>68.3</v>
      </c>
      <c r="G780" s="77">
        <v>68.3</v>
      </c>
      <c r="H780" s="77">
        <v>68.3</v>
      </c>
      <c r="I780" s="248">
        <f t="shared" si="320"/>
        <v>100</v>
      </c>
      <c r="J780" s="248">
        <f t="shared" si="321"/>
        <v>100</v>
      </c>
    </row>
    <row r="781" spans="1:10" x14ac:dyDescent="0.25">
      <c r="A781" s="149"/>
      <c r="B781" s="149"/>
      <c r="C781" s="14" t="s">
        <v>233</v>
      </c>
      <c r="D781" s="14"/>
      <c r="E781" s="15" t="s">
        <v>234</v>
      </c>
      <c r="F781" s="68">
        <f>F782</f>
        <v>5.2630000000000003E-2</v>
      </c>
      <c r="G781" s="68">
        <f t="shared" ref="G781:H781" si="335">G782</f>
        <v>52.68421</v>
      </c>
      <c r="H781" s="68">
        <f t="shared" si="335"/>
        <v>52.68421</v>
      </c>
      <c r="I781" s="245">
        <f t="shared" si="320"/>
        <v>100</v>
      </c>
      <c r="J781" s="245">
        <f t="shared" si="321"/>
        <v>100103.0020900627</v>
      </c>
    </row>
    <row r="782" spans="1:10" ht="25.5" x14ac:dyDescent="0.25">
      <c r="A782" s="94"/>
      <c r="B782" s="94"/>
      <c r="C782" s="16" t="s">
        <v>466</v>
      </c>
      <c r="D782" s="16"/>
      <c r="E782" s="7" t="s">
        <v>510</v>
      </c>
      <c r="F782" s="77">
        <f t="shared" ref="F782:H782" si="336">F783</f>
        <v>5.2630000000000003E-2</v>
      </c>
      <c r="G782" s="77">
        <f t="shared" si="336"/>
        <v>52.68421</v>
      </c>
      <c r="H782" s="77">
        <f t="shared" si="336"/>
        <v>52.68421</v>
      </c>
      <c r="I782" s="248">
        <f t="shared" si="320"/>
        <v>100</v>
      </c>
      <c r="J782" s="248">
        <f t="shared" si="321"/>
        <v>100103.0020900627</v>
      </c>
    </row>
    <row r="783" spans="1:10" ht="25.5" x14ac:dyDescent="0.25">
      <c r="A783" s="94"/>
      <c r="B783" s="94"/>
      <c r="C783" s="17"/>
      <c r="D783" s="16" t="s">
        <v>449</v>
      </c>
      <c r="E783" s="1" t="s">
        <v>450</v>
      </c>
      <c r="F783" s="77">
        <f>F786</f>
        <v>5.2630000000000003E-2</v>
      </c>
      <c r="G783" s="77">
        <f>G786+G784+G785</f>
        <v>52.68421</v>
      </c>
      <c r="H783" s="77">
        <f>H786+H784+H785</f>
        <v>52.68421</v>
      </c>
      <c r="I783" s="248">
        <f t="shared" si="320"/>
        <v>100</v>
      </c>
      <c r="J783" s="248">
        <f t="shared" si="321"/>
        <v>100103.0020900627</v>
      </c>
    </row>
    <row r="784" spans="1:10" x14ac:dyDescent="0.25">
      <c r="A784" s="94"/>
      <c r="B784" s="94"/>
      <c r="C784" s="17"/>
      <c r="D784" s="16"/>
      <c r="E784" s="1" t="s">
        <v>184</v>
      </c>
      <c r="F784" s="77"/>
      <c r="G784" s="77">
        <v>50</v>
      </c>
      <c r="H784" s="77">
        <v>50</v>
      </c>
      <c r="I784" s="248">
        <f t="shared" si="320"/>
        <v>100</v>
      </c>
      <c r="J784" s="248"/>
    </row>
    <row r="785" spans="1:10" x14ac:dyDescent="0.25">
      <c r="A785" s="94"/>
      <c r="B785" s="94"/>
      <c r="C785" s="17"/>
      <c r="D785" s="16"/>
      <c r="E785" s="1" t="s">
        <v>182</v>
      </c>
      <c r="F785" s="77"/>
      <c r="G785" s="77">
        <v>2.63158</v>
      </c>
      <c r="H785" s="77">
        <v>2.63158</v>
      </c>
      <c r="I785" s="248">
        <f t="shared" si="320"/>
        <v>100</v>
      </c>
      <c r="J785" s="248"/>
    </row>
    <row r="786" spans="1:10" x14ac:dyDescent="0.25">
      <c r="A786" s="94"/>
      <c r="B786" s="94"/>
      <c r="C786" s="17"/>
      <c r="D786" s="16"/>
      <c r="E786" s="3" t="s">
        <v>146</v>
      </c>
      <c r="F786" s="77">
        <v>5.2630000000000003E-2</v>
      </c>
      <c r="G786" s="77">
        <v>5.2630000000000003E-2</v>
      </c>
      <c r="H786" s="77">
        <v>5.2630000000000003E-2</v>
      </c>
      <c r="I786" s="248">
        <f t="shared" si="320"/>
        <v>100</v>
      </c>
      <c r="J786" s="248"/>
    </row>
    <row r="787" spans="1:10" x14ac:dyDescent="0.25">
      <c r="A787" s="65"/>
      <c r="B787" s="17" t="s">
        <v>615</v>
      </c>
      <c r="C787" s="104"/>
      <c r="D787" s="103"/>
      <c r="E787" s="98" t="s">
        <v>616</v>
      </c>
      <c r="F787" s="105">
        <f>F788</f>
        <v>5148.3999999999996</v>
      </c>
      <c r="G787" s="105">
        <f>G788+G805</f>
        <v>5167.7527399999999</v>
      </c>
      <c r="H787" s="105">
        <f>H788+H805</f>
        <v>5167.7524599999997</v>
      </c>
      <c r="I787" s="243">
        <f t="shared" si="320"/>
        <v>99.999994581784108</v>
      </c>
      <c r="J787" s="243">
        <f t="shared" si="321"/>
        <v>100.37589814311244</v>
      </c>
    </row>
    <row r="788" spans="1:10" x14ac:dyDescent="0.25">
      <c r="A788" s="65"/>
      <c r="B788" s="17"/>
      <c r="C788" s="104" t="s">
        <v>4</v>
      </c>
      <c r="D788" s="103"/>
      <c r="E788" s="123" t="s">
        <v>5</v>
      </c>
      <c r="F788" s="105">
        <f t="shared" ref="F788:H788" si="337">F789+F795</f>
        <v>5148.3999999999996</v>
      </c>
      <c r="G788" s="105">
        <f t="shared" si="337"/>
        <v>5148.3999999999996</v>
      </c>
      <c r="H788" s="105">
        <f t="shared" si="337"/>
        <v>5148.3997199999994</v>
      </c>
      <c r="I788" s="243">
        <f t="shared" si="320"/>
        <v>99.999994561417139</v>
      </c>
      <c r="J788" s="243">
        <f t="shared" si="321"/>
        <v>100</v>
      </c>
    </row>
    <row r="789" spans="1:10" ht="25.5" x14ac:dyDescent="0.25">
      <c r="A789" s="150"/>
      <c r="B789" s="107"/>
      <c r="C789" s="108" t="s">
        <v>6</v>
      </c>
      <c r="D789" s="107"/>
      <c r="E789" s="109" t="s">
        <v>497</v>
      </c>
      <c r="F789" s="159">
        <f t="shared" ref="F789:H791" si="338">F790</f>
        <v>3490.9</v>
      </c>
      <c r="G789" s="159">
        <f t="shared" si="338"/>
        <v>3490.9</v>
      </c>
      <c r="H789" s="159">
        <f t="shared" si="338"/>
        <v>3490.8997199999999</v>
      </c>
      <c r="I789" s="257">
        <f t="shared" si="320"/>
        <v>99.999991979145776</v>
      </c>
      <c r="J789" s="257">
        <f t="shared" si="321"/>
        <v>100</v>
      </c>
    </row>
    <row r="790" spans="1:10" ht="39" x14ac:dyDescent="0.25">
      <c r="A790" s="30"/>
      <c r="B790" s="30"/>
      <c r="C790" s="30" t="s">
        <v>18</v>
      </c>
      <c r="D790" s="30"/>
      <c r="E790" s="31" t="s">
        <v>617</v>
      </c>
      <c r="F790" s="72">
        <f t="shared" si="338"/>
        <v>3490.9</v>
      </c>
      <c r="G790" s="72">
        <f t="shared" si="338"/>
        <v>3490.9</v>
      </c>
      <c r="H790" s="72">
        <f t="shared" si="338"/>
        <v>3490.8997199999999</v>
      </c>
      <c r="I790" s="244">
        <f t="shared" si="320"/>
        <v>99.999991979145776</v>
      </c>
      <c r="J790" s="244">
        <f t="shared" si="321"/>
        <v>100</v>
      </c>
    </row>
    <row r="791" spans="1:10" ht="39" x14ac:dyDescent="0.25">
      <c r="A791" s="32"/>
      <c r="B791" s="32"/>
      <c r="C791" s="32" t="s">
        <v>20</v>
      </c>
      <c r="D791" s="35"/>
      <c r="E791" s="33" t="s">
        <v>21</v>
      </c>
      <c r="F791" s="68">
        <f t="shared" si="338"/>
        <v>3490.9</v>
      </c>
      <c r="G791" s="68">
        <f t="shared" si="338"/>
        <v>3490.9</v>
      </c>
      <c r="H791" s="68">
        <f t="shared" si="338"/>
        <v>3490.8997199999999</v>
      </c>
      <c r="I791" s="245">
        <f t="shared" si="320"/>
        <v>99.999991979145776</v>
      </c>
      <c r="J791" s="245">
        <f t="shared" si="321"/>
        <v>100</v>
      </c>
    </row>
    <row r="792" spans="1:10" ht="25.5" x14ac:dyDescent="0.25">
      <c r="A792" s="65"/>
      <c r="B792" s="16"/>
      <c r="C792" s="122" t="s">
        <v>24</v>
      </c>
      <c r="D792" s="16"/>
      <c r="E792" s="1" t="s">
        <v>25</v>
      </c>
      <c r="F792" s="77">
        <f t="shared" ref="F792:H792" si="339">F793+F794</f>
        <v>3490.9</v>
      </c>
      <c r="G792" s="77">
        <f t="shared" si="339"/>
        <v>3490.9</v>
      </c>
      <c r="H792" s="77">
        <f t="shared" si="339"/>
        <v>3490.8997199999999</v>
      </c>
      <c r="I792" s="248">
        <f t="shared" si="320"/>
        <v>99.999991979145776</v>
      </c>
      <c r="J792" s="248">
        <f t="shared" si="321"/>
        <v>100</v>
      </c>
    </row>
    <row r="793" spans="1:10" ht="39" x14ac:dyDescent="0.25">
      <c r="A793" s="65"/>
      <c r="B793" s="16"/>
      <c r="C793" s="122"/>
      <c r="D793" s="16" t="s">
        <v>383</v>
      </c>
      <c r="E793" s="3" t="s">
        <v>384</v>
      </c>
      <c r="F793" s="77">
        <v>3374.4</v>
      </c>
      <c r="G793" s="77">
        <v>3374.4</v>
      </c>
      <c r="H793" s="264">
        <v>3374.4</v>
      </c>
      <c r="I793" s="248">
        <f t="shared" si="320"/>
        <v>100</v>
      </c>
      <c r="J793" s="248">
        <f t="shared" si="321"/>
        <v>100</v>
      </c>
    </row>
    <row r="794" spans="1:10" x14ac:dyDescent="0.25">
      <c r="A794" s="65"/>
      <c r="B794" s="16"/>
      <c r="C794" s="122"/>
      <c r="D794" s="16" t="s">
        <v>272</v>
      </c>
      <c r="E794" s="7" t="s">
        <v>273</v>
      </c>
      <c r="F794" s="67">
        <v>116.49999999999997</v>
      </c>
      <c r="G794" s="67">
        <v>116.49999999999997</v>
      </c>
      <c r="H794" s="264">
        <v>116.49972</v>
      </c>
      <c r="I794" s="246">
        <f t="shared" si="320"/>
        <v>99.999759656652387</v>
      </c>
      <c r="J794" s="246">
        <f t="shared" si="321"/>
        <v>100</v>
      </c>
    </row>
    <row r="795" spans="1:10" ht="25.5" x14ac:dyDescent="0.25">
      <c r="A795" s="106"/>
      <c r="B795" s="107"/>
      <c r="C795" s="108" t="s">
        <v>203</v>
      </c>
      <c r="D795" s="107"/>
      <c r="E795" s="109" t="s">
        <v>204</v>
      </c>
      <c r="F795" s="159">
        <f>F796</f>
        <v>1657.5</v>
      </c>
      <c r="G795" s="159">
        <f t="shared" ref="G795:H795" si="340">G796</f>
        <v>1657.5</v>
      </c>
      <c r="H795" s="159">
        <f t="shared" si="340"/>
        <v>1657.5</v>
      </c>
      <c r="I795" s="257">
        <f t="shared" si="320"/>
        <v>100</v>
      </c>
      <c r="J795" s="257">
        <f t="shared" si="321"/>
        <v>100</v>
      </c>
    </row>
    <row r="796" spans="1:10" ht="26.25" x14ac:dyDescent="0.25">
      <c r="A796" s="30"/>
      <c r="B796" s="30"/>
      <c r="C796" s="30" t="s">
        <v>205</v>
      </c>
      <c r="D796" s="30"/>
      <c r="E796" s="31" t="s">
        <v>206</v>
      </c>
      <c r="F796" s="72">
        <f>F797+F802</f>
        <v>1657.5</v>
      </c>
      <c r="G796" s="72">
        <f t="shared" ref="G796:H796" si="341">G797+G802</f>
        <v>1657.5</v>
      </c>
      <c r="H796" s="72">
        <f t="shared" si="341"/>
        <v>1657.5</v>
      </c>
      <c r="I796" s="244">
        <f t="shared" si="320"/>
        <v>100</v>
      </c>
      <c r="J796" s="244">
        <f t="shared" si="321"/>
        <v>100</v>
      </c>
    </row>
    <row r="797" spans="1:10" ht="26.25" x14ac:dyDescent="0.25">
      <c r="A797" s="32"/>
      <c r="B797" s="32"/>
      <c r="C797" s="32" t="s">
        <v>221</v>
      </c>
      <c r="D797" s="35"/>
      <c r="E797" s="33" t="s">
        <v>222</v>
      </c>
      <c r="F797" s="68">
        <f>F798+F800</f>
        <v>1607.5</v>
      </c>
      <c r="G797" s="68">
        <f t="shared" ref="G797:H797" si="342">G798+G800</f>
        <v>1607.5</v>
      </c>
      <c r="H797" s="68">
        <f t="shared" si="342"/>
        <v>1607.5</v>
      </c>
      <c r="I797" s="245">
        <f t="shared" si="320"/>
        <v>100</v>
      </c>
      <c r="J797" s="245">
        <f t="shared" si="321"/>
        <v>100</v>
      </c>
    </row>
    <row r="798" spans="1:10" ht="51.75" x14ac:dyDescent="0.25">
      <c r="A798" s="6"/>
      <c r="B798" s="6"/>
      <c r="C798" s="6" t="s">
        <v>223</v>
      </c>
      <c r="D798" s="6"/>
      <c r="E798" s="3" t="s">
        <v>618</v>
      </c>
      <c r="F798" s="67">
        <f>F799</f>
        <v>950</v>
      </c>
      <c r="G798" s="67">
        <f t="shared" ref="G798:H798" si="343">G799</f>
        <v>950</v>
      </c>
      <c r="H798" s="67">
        <f t="shared" si="343"/>
        <v>950</v>
      </c>
      <c r="I798" s="246">
        <f t="shared" si="320"/>
        <v>100</v>
      </c>
      <c r="J798" s="246">
        <f t="shared" si="321"/>
        <v>100</v>
      </c>
    </row>
    <row r="799" spans="1:10" ht="26.25" x14ac:dyDescent="0.25">
      <c r="A799" s="6"/>
      <c r="B799" s="6"/>
      <c r="C799" s="6"/>
      <c r="D799" s="6" t="s">
        <v>449</v>
      </c>
      <c r="E799" s="3" t="s">
        <v>450</v>
      </c>
      <c r="F799" s="67">
        <v>950</v>
      </c>
      <c r="G799" s="67">
        <v>950</v>
      </c>
      <c r="H799" s="67">
        <v>950</v>
      </c>
      <c r="I799" s="246">
        <f t="shared" si="320"/>
        <v>100</v>
      </c>
      <c r="J799" s="246">
        <f t="shared" si="321"/>
        <v>100</v>
      </c>
    </row>
    <row r="800" spans="1:10" ht="51.75" x14ac:dyDescent="0.25">
      <c r="A800" s="6"/>
      <c r="B800" s="6"/>
      <c r="C800" s="6" t="s">
        <v>224</v>
      </c>
      <c r="D800" s="6"/>
      <c r="E800" s="3" t="s">
        <v>225</v>
      </c>
      <c r="F800" s="67">
        <f>F801</f>
        <v>657.5</v>
      </c>
      <c r="G800" s="67">
        <f t="shared" ref="G800:H800" si="344">G801</f>
        <v>657.5</v>
      </c>
      <c r="H800" s="67">
        <f t="shared" si="344"/>
        <v>657.5</v>
      </c>
      <c r="I800" s="246">
        <f t="shared" si="320"/>
        <v>100</v>
      </c>
      <c r="J800" s="246">
        <f t="shared" si="321"/>
        <v>100</v>
      </c>
    </row>
    <row r="801" spans="1:132" s="49" customFormat="1" ht="26.25" x14ac:dyDescent="0.25">
      <c r="A801" s="6"/>
      <c r="B801" s="6"/>
      <c r="C801" s="6"/>
      <c r="D801" s="6" t="s">
        <v>449</v>
      </c>
      <c r="E801" s="3" t="s">
        <v>450</v>
      </c>
      <c r="F801" s="67">
        <f>590-29.5+97</f>
        <v>657.5</v>
      </c>
      <c r="G801" s="67">
        <f t="shared" ref="G801:H801" si="345">590-29.5+97</f>
        <v>657.5</v>
      </c>
      <c r="H801" s="67">
        <f t="shared" si="345"/>
        <v>657.5</v>
      </c>
      <c r="I801" s="246">
        <f t="shared" si="320"/>
        <v>100</v>
      </c>
      <c r="J801" s="246">
        <f t="shared" si="321"/>
        <v>100</v>
      </c>
    </row>
    <row r="802" spans="1:132" x14ac:dyDescent="0.25">
      <c r="A802" s="32"/>
      <c r="B802" s="32"/>
      <c r="C802" s="32" t="s">
        <v>226</v>
      </c>
      <c r="D802" s="35"/>
      <c r="E802" s="33" t="s">
        <v>227</v>
      </c>
      <c r="F802" s="68">
        <f>F803</f>
        <v>50</v>
      </c>
      <c r="G802" s="68">
        <f t="shared" ref="G802:H803" si="346">G803</f>
        <v>50</v>
      </c>
      <c r="H802" s="68">
        <f t="shared" si="346"/>
        <v>50</v>
      </c>
      <c r="I802" s="245">
        <f t="shared" si="320"/>
        <v>100</v>
      </c>
      <c r="J802" s="245">
        <f t="shared" si="321"/>
        <v>100</v>
      </c>
    </row>
    <row r="803" spans="1:132" x14ac:dyDescent="0.25">
      <c r="A803" s="6"/>
      <c r="B803" s="6"/>
      <c r="C803" s="6" t="s">
        <v>228</v>
      </c>
      <c r="D803" s="6"/>
      <c r="E803" s="3" t="s">
        <v>643</v>
      </c>
      <c r="F803" s="67">
        <f>F804</f>
        <v>50</v>
      </c>
      <c r="G803" s="67">
        <f t="shared" si="346"/>
        <v>50</v>
      </c>
      <c r="H803" s="67">
        <f t="shared" si="346"/>
        <v>50</v>
      </c>
      <c r="I803" s="246">
        <f t="shared" si="320"/>
        <v>100</v>
      </c>
      <c r="J803" s="246">
        <f t="shared" si="321"/>
        <v>100</v>
      </c>
    </row>
    <row r="804" spans="1:132" ht="26.25" x14ac:dyDescent="0.25">
      <c r="A804" s="6"/>
      <c r="B804" s="6"/>
      <c r="C804" s="6"/>
      <c r="D804" s="6" t="s">
        <v>449</v>
      </c>
      <c r="E804" s="3" t="s">
        <v>450</v>
      </c>
      <c r="F804" s="67">
        <v>50</v>
      </c>
      <c r="G804" s="67">
        <v>50</v>
      </c>
      <c r="H804" s="67">
        <v>50</v>
      </c>
      <c r="I804" s="246">
        <f t="shared" si="320"/>
        <v>100</v>
      </c>
      <c r="J804" s="246">
        <f t="shared" si="321"/>
        <v>100</v>
      </c>
    </row>
    <row r="805" spans="1:132" x14ac:dyDescent="0.25">
      <c r="A805" s="140"/>
      <c r="B805" s="140"/>
      <c r="C805" s="113" t="s">
        <v>540</v>
      </c>
      <c r="D805" s="114"/>
      <c r="E805" s="115" t="s">
        <v>541</v>
      </c>
      <c r="F805" s="239"/>
      <c r="G805" s="133">
        <f t="shared" ref="G805:H807" si="347">G806</f>
        <v>19.352740000000001</v>
      </c>
      <c r="H805" s="133">
        <f t="shared" si="347"/>
        <v>19.352740000000001</v>
      </c>
      <c r="I805" s="254">
        <f t="shared" ref="I805:I868" si="348">H805/G805*100</f>
        <v>100</v>
      </c>
      <c r="J805" s="259"/>
    </row>
    <row r="806" spans="1:132" ht="26.25" x14ac:dyDescent="0.25">
      <c r="A806" s="229"/>
      <c r="B806" s="60"/>
      <c r="C806" s="60" t="s">
        <v>386</v>
      </c>
      <c r="D806" s="60"/>
      <c r="E806" s="62" t="s">
        <v>542</v>
      </c>
      <c r="F806" s="80"/>
      <c r="G806" s="80">
        <f>G807+G809</f>
        <v>19.352740000000001</v>
      </c>
      <c r="H806" s="80">
        <f>H807+H809</f>
        <v>19.352740000000001</v>
      </c>
      <c r="I806" s="255">
        <f t="shared" si="348"/>
        <v>100</v>
      </c>
      <c r="J806" s="255"/>
    </row>
    <row r="807" spans="1:132" x14ac:dyDescent="0.25">
      <c r="A807" s="94"/>
      <c r="B807" s="94"/>
      <c r="C807" s="122" t="s">
        <v>841</v>
      </c>
      <c r="D807" s="16"/>
      <c r="E807" s="1" t="s">
        <v>839</v>
      </c>
      <c r="F807" s="240"/>
      <c r="G807" s="76">
        <f t="shared" si="347"/>
        <v>15.716390000000001</v>
      </c>
      <c r="H807" s="76">
        <f t="shared" si="347"/>
        <v>15.716390000000001</v>
      </c>
      <c r="I807" s="240">
        <f t="shared" si="348"/>
        <v>100</v>
      </c>
      <c r="J807" s="240"/>
      <c r="K807" s="240"/>
      <c r="L807" s="240"/>
      <c r="M807" s="240"/>
      <c r="N807" s="240"/>
      <c r="O807" s="240"/>
      <c r="P807" s="240"/>
      <c r="Q807" s="240"/>
      <c r="R807" s="240"/>
      <c r="S807" s="240"/>
      <c r="T807" s="240"/>
      <c r="U807" s="240"/>
      <c r="V807" s="240"/>
      <c r="W807" s="240"/>
      <c r="X807" s="240"/>
      <c r="Y807" s="240"/>
      <c r="Z807" s="240"/>
      <c r="AA807" s="240"/>
      <c r="AB807" s="240"/>
      <c r="AC807" s="240"/>
      <c r="AD807" s="240"/>
      <c r="AE807" s="240"/>
      <c r="AF807" s="76"/>
      <c r="AG807" s="240"/>
      <c r="AH807" s="240"/>
      <c r="AI807" s="240"/>
      <c r="AJ807" s="240"/>
      <c r="AK807" s="240"/>
      <c r="AL807" s="240"/>
      <c r="AM807" s="240"/>
      <c r="AN807" s="240"/>
      <c r="AO807" s="240"/>
      <c r="AP807" s="240"/>
      <c r="AQ807" s="240"/>
      <c r="AR807" s="240"/>
      <c r="AS807" s="240"/>
      <c r="AT807" s="240"/>
      <c r="AU807" s="240"/>
      <c r="AV807" s="240"/>
      <c r="AW807" s="240"/>
      <c r="AX807" s="240"/>
      <c r="AY807" s="240"/>
      <c r="AZ807" s="240"/>
      <c r="BA807" s="240"/>
      <c r="BB807" s="240"/>
      <c r="BC807" s="240"/>
      <c r="BD807" s="240"/>
      <c r="BE807" s="240"/>
      <c r="BF807" s="240"/>
      <c r="BG807" s="240"/>
      <c r="BH807" s="240"/>
      <c r="BI807" s="240"/>
      <c r="BJ807" s="240"/>
      <c r="BK807" s="240"/>
      <c r="BL807" s="240"/>
      <c r="BM807" s="240"/>
      <c r="BN807" s="240"/>
      <c r="BO807" s="240"/>
      <c r="BP807" s="240"/>
      <c r="BQ807" s="240"/>
      <c r="BR807" s="240"/>
      <c r="BS807" s="240"/>
      <c r="BT807" s="240"/>
      <c r="BU807" s="240"/>
      <c r="BV807" s="240"/>
      <c r="BW807" s="240"/>
      <c r="BX807" s="240"/>
      <c r="BY807" s="240"/>
      <c r="BZ807" s="240"/>
      <c r="CA807" s="240"/>
      <c r="CB807" s="240"/>
      <c r="CC807" s="240"/>
      <c r="CD807" s="240"/>
      <c r="CE807" s="240"/>
      <c r="CF807" s="240"/>
      <c r="CG807" s="240"/>
      <c r="CH807" s="240"/>
      <c r="CI807" s="240"/>
      <c r="CJ807" s="240"/>
      <c r="CK807" s="240"/>
      <c r="CL807" s="240"/>
      <c r="CM807" s="240"/>
      <c r="CN807" s="240"/>
      <c r="CO807" s="240"/>
      <c r="CP807" s="240"/>
      <c r="CQ807" s="124">
        <f>CQ808</f>
        <v>352.33695</v>
      </c>
      <c r="CR807" s="240"/>
      <c r="CS807" s="240"/>
      <c r="CT807" s="240"/>
      <c r="CU807" s="240"/>
      <c r="CV807" s="240"/>
      <c r="CW807" s="240"/>
      <c r="CX807" s="240"/>
      <c r="CY807" s="240"/>
      <c r="CZ807" s="240"/>
      <c r="DA807" s="240"/>
      <c r="DB807" s="240"/>
      <c r="DC807" s="240"/>
      <c r="DD807" s="240"/>
      <c r="DE807" s="240"/>
      <c r="DF807" s="240"/>
      <c r="DG807" s="240"/>
      <c r="DH807" s="240"/>
      <c r="DI807" s="240"/>
      <c r="DJ807" s="240"/>
      <c r="DK807" s="240"/>
      <c r="DL807" s="240"/>
      <c r="DM807" s="240"/>
      <c r="DN807" s="240"/>
      <c r="DO807" s="240"/>
      <c r="DP807" s="240"/>
      <c r="DQ807" s="240"/>
      <c r="DR807" s="240"/>
      <c r="DS807" s="240"/>
      <c r="DT807" s="241"/>
      <c r="DY807" s="240"/>
      <c r="EA807" s="240"/>
      <c r="EB807" s="240"/>
    </row>
    <row r="808" spans="1:132" ht="39" x14ac:dyDescent="0.25">
      <c r="A808" s="94"/>
      <c r="B808" s="94"/>
      <c r="C808" s="122"/>
      <c r="D808" s="16" t="s">
        <v>383</v>
      </c>
      <c r="E808" s="3" t="s">
        <v>384</v>
      </c>
      <c r="F808" s="240"/>
      <c r="G808" s="264">
        <v>15.716390000000001</v>
      </c>
      <c r="H808" s="264">
        <v>15.716390000000001</v>
      </c>
      <c r="I808" s="240">
        <f t="shared" si="348"/>
        <v>100</v>
      </c>
      <c r="J808" s="240"/>
      <c r="K808" s="240"/>
      <c r="L808" s="240"/>
      <c r="M808" s="240"/>
      <c r="N808" s="240"/>
      <c r="O808" s="240"/>
      <c r="P808" s="240"/>
      <c r="Q808" s="240"/>
      <c r="R808" s="240"/>
      <c r="S808" s="240"/>
      <c r="T808" s="240"/>
      <c r="U808" s="240"/>
      <c r="V808" s="240"/>
      <c r="W808" s="240"/>
      <c r="X808" s="240"/>
      <c r="Y808" s="240"/>
      <c r="Z808" s="240"/>
      <c r="AA808" s="240"/>
      <c r="AB808" s="240"/>
      <c r="AC808" s="240"/>
      <c r="AD808" s="240"/>
      <c r="AE808" s="240"/>
      <c r="AF808" s="76"/>
      <c r="AG808" s="240"/>
      <c r="AH808" s="240"/>
      <c r="AI808" s="240"/>
      <c r="AJ808" s="240"/>
      <c r="AK808" s="240"/>
      <c r="AL808" s="240"/>
      <c r="AM808" s="240"/>
      <c r="AN808" s="240"/>
      <c r="AO808" s="240"/>
      <c r="AP808" s="240"/>
      <c r="AQ808" s="240"/>
      <c r="AR808" s="240"/>
      <c r="AS808" s="240"/>
      <c r="AT808" s="240"/>
      <c r="AU808" s="240"/>
      <c r="AV808" s="240"/>
      <c r="AW808" s="240"/>
      <c r="AX808" s="240"/>
      <c r="AY808" s="240"/>
      <c r="AZ808" s="240"/>
      <c r="BA808" s="240"/>
      <c r="BB808" s="240"/>
      <c r="BC808" s="240"/>
      <c r="BD808" s="240"/>
      <c r="BE808" s="240"/>
      <c r="BF808" s="240"/>
      <c r="BG808" s="240"/>
      <c r="BH808" s="240"/>
      <c r="BI808" s="240"/>
      <c r="BJ808" s="240"/>
      <c r="BK808" s="240"/>
      <c r="BL808" s="240"/>
      <c r="BM808" s="240"/>
      <c r="BN808" s="240"/>
      <c r="BO808" s="240"/>
      <c r="BP808" s="240"/>
      <c r="BQ808" s="240"/>
      <c r="BR808" s="240"/>
      <c r="BS808" s="240"/>
      <c r="BT808" s="240"/>
      <c r="BU808" s="240"/>
      <c r="BV808" s="240"/>
      <c r="BW808" s="240"/>
      <c r="BX808" s="240"/>
      <c r="BY808" s="240"/>
      <c r="BZ808" s="240"/>
      <c r="CA808" s="240"/>
      <c r="CB808" s="240"/>
      <c r="CC808" s="240"/>
      <c r="CD808" s="240">
        <v>352.33695</v>
      </c>
      <c r="CE808" s="240"/>
      <c r="CF808" s="240"/>
      <c r="CG808" s="240"/>
      <c r="CH808" s="240"/>
      <c r="CI808" s="240"/>
      <c r="CJ808" s="240"/>
      <c r="CK808" s="240"/>
      <c r="CL808" s="240"/>
      <c r="CM808" s="240"/>
      <c r="CN808" s="240"/>
      <c r="CO808" s="240"/>
      <c r="CP808" s="240"/>
      <c r="CQ808" s="124">
        <f>SUM(BP808:CP808)</f>
        <v>352.33695</v>
      </c>
      <c r="CR808" s="240"/>
      <c r="CS808" s="240"/>
      <c r="CT808" s="240"/>
      <c r="CU808" s="240"/>
      <c r="CV808" s="240"/>
      <c r="CW808" s="240"/>
      <c r="CX808" s="240"/>
      <c r="CY808" s="240"/>
      <c r="CZ808" s="240"/>
      <c r="DA808" s="240"/>
      <c r="DB808" s="240"/>
      <c r="DC808" s="240"/>
      <c r="DD808" s="240"/>
      <c r="DE808" s="240"/>
      <c r="DF808" s="240"/>
      <c r="DG808" s="240"/>
      <c r="DH808" s="240"/>
      <c r="DI808" s="240"/>
      <c r="DJ808" s="240"/>
      <c r="DK808" s="240"/>
      <c r="DL808" s="240"/>
      <c r="DM808" s="240"/>
      <c r="DN808" s="240"/>
      <c r="DO808" s="240"/>
      <c r="DP808" s="240"/>
      <c r="DQ808" s="240"/>
      <c r="DR808" s="240"/>
      <c r="DS808" s="240"/>
      <c r="DT808" s="241"/>
      <c r="DY808" s="240"/>
      <c r="EA808" s="240"/>
      <c r="EB808" s="240"/>
    </row>
    <row r="809" spans="1:132" x14ac:dyDescent="0.25">
      <c r="A809" s="94"/>
      <c r="B809" s="94"/>
      <c r="C809" s="6" t="s">
        <v>840</v>
      </c>
      <c r="D809" s="6"/>
      <c r="E809" s="3" t="s">
        <v>838</v>
      </c>
      <c r="F809" s="76"/>
      <c r="G809" s="264">
        <f>G810</f>
        <v>3.6363500000000002</v>
      </c>
      <c r="H809" s="264">
        <f>H810</f>
        <v>3.6363500000000002</v>
      </c>
      <c r="I809" s="240">
        <f t="shared" si="348"/>
        <v>100</v>
      </c>
      <c r="J809" s="240"/>
    </row>
    <row r="810" spans="1:132" ht="39" x14ac:dyDescent="0.25">
      <c r="A810" s="94"/>
      <c r="B810" s="94"/>
      <c r="C810" s="6"/>
      <c r="D810" s="6" t="s">
        <v>383</v>
      </c>
      <c r="E810" s="3" t="s">
        <v>384</v>
      </c>
      <c r="F810" s="76"/>
      <c r="G810" s="264">
        <v>3.6363500000000002</v>
      </c>
      <c r="H810" s="264">
        <v>3.6363500000000002</v>
      </c>
      <c r="I810" s="240">
        <f t="shared" si="348"/>
        <v>100</v>
      </c>
      <c r="J810" s="240"/>
    </row>
    <row r="811" spans="1:132" x14ac:dyDescent="0.25">
      <c r="A811" s="65"/>
      <c r="B811" s="17">
        <v>1000</v>
      </c>
      <c r="C811" s="104"/>
      <c r="D811" s="103"/>
      <c r="E811" s="98" t="s">
        <v>592</v>
      </c>
      <c r="F811" s="71">
        <f t="shared" ref="F811:H815" si="349">F812</f>
        <v>327.44704000000002</v>
      </c>
      <c r="G811" s="71">
        <f t="shared" si="349"/>
        <v>405.53433999999999</v>
      </c>
      <c r="H811" s="71">
        <f t="shared" si="349"/>
        <v>405.53433999999999</v>
      </c>
      <c r="I811" s="247">
        <f t="shared" si="348"/>
        <v>100</v>
      </c>
      <c r="J811" s="247">
        <f t="shared" ref="J811:J868" si="350">G811/F811*100</f>
        <v>123.84730672782993</v>
      </c>
    </row>
    <row r="812" spans="1:132" x14ac:dyDescent="0.25">
      <c r="A812" s="103"/>
      <c r="B812" s="17">
        <v>1003</v>
      </c>
      <c r="C812" s="104"/>
      <c r="D812" s="103"/>
      <c r="E812" s="98" t="s">
        <v>596</v>
      </c>
      <c r="F812" s="71">
        <f t="shared" si="349"/>
        <v>327.44704000000002</v>
      </c>
      <c r="G812" s="71">
        <f t="shared" si="349"/>
        <v>405.53433999999999</v>
      </c>
      <c r="H812" s="71">
        <f t="shared" si="349"/>
        <v>405.53433999999999</v>
      </c>
      <c r="I812" s="247">
        <f t="shared" si="348"/>
        <v>100</v>
      </c>
      <c r="J812" s="247">
        <f t="shared" si="350"/>
        <v>123.84730672782993</v>
      </c>
    </row>
    <row r="813" spans="1:132" x14ac:dyDescent="0.25">
      <c r="A813" s="147"/>
      <c r="B813" s="17"/>
      <c r="C813" s="104" t="s">
        <v>4</v>
      </c>
      <c r="D813" s="103"/>
      <c r="E813" s="123" t="s">
        <v>5</v>
      </c>
      <c r="F813" s="71">
        <f t="shared" si="349"/>
        <v>327.44704000000002</v>
      </c>
      <c r="G813" s="71">
        <f t="shared" si="349"/>
        <v>405.53433999999999</v>
      </c>
      <c r="H813" s="71">
        <f t="shared" si="349"/>
        <v>405.53433999999999</v>
      </c>
      <c r="I813" s="247">
        <f t="shared" si="348"/>
        <v>100</v>
      </c>
      <c r="J813" s="247">
        <f t="shared" si="350"/>
        <v>123.84730672782993</v>
      </c>
    </row>
    <row r="814" spans="1:132" ht="25.5" x14ac:dyDescent="0.25">
      <c r="A814" s="106"/>
      <c r="B814" s="107"/>
      <c r="C814" s="108" t="s">
        <v>55</v>
      </c>
      <c r="D814" s="107"/>
      <c r="E814" s="109" t="s">
        <v>56</v>
      </c>
      <c r="F814" s="159">
        <f t="shared" si="349"/>
        <v>327.44704000000002</v>
      </c>
      <c r="G814" s="159">
        <f t="shared" si="349"/>
        <v>405.53433999999999</v>
      </c>
      <c r="H814" s="159">
        <f t="shared" si="349"/>
        <v>405.53433999999999</v>
      </c>
      <c r="I814" s="257">
        <f t="shared" si="348"/>
        <v>100</v>
      </c>
      <c r="J814" s="257">
        <f t="shared" si="350"/>
        <v>123.84730672782993</v>
      </c>
    </row>
    <row r="815" spans="1:132" x14ac:dyDescent="0.25">
      <c r="A815" s="30"/>
      <c r="B815" s="30"/>
      <c r="C815" s="30" t="s">
        <v>128</v>
      </c>
      <c r="D815" s="30"/>
      <c r="E815" s="31" t="s">
        <v>129</v>
      </c>
      <c r="F815" s="72">
        <f t="shared" si="349"/>
        <v>327.44704000000002</v>
      </c>
      <c r="G815" s="72">
        <f t="shared" si="349"/>
        <v>405.53433999999999</v>
      </c>
      <c r="H815" s="72">
        <f t="shared" si="349"/>
        <v>405.53433999999999</v>
      </c>
      <c r="I815" s="244">
        <f t="shared" si="348"/>
        <v>100</v>
      </c>
      <c r="J815" s="244">
        <f t="shared" si="350"/>
        <v>123.84730672782993</v>
      </c>
    </row>
    <row r="816" spans="1:132" ht="26.25" x14ac:dyDescent="0.25">
      <c r="A816" s="32"/>
      <c r="B816" s="32"/>
      <c r="C816" s="32" t="s">
        <v>136</v>
      </c>
      <c r="D816" s="35"/>
      <c r="E816" s="33" t="s">
        <v>137</v>
      </c>
      <c r="F816" s="68">
        <f>F817+F820</f>
        <v>327.44704000000002</v>
      </c>
      <c r="G816" s="68">
        <f t="shared" ref="G816:H816" si="351">G817+G820</f>
        <v>405.53433999999999</v>
      </c>
      <c r="H816" s="68">
        <f t="shared" si="351"/>
        <v>405.53433999999999</v>
      </c>
      <c r="I816" s="245">
        <f t="shared" si="348"/>
        <v>100</v>
      </c>
      <c r="J816" s="245">
        <f t="shared" si="350"/>
        <v>123.84730672782993</v>
      </c>
    </row>
    <row r="817" spans="1:10" ht="51" x14ac:dyDescent="0.25">
      <c r="A817" s="147"/>
      <c r="B817" s="16"/>
      <c r="C817" s="122" t="s">
        <v>140</v>
      </c>
      <c r="D817" s="16"/>
      <c r="E817" s="1" t="s">
        <v>619</v>
      </c>
      <c r="F817" s="67">
        <f t="shared" ref="F817:H817" si="352">F818+F819</f>
        <v>317.58704</v>
      </c>
      <c r="G817" s="67">
        <f t="shared" si="352"/>
        <v>384.24633999999998</v>
      </c>
      <c r="H817" s="67">
        <f t="shared" si="352"/>
        <v>384.24633999999998</v>
      </c>
      <c r="I817" s="246">
        <f t="shared" si="348"/>
        <v>100</v>
      </c>
      <c r="J817" s="246">
        <f t="shared" si="350"/>
        <v>120.98930107475418</v>
      </c>
    </row>
    <row r="818" spans="1:10" x14ac:dyDescent="0.25">
      <c r="A818" s="147"/>
      <c r="B818" s="16"/>
      <c r="C818" s="122"/>
      <c r="D818" s="16" t="s">
        <v>408</v>
      </c>
      <c r="E818" s="3" t="s">
        <v>409</v>
      </c>
      <c r="F818" s="67">
        <v>0</v>
      </c>
      <c r="G818" s="264">
        <v>5</v>
      </c>
      <c r="H818" s="264">
        <v>5</v>
      </c>
      <c r="I818" s="246">
        <f t="shared" si="348"/>
        <v>100</v>
      </c>
      <c r="J818" s="246" t="e">
        <f t="shared" si="350"/>
        <v>#DIV/0!</v>
      </c>
    </row>
    <row r="819" spans="1:10" ht="25.5" x14ac:dyDescent="0.25">
      <c r="A819" s="147"/>
      <c r="B819" s="16"/>
      <c r="C819" s="122"/>
      <c r="D819" s="16" t="s">
        <v>449</v>
      </c>
      <c r="E819" s="7" t="s">
        <v>450</v>
      </c>
      <c r="F819" s="67">
        <f>445.9-128.31296</f>
        <v>317.58704</v>
      </c>
      <c r="G819" s="264">
        <v>379.24633999999998</v>
      </c>
      <c r="H819" s="264">
        <v>379.24633999999998</v>
      </c>
      <c r="I819" s="246">
        <f t="shared" si="348"/>
        <v>100</v>
      </c>
      <c r="J819" s="246">
        <f t="shared" si="350"/>
        <v>119.41492952609147</v>
      </c>
    </row>
    <row r="820" spans="1:10" ht="26.25" x14ac:dyDescent="0.25">
      <c r="A820" s="147"/>
      <c r="B820" s="16"/>
      <c r="C820" s="6" t="s">
        <v>800</v>
      </c>
      <c r="D820" s="6"/>
      <c r="E820" s="3" t="s">
        <v>801</v>
      </c>
      <c r="F820" s="67">
        <v>9.86</v>
      </c>
      <c r="G820" s="67">
        <f>G821</f>
        <v>21.288</v>
      </c>
      <c r="H820" s="67">
        <f>H821</f>
        <v>21.288</v>
      </c>
      <c r="I820" s="246">
        <f t="shared" si="348"/>
        <v>100</v>
      </c>
      <c r="J820" s="246">
        <f t="shared" si="350"/>
        <v>215.90263691683572</v>
      </c>
    </row>
    <row r="821" spans="1:10" x14ac:dyDescent="0.25">
      <c r="A821" s="147"/>
      <c r="B821" s="16"/>
      <c r="C821" s="6"/>
      <c r="D821" s="6" t="s">
        <v>272</v>
      </c>
      <c r="E821" s="3" t="s">
        <v>273</v>
      </c>
      <c r="F821" s="67">
        <v>9.86</v>
      </c>
      <c r="G821" s="67">
        <f>G822+G823</f>
        <v>21.288</v>
      </c>
      <c r="H821" s="67">
        <f>H822+H823</f>
        <v>21.288</v>
      </c>
      <c r="I821" s="246">
        <f t="shared" si="348"/>
        <v>100</v>
      </c>
      <c r="J821" s="246">
        <f t="shared" si="350"/>
        <v>215.90263691683572</v>
      </c>
    </row>
    <row r="822" spans="1:10" x14ac:dyDescent="0.25">
      <c r="A822" s="147"/>
      <c r="B822" s="16"/>
      <c r="C822" s="6"/>
      <c r="D822" s="6"/>
      <c r="E822" s="1" t="s">
        <v>182</v>
      </c>
      <c r="F822" s="67"/>
      <c r="G822" s="67">
        <v>11.428000000000001</v>
      </c>
      <c r="H822" s="67">
        <v>11.428000000000001</v>
      </c>
      <c r="I822" s="246">
        <f t="shared" si="348"/>
        <v>100</v>
      </c>
      <c r="J822" s="246" t="e">
        <f t="shared" si="350"/>
        <v>#DIV/0!</v>
      </c>
    </row>
    <row r="823" spans="1:10" x14ac:dyDescent="0.25">
      <c r="A823" s="147"/>
      <c r="B823" s="16"/>
      <c r="C823" s="6"/>
      <c r="D823" s="6"/>
      <c r="E823" s="3" t="s">
        <v>82</v>
      </c>
      <c r="F823" s="67">
        <v>9.86</v>
      </c>
      <c r="G823" s="67">
        <v>9.86</v>
      </c>
      <c r="H823" s="67">
        <v>9.86</v>
      </c>
      <c r="I823" s="246">
        <f t="shared" si="348"/>
        <v>100</v>
      </c>
      <c r="J823" s="246">
        <f t="shared" si="350"/>
        <v>100</v>
      </c>
    </row>
    <row r="824" spans="1:10" x14ac:dyDescent="0.25">
      <c r="A824" s="147"/>
      <c r="B824" s="17">
        <v>1100</v>
      </c>
      <c r="C824" s="104"/>
      <c r="D824" s="103"/>
      <c r="E824" s="98" t="s">
        <v>610</v>
      </c>
      <c r="F824" s="71">
        <f t="shared" ref="F824:H829" si="353">F825</f>
        <v>66</v>
      </c>
      <c r="G824" s="71">
        <f t="shared" si="353"/>
        <v>66</v>
      </c>
      <c r="H824" s="71">
        <f t="shared" si="353"/>
        <v>66</v>
      </c>
      <c r="I824" s="247">
        <f t="shared" si="348"/>
        <v>100</v>
      </c>
      <c r="J824" s="247">
        <f t="shared" si="350"/>
        <v>100</v>
      </c>
    </row>
    <row r="825" spans="1:10" x14ac:dyDescent="0.25">
      <c r="A825" s="147"/>
      <c r="B825" s="17" t="s">
        <v>611</v>
      </c>
      <c r="C825" s="104"/>
      <c r="D825" s="17"/>
      <c r="E825" s="123" t="s">
        <v>612</v>
      </c>
      <c r="F825" s="71">
        <f t="shared" si="353"/>
        <v>66</v>
      </c>
      <c r="G825" s="71">
        <f t="shared" si="353"/>
        <v>66</v>
      </c>
      <c r="H825" s="71">
        <f t="shared" si="353"/>
        <v>66</v>
      </c>
      <c r="I825" s="247">
        <f t="shared" si="348"/>
        <v>100</v>
      </c>
      <c r="J825" s="247">
        <f t="shared" si="350"/>
        <v>100</v>
      </c>
    </row>
    <row r="826" spans="1:10" x14ac:dyDescent="0.25">
      <c r="A826" s="147"/>
      <c r="B826" s="17"/>
      <c r="C826" s="104" t="s">
        <v>4</v>
      </c>
      <c r="D826" s="17"/>
      <c r="E826" s="123" t="s">
        <v>5</v>
      </c>
      <c r="F826" s="71">
        <f t="shared" si="353"/>
        <v>66</v>
      </c>
      <c r="G826" s="71">
        <f t="shared" si="353"/>
        <v>66</v>
      </c>
      <c r="H826" s="71">
        <f t="shared" si="353"/>
        <v>66</v>
      </c>
      <c r="I826" s="247">
        <f t="shared" si="348"/>
        <v>100</v>
      </c>
      <c r="J826" s="247">
        <f t="shared" si="350"/>
        <v>100</v>
      </c>
    </row>
    <row r="827" spans="1:10" ht="25.5" x14ac:dyDescent="0.25">
      <c r="A827" s="106"/>
      <c r="B827" s="107"/>
      <c r="C827" s="108" t="s">
        <v>248</v>
      </c>
      <c r="D827" s="107"/>
      <c r="E827" s="109" t="s">
        <v>249</v>
      </c>
      <c r="F827" s="159">
        <f t="shared" si="353"/>
        <v>66</v>
      </c>
      <c r="G827" s="159">
        <f t="shared" si="353"/>
        <v>66</v>
      </c>
      <c r="H827" s="159">
        <f t="shared" si="353"/>
        <v>66</v>
      </c>
      <c r="I827" s="257">
        <f t="shared" si="348"/>
        <v>100</v>
      </c>
      <c r="J827" s="257">
        <f t="shared" si="350"/>
        <v>100</v>
      </c>
    </row>
    <row r="828" spans="1:10" ht="26.25" x14ac:dyDescent="0.25">
      <c r="A828" s="32"/>
      <c r="B828" s="32"/>
      <c r="C828" s="32" t="s">
        <v>250</v>
      </c>
      <c r="D828" s="32"/>
      <c r="E828" s="33" t="s">
        <v>251</v>
      </c>
      <c r="F828" s="68">
        <f t="shared" si="353"/>
        <v>66</v>
      </c>
      <c r="G828" s="68">
        <f t="shared" si="353"/>
        <v>66</v>
      </c>
      <c r="H828" s="68">
        <f t="shared" si="353"/>
        <v>66</v>
      </c>
      <c r="I828" s="245">
        <f t="shared" si="348"/>
        <v>100</v>
      </c>
      <c r="J828" s="245">
        <f t="shared" si="350"/>
        <v>100</v>
      </c>
    </row>
    <row r="829" spans="1:10" ht="39" x14ac:dyDescent="0.25">
      <c r="A829" s="94"/>
      <c r="B829" s="94"/>
      <c r="C829" s="6" t="s">
        <v>252</v>
      </c>
      <c r="D829" s="6"/>
      <c r="E829" s="3" t="s">
        <v>253</v>
      </c>
      <c r="F829" s="67">
        <f>F830</f>
        <v>66</v>
      </c>
      <c r="G829" s="67">
        <f t="shared" si="353"/>
        <v>66</v>
      </c>
      <c r="H829" s="67">
        <f t="shared" si="353"/>
        <v>66</v>
      </c>
      <c r="I829" s="246">
        <f t="shared" si="348"/>
        <v>100</v>
      </c>
      <c r="J829" s="246">
        <f t="shared" si="350"/>
        <v>100</v>
      </c>
    </row>
    <row r="830" spans="1:10" ht="26.25" x14ac:dyDescent="0.25">
      <c r="A830" s="94"/>
      <c r="B830" s="94"/>
      <c r="C830" s="6"/>
      <c r="D830" s="6" t="s">
        <v>449</v>
      </c>
      <c r="E830" s="3" t="s">
        <v>450</v>
      </c>
      <c r="F830" s="67">
        <v>66</v>
      </c>
      <c r="G830" s="67">
        <v>66</v>
      </c>
      <c r="H830" s="67">
        <v>66</v>
      </c>
      <c r="I830" s="246">
        <f t="shared" si="348"/>
        <v>100</v>
      </c>
      <c r="J830" s="246">
        <f t="shared" si="350"/>
        <v>100</v>
      </c>
    </row>
    <row r="831" spans="1:10" x14ac:dyDescent="0.25">
      <c r="A831" s="147"/>
      <c r="B831" s="17">
        <v>1200</v>
      </c>
      <c r="C831" s="104"/>
      <c r="D831" s="103"/>
      <c r="E831" s="98" t="s">
        <v>620</v>
      </c>
      <c r="F831" s="71">
        <f>F832</f>
        <v>1487.8</v>
      </c>
      <c r="G831" s="71">
        <f t="shared" ref="G831:H834" si="354">G832</f>
        <v>1487.8</v>
      </c>
      <c r="H831" s="71">
        <f t="shared" si="354"/>
        <v>1487.8</v>
      </c>
      <c r="I831" s="247">
        <f t="shared" si="348"/>
        <v>100</v>
      </c>
      <c r="J831" s="247">
        <f t="shared" si="350"/>
        <v>100</v>
      </c>
    </row>
    <row r="832" spans="1:10" x14ac:dyDescent="0.25">
      <c r="A832" s="103"/>
      <c r="B832" s="17">
        <v>1202</v>
      </c>
      <c r="C832" s="104"/>
      <c r="D832" s="103"/>
      <c r="E832" s="98" t="s">
        <v>621</v>
      </c>
      <c r="F832" s="71">
        <f>F833</f>
        <v>1487.8</v>
      </c>
      <c r="G832" s="71">
        <f t="shared" si="354"/>
        <v>1487.8</v>
      </c>
      <c r="H832" s="71">
        <f t="shared" si="354"/>
        <v>1487.8</v>
      </c>
      <c r="I832" s="247">
        <f t="shared" si="348"/>
        <v>100</v>
      </c>
      <c r="J832" s="247">
        <f t="shared" si="350"/>
        <v>100</v>
      </c>
    </row>
    <row r="833" spans="1:10" x14ac:dyDescent="0.25">
      <c r="A833" s="103"/>
      <c r="B833" s="17"/>
      <c r="C833" s="104" t="s">
        <v>4</v>
      </c>
      <c r="D833" s="103"/>
      <c r="E833" s="123" t="s">
        <v>5</v>
      </c>
      <c r="F833" s="71">
        <f>F834</f>
        <v>1487.8</v>
      </c>
      <c r="G833" s="71">
        <f t="shared" si="354"/>
        <v>1487.8</v>
      </c>
      <c r="H833" s="71">
        <f t="shared" si="354"/>
        <v>1487.8</v>
      </c>
      <c r="I833" s="247">
        <f t="shared" si="348"/>
        <v>100</v>
      </c>
      <c r="J833" s="247">
        <f t="shared" si="350"/>
        <v>100</v>
      </c>
    </row>
    <row r="834" spans="1:10" ht="25.5" x14ac:dyDescent="0.25">
      <c r="A834" s="150"/>
      <c r="B834" s="107"/>
      <c r="C834" s="108" t="s">
        <v>203</v>
      </c>
      <c r="D834" s="107"/>
      <c r="E834" s="109" t="s">
        <v>204</v>
      </c>
      <c r="F834" s="159">
        <f>F835</f>
        <v>1487.8</v>
      </c>
      <c r="G834" s="159">
        <f t="shared" si="354"/>
        <v>1487.8</v>
      </c>
      <c r="H834" s="159">
        <f t="shared" si="354"/>
        <v>1487.8</v>
      </c>
      <c r="I834" s="257">
        <f t="shared" si="348"/>
        <v>100</v>
      </c>
      <c r="J834" s="257">
        <f t="shared" si="350"/>
        <v>100</v>
      </c>
    </row>
    <row r="835" spans="1:10" x14ac:dyDescent="0.25">
      <c r="A835" s="30"/>
      <c r="B835" s="30"/>
      <c r="C835" s="30" t="s">
        <v>243</v>
      </c>
      <c r="D835" s="30"/>
      <c r="E835" s="31" t="s">
        <v>244</v>
      </c>
      <c r="F835" s="72">
        <f t="shared" ref="F835:H837" si="355">F836</f>
        <v>1487.8</v>
      </c>
      <c r="G835" s="72">
        <f t="shared" si="355"/>
        <v>1487.8</v>
      </c>
      <c r="H835" s="72">
        <f t="shared" si="355"/>
        <v>1487.8</v>
      </c>
      <c r="I835" s="244">
        <f t="shared" si="348"/>
        <v>100</v>
      </c>
      <c r="J835" s="244">
        <f t="shared" si="350"/>
        <v>100</v>
      </c>
    </row>
    <row r="836" spans="1:10" ht="39" x14ac:dyDescent="0.25">
      <c r="A836" s="32"/>
      <c r="B836" s="32"/>
      <c r="C836" s="32" t="s">
        <v>245</v>
      </c>
      <c r="D836" s="32"/>
      <c r="E836" s="33" t="s">
        <v>246</v>
      </c>
      <c r="F836" s="68">
        <f t="shared" si="355"/>
        <v>1487.8</v>
      </c>
      <c r="G836" s="68">
        <f t="shared" si="355"/>
        <v>1487.8</v>
      </c>
      <c r="H836" s="68">
        <f t="shared" si="355"/>
        <v>1487.8</v>
      </c>
      <c r="I836" s="245">
        <f t="shared" si="348"/>
        <v>100</v>
      </c>
      <c r="J836" s="245">
        <f t="shared" si="350"/>
        <v>100</v>
      </c>
    </row>
    <row r="837" spans="1:10" x14ac:dyDescent="0.25">
      <c r="A837" s="94"/>
      <c r="B837" s="94"/>
      <c r="C837" s="6" t="s">
        <v>247</v>
      </c>
      <c r="D837" s="6"/>
      <c r="E837" s="3" t="s">
        <v>455</v>
      </c>
      <c r="F837" s="67">
        <f>F838</f>
        <v>1487.8</v>
      </c>
      <c r="G837" s="67">
        <f t="shared" si="355"/>
        <v>1487.8</v>
      </c>
      <c r="H837" s="67">
        <f t="shared" si="355"/>
        <v>1487.8</v>
      </c>
      <c r="I837" s="246">
        <f t="shared" si="348"/>
        <v>100</v>
      </c>
      <c r="J837" s="246">
        <f t="shared" si="350"/>
        <v>100</v>
      </c>
    </row>
    <row r="838" spans="1:10" ht="26.25" x14ac:dyDescent="0.25">
      <c r="A838" s="94"/>
      <c r="B838" s="94"/>
      <c r="C838" s="6"/>
      <c r="D838" s="6" t="s">
        <v>449</v>
      </c>
      <c r="E838" s="3" t="s">
        <v>450</v>
      </c>
      <c r="F838" s="67">
        <v>1487.8</v>
      </c>
      <c r="G838" s="67">
        <v>1487.8</v>
      </c>
      <c r="H838" s="67">
        <v>1487.8</v>
      </c>
      <c r="I838" s="246">
        <f t="shared" si="348"/>
        <v>100</v>
      </c>
      <c r="J838" s="246">
        <f t="shared" si="350"/>
        <v>100</v>
      </c>
    </row>
    <row r="839" spans="1:10" x14ac:dyDescent="0.25">
      <c r="A839" s="101">
        <v>636</v>
      </c>
      <c r="B839" s="145"/>
      <c r="C839" s="146"/>
      <c r="D839" s="101"/>
      <c r="E839" s="102" t="s">
        <v>622</v>
      </c>
      <c r="F839" s="79">
        <f t="shared" ref="F839:H841" si="356">F840</f>
        <v>3059.7</v>
      </c>
      <c r="G839" s="79">
        <f t="shared" si="356"/>
        <v>3059.7</v>
      </c>
      <c r="H839" s="79">
        <f t="shared" si="356"/>
        <v>3059.7</v>
      </c>
      <c r="I839" s="242">
        <f t="shared" si="348"/>
        <v>100</v>
      </c>
      <c r="J839" s="242">
        <f t="shared" si="350"/>
        <v>100</v>
      </c>
    </row>
    <row r="840" spans="1:10" x14ac:dyDescent="0.25">
      <c r="A840" s="65"/>
      <c r="B840" s="17" t="s">
        <v>530</v>
      </c>
      <c r="C840" s="104"/>
      <c r="D840" s="103"/>
      <c r="E840" s="98" t="s">
        <v>538</v>
      </c>
      <c r="F840" s="71">
        <f t="shared" si="356"/>
        <v>3059.7</v>
      </c>
      <c r="G840" s="71">
        <f t="shared" si="356"/>
        <v>3059.7</v>
      </c>
      <c r="H840" s="71">
        <f t="shared" si="356"/>
        <v>3059.7</v>
      </c>
      <c r="I840" s="247">
        <f t="shared" si="348"/>
        <v>100</v>
      </c>
      <c r="J840" s="247">
        <f t="shared" si="350"/>
        <v>100</v>
      </c>
    </row>
    <row r="841" spans="1:10" ht="25.5" x14ac:dyDescent="0.25">
      <c r="A841" s="65"/>
      <c r="B841" s="17" t="s">
        <v>623</v>
      </c>
      <c r="C841" s="104"/>
      <c r="D841" s="17"/>
      <c r="E841" s="123" t="s">
        <v>624</v>
      </c>
      <c r="F841" s="71">
        <f t="shared" si="356"/>
        <v>3059.7</v>
      </c>
      <c r="G841" s="71">
        <f t="shared" si="356"/>
        <v>3059.7</v>
      </c>
      <c r="H841" s="71">
        <f t="shared" si="356"/>
        <v>3059.7</v>
      </c>
      <c r="I841" s="247">
        <f t="shared" si="348"/>
        <v>100</v>
      </c>
      <c r="J841" s="247">
        <f t="shared" si="350"/>
        <v>100</v>
      </c>
    </row>
    <row r="842" spans="1:10" x14ac:dyDescent="0.25">
      <c r="A842" s="151"/>
      <c r="B842" s="152"/>
      <c r="C842" s="113" t="s">
        <v>540</v>
      </c>
      <c r="D842" s="114"/>
      <c r="E842" s="115" t="s">
        <v>541</v>
      </c>
      <c r="F842" s="133">
        <f t="shared" ref="F842:H842" si="357">F843+F849</f>
        <v>3059.7</v>
      </c>
      <c r="G842" s="133">
        <f t="shared" si="357"/>
        <v>3059.7</v>
      </c>
      <c r="H842" s="133">
        <f t="shared" si="357"/>
        <v>3059.7</v>
      </c>
      <c r="I842" s="254">
        <f t="shared" si="348"/>
        <v>100</v>
      </c>
      <c r="J842" s="254">
        <f t="shared" si="350"/>
        <v>100</v>
      </c>
    </row>
    <row r="843" spans="1:10" s="38" customFormat="1" ht="26.25" x14ac:dyDescent="0.25">
      <c r="A843" s="142"/>
      <c r="B843" s="142"/>
      <c r="C843" s="136" t="s">
        <v>380</v>
      </c>
      <c r="D843" s="61"/>
      <c r="E843" s="62" t="s">
        <v>381</v>
      </c>
      <c r="F843" s="80">
        <f>F844+F846</f>
        <v>2909.7</v>
      </c>
      <c r="G843" s="80">
        <f t="shared" ref="G843:H843" si="358">G844+G846</f>
        <v>2909.7</v>
      </c>
      <c r="H843" s="80">
        <f t="shared" si="358"/>
        <v>2909.7</v>
      </c>
      <c r="I843" s="255">
        <f t="shared" si="348"/>
        <v>100</v>
      </c>
      <c r="J843" s="255">
        <f t="shared" si="350"/>
        <v>100</v>
      </c>
    </row>
    <row r="844" spans="1:10" ht="26.25" x14ac:dyDescent="0.25">
      <c r="A844" s="94"/>
      <c r="B844" s="94"/>
      <c r="C844" s="6" t="s">
        <v>382</v>
      </c>
      <c r="D844" s="6"/>
      <c r="E844" s="3" t="s">
        <v>464</v>
      </c>
      <c r="F844" s="67">
        <v>1164</v>
      </c>
      <c r="G844" s="67">
        <v>1164</v>
      </c>
      <c r="H844" s="67">
        <v>1164</v>
      </c>
      <c r="I844" s="246">
        <f t="shared" si="348"/>
        <v>100</v>
      </c>
      <c r="J844" s="246">
        <f t="shared" si="350"/>
        <v>100</v>
      </c>
    </row>
    <row r="845" spans="1:10" ht="39" x14ac:dyDescent="0.25">
      <c r="A845" s="94"/>
      <c r="B845" s="94"/>
      <c r="C845" s="6"/>
      <c r="D845" s="6" t="s">
        <v>383</v>
      </c>
      <c r="E845" s="3" t="s">
        <v>384</v>
      </c>
      <c r="F845" s="77">
        <v>1164</v>
      </c>
      <c r="G845" s="77">
        <v>1164</v>
      </c>
      <c r="H845" s="77">
        <v>1164</v>
      </c>
      <c r="I845" s="248">
        <f t="shared" si="348"/>
        <v>100</v>
      </c>
      <c r="J845" s="248">
        <f t="shared" si="350"/>
        <v>100</v>
      </c>
    </row>
    <row r="846" spans="1:10" ht="26.25" x14ac:dyDescent="0.25">
      <c r="A846" s="94"/>
      <c r="B846" s="94"/>
      <c r="C846" s="6" t="s">
        <v>385</v>
      </c>
      <c r="D846" s="6"/>
      <c r="E846" s="53" t="s">
        <v>723</v>
      </c>
      <c r="F846" s="77">
        <f>F847+F848</f>
        <v>1745.7</v>
      </c>
      <c r="G846" s="77">
        <f t="shared" ref="G846:H846" si="359">G847+G848</f>
        <v>1745.7</v>
      </c>
      <c r="H846" s="77">
        <f t="shared" si="359"/>
        <v>1745.7</v>
      </c>
      <c r="I846" s="248">
        <f t="shared" si="348"/>
        <v>100</v>
      </c>
      <c r="J846" s="248">
        <f t="shared" si="350"/>
        <v>100</v>
      </c>
    </row>
    <row r="847" spans="1:10" ht="39" x14ac:dyDescent="0.25">
      <c r="A847" s="94"/>
      <c r="B847" s="94"/>
      <c r="C847" s="6"/>
      <c r="D847" s="6" t="s">
        <v>383</v>
      </c>
      <c r="E847" s="3" t="s">
        <v>384</v>
      </c>
      <c r="F847" s="77">
        <v>1695</v>
      </c>
      <c r="G847" s="77">
        <v>1695</v>
      </c>
      <c r="H847" s="77">
        <v>1695</v>
      </c>
      <c r="I847" s="248">
        <f t="shared" si="348"/>
        <v>100</v>
      </c>
      <c r="J847" s="248">
        <f t="shared" si="350"/>
        <v>100</v>
      </c>
    </row>
    <row r="848" spans="1:10" x14ac:dyDescent="0.25">
      <c r="A848" s="94"/>
      <c r="B848" s="94"/>
      <c r="C848" s="6"/>
      <c r="D848" s="6" t="s">
        <v>272</v>
      </c>
      <c r="E848" s="3" t="s">
        <v>273</v>
      </c>
      <c r="F848" s="67">
        <v>50.7</v>
      </c>
      <c r="G848" s="67">
        <v>50.7</v>
      </c>
      <c r="H848" s="67">
        <v>50.7</v>
      </c>
      <c r="I848" s="246">
        <f t="shared" si="348"/>
        <v>100</v>
      </c>
      <c r="J848" s="246">
        <f t="shared" si="350"/>
        <v>100</v>
      </c>
    </row>
    <row r="849" spans="1:132" ht="25.5" x14ac:dyDescent="0.25">
      <c r="A849" s="142"/>
      <c r="B849" s="142"/>
      <c r="C849" s="136" t="s">
        <v>386</v>
      </c>
      <c r="D849" s="137"/>
      <c r="E849" s="153" t="s">
        <v>542</v>
      </c>
      <c r="F849" s="80">
        <f t="shared" ref="F849:H850" si="360">F850</f>
        <v>150</v>
      </c>
      <c r="G849" s="80">
        <f t="shared" si="360"/>
        <v>150</v>
      </c>
      <c r="H849" s="80">
        <f t="shared" si="360"/>
        <v>150</v>
      </c>
      <c r="I849" s="255">
        <f t="shared" si="348"/>
        <v>100</v>
      </c>
      <c r="J849" s="255">
        <f t="shared" si="350"/>
        <v>100</v>
      </c>
    </row>
    <row r="850" spans="1:132" ht="26.25" x14ac:dyDescent="0.25">
      <c r="A850" s="94"/>
      <c r="B850" s="94"/>
      <c r="C850" s="6" t="s">
        <v>410</v>
      </c>
      <c r="D850" s="6"/>
      <c r="E850" s="3" t="s">
        <v>411</v>
      </c>
      <c r="F850" s="67">
        <f t="shared" si="360"/>
        <v>150</v>
      </c>
      <c r="G850" s="67">
        <f t="shared" si="360"/>
        <v>150</v>
      </c>
      <c r="H850" s="67">
        <f t="shared" si="360"/>
        <v>150</v>
      </c>
      <c r="I850" s="246">
        <f t="shared" si="348"/>
        <v>100</v>
      </c>
      <c r="J850" s="246">
        <f t="shared" si="350"/>
        <v>100</v>
      </c>
    </row>
    <row r="851" spans="1:132" x14ac:dyDescent="0.25">
      <c r="A851" s="94"/>
      <c r="B851" s="94"/>
      <c r="C851" s="6"/>
      <c r="D851" s="6" t="s">
        <v>272</v>
      </c>
      <c r="E851" s="3" t="s">
        <v>273</v>
      </c>
      <c r="F851" s="67">
        <v>150</v>
      </c>
      <c r="G851" s="67">
        <v>150</v>
      </c>
      <c r="H851" s="67">
        <v>150</v>
      </c>
      <c r="I851" s="246">
        <f t="shared" si="348"/>
        <v>100</v>
      </c>
      <c r="J851" s="246">
        <f t="shared" si="350"/>
        <v>100</v>
      </c>
    </row>
    <row r="852" spans="1:132" ht="25.5" x14ac:dyDescent="0.25">
      <c r="A852" s="101">
        <v>651</v>
      </c>
      <c r="B852" s="145"/>
      <c r="C852" s="146"/>
      <c r="D852" s="101"/>
      <c r="E852" s="102" t="s">
        <v>625</v>
      </c>
      <c r="F852" s="79">
        <f t="shared" ref="F852:H852" si="361">F853</f>
        <v>33615.119299999998</v>
      </c>
      <c r="G852" s="79">
        <f t="shared" si="361"/>
        <v>32466.965829999994</v>
      </c>
      <c r="H852" s="79">
        <f t="shared" si="361"/>
        <v>32371.238709999994</v>
      </c>
      <c r="I852" s="242">
        <f t="shared" si="348"/>
        <v>99.705155324642163</v>
      </c>
      <c r="J852" s="242">
        <f t="shared" si="350"/>
        <v>96.584413520138824</v>
      </c>
    </row>
    <row r="853" spans="1:132" x14ac:dyDescent="0.25">
      <c r="A853" s="65"/>
      <c r="B853" s="17" t="s">
        <v>530</v>
      </c>
      <c r="C853" s="104"/>
      <c r="D853" s="103"/>
      <c r="E853" s="98" t="s">
        <v>538</v>
      </c>
      <c r="F853" s="71">
        <f>F854+F866+F871</f>
        <v>33615.119299999998</v>
      </c>
      <c r="G853" s="71">
        <f>G854+G866+G871</f>
        <v>32466.965829999994</v>
      </c>
      <c r="H853" s="71">
        <f>H854+H866+H871</f>
        <v>32371.238709999994</v>
      </c>
      <c r="I853" s="247">
        <f t="shared" si="348"/>
        <v>99.705155324642163</v>
      </c>
      <c r="J853" s="247">
        <f t="shared" si="350"/>
        <v>96.584413520138824</v>
      </c>
    </row>
    <row r="854" spans="1:132" ht="25.5" x14ac:dyDescent="0.25">
      <c r="A854" s="65"/>
      <c r="B854" s="17" t="s">
        <v>626</v>
      </c>
      <c r="C854" s="104"/>
      <c r="D854" s="103"/>
      <c r="E854" s="98" t="s">
        <v>627</v>
      </c>
      <c r="F854" s="71">
        <f t="shared" ref="F854" si="362">F855</f>
        <v>7771.1</v>
      </c>
      <c r="G854" s="71">
        <f>G855+G862</f>
        <v>7721.4874499999996</v>
      </c>
      <c r="H854" s="71">
        <f>H855+H862</f>
        <v>7625.7949099999996</v>
      </c>
      <c r="I854" s="247">
        <f t="shared" si="348"/>
        <v>98.760698108756245</v>
      </c>
      <c r="J854" s="247">
        <f t="shared" si="350"/>
        <v>99.361576224730072</v>
      </c>
    </row>
    <row r="855" spans="1:132" x14ac:dyDescent="0.25">
      <c r="A855" s="65"/>
      <c r="B855" s="17"/>
      <c r="C855" s="104" t="s">
        <v>4</v>
      </c>
      <c r="D855" s="103"/>
      <c r="E855" s="98" t="s">
        <v>5</v>
      </c>
      <c r="F855" s="71">
        <f t="shared" ref="F855:H855" si="363">F857</f>
        <v>7771.1</v>
      </c>
      <c r="G855" s="71">
        <f t="shared" si="363"/>
        <v>7685.0779199999997</v>
      </c>
      <c r="H855" s="71">
        <f t="shared" si="363"/>
        <v>7589.3853799999997</v>
      </c>
      <c r="I855" s="247">
        <f t="shared" si="348"/>
        <v>98.754826678452218</v>
      </c>
      <c r="J855" s="247">
        <f t="shared" si="350"/>
        <v>98.893051434159901</v>
      </c>
    </row>
    <row r="856" spans="1:132" ht="25.5" x14ac:dyDescent="0.25">
      <c r="A856" s="150"/>
      <c r="B856" s="107"/>
      <c r="C856" s="108" t="s">
        <v>6</v>
      </c>
      <c r="D856" s="107"/>
      <c r="E856" s="109" t="s">
        <v>497</v>
      </c>
      <c r="F856" s="159">
        <f t="shared" ref="F856:H858" si="364">F857</f>
        <v>7771.1</v>
      </c>
      <c r="G856" s="159">
        <f t="shared" si="364"/>
        <v>7685.0779199999997</v>
      </c>
      <c r="H856" s="159">
        <f t="shared" si="364"/>
        <v>7589.3853799999997</v>
      </c>
      <c r="I856" s="257">
        <f t="shared" si="348"/>
        <v>98.754826678452218</v>
      </c>
      <c r="J856" s="257">
        <f t="shared" si="350"/>
        <v>98.893051434159901</v>
      </c>
    </row>
    <row r="857" spans="1:132" ht="26.25" x14ac:dyDescent="0.25">
      <c r="A857" s="30"/>
      <c r="B857" s="30"/>
      <c r="C857" s="30" t="s">
        <v>18</v>
      </c>
      <c r="D857" s="30"/>
      <c r="E857" s="34" t="s">
        <v>19</v>
      </c>
      <c r="F857" s="72">
        <f t="shared" si="364"/>
        <v>7771.1</v>
      </c>
      <c r="G857" s="72">
        <f t="shared" si="364"/>
        <v>7685.0779199999997</v>
      </c>
      <c r="H857" s="72">
        <f t="shared" si="364"/>
        <v>7589.3853799999997</v>
      </c>
      <c r="I857" s="244">
        <f t="shared" si="348"/>
        <v>98.754826678452218</v>
      </c>
      <c r="J857" s="244">
        <f t="shared" si="350"/>
        <v>98.893051434159901</v>
      </c>
    </row>
    <row r="858" spans="1:132" ht="39" x14ac:dyDescent="0.25">
      <c r="A858" s="32"/>
      <c r="B858" s="32"/>
      <c r="C858" s="32" t="s">
        <v>20</v>
      </c>
      <c r="D858" s="32"/>
      <c r="E858" s="33" t="s">
        <v>21</v>
      </c>
      <c r="F858" s="68">
        <f t="shared" si="364"/>
        <v>7771.1</v>
      </c>
      <c r="G858" s="68">
        <f t="shared" si="364"/>
        <v>7685.0779199999997</v>
      </c>
      <c r="H858" s="68">
        <f t="shared" si="364"/>
        <v>7589.3853799999997</v>
      </c>
      <c r="I858" s="245">
        <f t="shared" si="348"/>
        <v>98.754826678452218</v>
      </c>
      <c r="J858" s="245">
        <f t="shared" si="350"/>
        <v>98.893051434159901</v>
      </c>
    </row>
    <row r="859" spans="1:132" ht="25.5" x14ac:dyDescent="0.25">
      <c r="A859" s="94"/>
      <c r="B859" s="94"/>
      <c r="C859" s="6" t="s">
        <v>24</v>
      </c>
      <c r="D859" s="6"/>
      <c r="E859" s="1" t="s">
        <v>25</v>
      </c>
      <c r="F859" s="67">
        <f t="shared" ref="F859:H859" si="365">F860+F861</f>
        <v>7771.1</v>
      </c>
      <c r="G859" s="67">
        <f t="shared" si="365"/>
        <v>7685.0779199999997</v>
      </c>
      <c r="H859" s="67">
        <f t="shared" si="365"/>
        <v>7589.3853799999997</v>
      </c>
      <c r="I859" s="246">
        <f t="shared" si="348"/>
        <v>98.754826678452218</v>
      </c>
      <c r="J859" s="246">
        <f t="shared" si="350"/>
        <v>98.893051434159901</v>
      </c>
      <c r="K859" s="482"/>
    </row>
    <row r="860" spans="1:132" ht="39" x14ac:dyDescent="0.25">
      <c r="A860" s="94"/>
      <c r="B860" s="94"/>
      <c r="C860" s="6"/>
      <c r="D860" s="6" t="s">
        <v>383</v>
      </c>
      <c r="E860" s="3" t="s">
        <v>384</v>
      </c>
      <c r="F860" s="67">
        <v>7240.9000000000005</v>
      </c>
      <c r="G860" s="264">
        <v>7154.8779199999999</v>
      </c>
      <c r="H860" s="264">
        <v>7110.4558200000001</v>
      </c>
      <c r="I860" s="246">
        <f t="shared" si="348"/>
        <v>99.379135458400668</v>
      </c>
      <c r="J860" s="246">
        <f t="shared" si="350"/>
        <v>98.811997403637662</v>
      </c>
    </row>
    <row r="861" spans="1:132" x14ac:dyDescent="0.25">
      <c r="A861" s="94"/>
      <c r="B861" s="94"/>
      <c r="C861" s="6"/>
      <c r="D861" s="6" t="s">
        <v>272</v>
      </c>
      <c r="E861" s="3" t="s">
        <v>273</v>
      </c>
      <c r="F861" s="67">
        <v>530.19999999999993</v>
      </c>
      <c r="G861" s="264">
        <v>530.20000000000005</v>
      </c>
      <c r="H861" s="264">
        <v>478.92955999999998</v>
      </c>
      <c r="I861" s="246">
        <f t="shared" si="348"/>
        <v>90.329981139192753</v>
      </c>
      <c r="J861" s="246">
        <f t="shared" si="350"/>
        <v>100.00000000000003</v>
      </c>
    </row>
    <row r="862" spans="1:132" x14ac:dyDescent="0.25">
      <c r="A862" s="140"/>
      <c r="B862" s="140"/>
      <c r="C862" s="113" t="s">
        <v>540</v>
      </c>
      <c r="D862" s="114"/>
      <c r="E862" s="115" t="s">
        <v>541</v>
      </c>
      <c r="F862" s="239"/>
      <c r="G862" s="133">
        <f t="shared" ref="G862:H864" si="366">G863</f>
        <v>36.409529999999997</v>
      </c>
      <c r="H862" s="133">
        <f t="shared" si="366"/>
        <v>36.409529999999997</v>
      </c>
      <c r="I862" s="254">
        <f t="shared" si="348"/>
        <v>100</v>
      </c>
      <c r="J862" s="259"/>
    </row>
    <row r="863" spans="1:132" ht="26.25" x14ac:dyDescent="0.25">
      <c r="A863" s="229"/>
      <c r="B863" s="60"/>
      <c r="C863" s="60" t="s">
        <v>386</v>
      </c>
      <c r="D863" s="60"/>
      <c r="E863" s="62" t="s">
        <v>542</v>
      </c>
      <c r="F863" s="80"/>
      <c r="G863" s="80">
        <f>G864</f>
        <v>36.409529999999997</v>
      </c>
      <c r="H863" s="80">
        <f>H864</f>
        <v>36.409529999999997</v>
      </c>
      <c r="I863" s="255">
        <f t="shared" si="348"/>
        <v>100</v>
      </c>
      <c r="J863" s="255"/>
    </row>
    <row r="864" spans="1:132" x14ac:dyDescent="0.25">
      <c r="A864" s="94"/>
      <c r="B864" s="94"/>
      <c r="C864" s="122" t="s">
        <v>841</v>
      </c>
      <c r="D864" s="16"/>
      <c r="E864" s="1" t="s">
        <v>839</v>
      </c>
      <c r="F864" s="240"/>
      <c r="G864" s="76">
        <f t="shared" si="366"/>
        <v>36.409529999999997</v>
      </c>
      <c r="H864" s="76">
        <f t="shared" si="366"/>
        <v>36.409529999999997</v>
      </c>
      <c r="I864" s="240">
        <f t="shared" si="348"/>
        <v>100</v>
      </c>
      <c r="J864" s="240"/>
      <c r="K864" s="240"/>
      <c r="L864" s="240"/>
      <c r="M864" s="240"/>
      <c r="N864" s="240"/>
      <c r="O864" s="240"/>
      <c r="P864" s="240"/>
      <c r="Q864" s="240"/>
      <c r="R864" s="240"/>
      <c r="S864" s="240"/>
      <c r="T864" s="240"/>
      <c r="U864" s="240"/>
      <c r="V864" s="240"/>
      <c r="W864" s="240"/>
      <c r="X864" s="240"/>
      <c r="Y864" s="240"/>
      <c r="Z864" s="240"/>
      <c r="AA864" s="240"/>
      <c r="AB864" s="240"/>
      <c r="AC864" s="240"/>
      <c r="AD864" s="240"/>
      <c r="AE864" s="240"/>
      <c r="AF864" s="76"/>
      <c r="AG864" s="240"/>
      <c r="AH864" s="240"/>
      <c r="AI864" s="240"/>
      <c r="AJ864" s="240"/>
      <c r="AK864" s="240"/>
      <c r="AL864" s="240"/>
      <c r="AM864" s="240"/>
      <c r="AN864" s="240"/>
      <c r="AO864" s="240"/>
      <c r="AP864" s="240"/>
      <c r="AQ864" s="240"/>
      <c r="AR864" s="240"/>
      <c r="AS864" s="240"/>
      <c r="AT864" s="240"/>
      <c r="AU864" s="240"/>
      <c r="AV864" s="240"/>
      <c r="AW864" s="240"/>
      <c r="AX864" s="240"/>
      <c r="AY864" s="240"/>
      <c r="AZ864" s="240"/>
      <c r="BA864" s="240"/>
      <c r="BB864" s="240"/>
      <c r="BC864" s="240"/>
      <c r="BD864" s="240"/>
      <c r="BE864" s="240"/>
      <c r="BF864" s="240"/>
      <c r="BG864" s="240"/>
      <c r="BH864" s="240"/>
      <c r="BI864" s="240"/>
      <c r="BJ864" s="240"/>
      <c r="BK864" s="240"/>
      <c r="BL864" s="240"/>
      <c r="BM864" s="240"/>
      <c r="BN864" s="240"/>
      <c r="BO864" s="240"/>
      <c r="BP864" s="240"/>
      <c r="BQ864" s="240"/>
      <c r="BR864" s="240"/>
      <c r="BS864" s="240"/>
      <c r="BT864" s="240"/>
      <c r="BU864" s="240"/>
      <c r="BV864" s="240"/>
      <c r="BW864" s="240"/>
      <c r="BX864" s="240"/>
      <c r="BY864" s="240"/>
      <c r="BZ864" s="240"/>
      <c r="CA864" s="240"/>
      <c r="CB864" s="240"/>
      <c r="CC864" s="240"/>
      <c r="CD864" s="240"/>
      <c r="CE864" s="240"/>
      <c r="CF864" s="240"/>
      <c r="CG864" s="240"/>
      <c r="CH864" s="240"/>
      <c r="CI864" s="240"/>
      <c r="CJ864" s="240"/>
      <c r="CK864" s="240"/>
      <c r="CL864" s="240"/>
      <c r="CM864" s="240"/>
      <c r="CN864" s="240"/>
      <c r="CO864" s="240"/>
      <c r="CP864" s="240"/>
      <c r="CQ864" s="124">
        <f>CQ865</f>
        <v>352.33695</v>
      </c>
      <c r="CR864" s="240"/>
      <c r="CS864" s="240"/>
      <c r="CT864" s="240"/>
      <c r="CU864" s="240"/>
      <c r="CV864" s="240"/>
      <c r="CW864" s="240"/>
      <c r="CX864" s="240"/>
      <c r="CY864" s="240"/>
      <c r="CZ864" s="240"/>
      <c r="DA864" s="240"/>
      <c r="DB864" s="240"/>
      <c r="DC864" s="240"/>
      <c r="DD864" s="240"/>
      <c r="DE864" s="240"/>
      <c r="DF864" s="240"/>
      <c r="DG864" s="240"/>
      <c r="DH864" s="240"/>
      <c r="DI864" s="240"/>
      <c r="DJ864" s="240"/>
      <c r="DK864" s="240"/>
      <c r="DL864" s="240"/>
      <c r="DM864" s="240"/>
      <c r="DN864" s="240"/>
      <c r="DO864" s="240"/>
      <c r="DP864" s="240"/>
      <c r="DQ864" s="240"/>
      <c r="DR864" s="240"/>
      <c r="DS864" s="240"/>
      <c r="DT864" s="241"/>
      <c r="DY864" s="240"/>
      <c r="EA864" s="240"/>
      <c r="EB864" s="240"/>
    </row>
    <row r="865" spans="1:132" ht="39.75" customHeight="1" x14ac:dyDescent="0.25">
      <c r="A865" s="94"/>
      <c r="B865" s="94"/>
      <c r="C865" s="122"/>
      <c r="D865" s="16" t="s">
        <v>383</v>
      </c>
      <c r="E865" s="3" t="s">
        <v>384</v>
      </c>
      <c r="F865" s="240"/>
      <c r="G865" s="264">
        <v>36.409529999999997</v>
      </c>
      <c r="H865" s="264">
        <v>36.409529999999997</v>
      </c>
      <c r="I865" s="240">
        <f t="shared" si="348"/>
        <v>100</v>
      </c>
      <c r="J865" s="240"/>
      <c r="K865" s="240"/>
      <c r="L865" s="240"/>
      <c r="M865" s="240"/>
      <c r="N865" s="240"/>
      <c r="O865" s="240"/>
      <c r="P865" s="240"/>
      <c r="Q865" s="240"/>
      <c r="R865" s="240"/>
      <c r="S865" s="240"/>
      <c r="T865" s="240"/>
      <c r="U865" s="240"/>
      <c r="V865" s="240"/>
      <c r="W865" s="240"/>
      <c r="X865" s="240"/>
      <c r="Y865" s="240"/>
      <c r="Z865" s="240"/>
      <c r="AA865" s="240"/>
      <c r="AB865" s="240"/>
      <c r="AC865" s="240"/>
      <c r="AD865" s="240"/>
      <c r="AE865" s="240"/>
      <c r="AF865" s="76"/>
      <c r="AG865" s="240"/>
      <c r="AH865" s="240"/>
      <c r="AI865" s="240"/>
      <c r="AJ865" s="240"/>
      <c r="AK865" s="240"/>
      <c r="AL865" s="240"/>
      <c r="AM865" s="240"/>
      <c r="AN865" s="240"/>
      <c r="AO865" s="240"/>
      <c r="AP865" s="240"/>
      <c r="AQ865" s="240"/>
      <c r="AR865" s="240"/>
      <c r="AS865" s="240"/>
      <c r="AT865" s="240"/>
      <c r="AU865" s="240"/>
      <c r="AV865" s="240"/>
      <c r="AW865" s="240"/>
      <c r="AX865" s="240"/>
      <c r="AY865" s="240"/>
      <c r="AZ865" s="240"/>
      <c r="BA865" s="240"/>
      <c r="BB865" s="240"/>
      <c r="BC865" s="240"/>
      <c r="BD865" s="240"/>
      <c r="BE865" s="240"/>
      <c r="BF865" s="240"/>
      <c r="BG865" s="240"/>
      <c r="BH865" s="240"/>
      <c r="BI865" s="240"/>
      <c r="BJ865" s="240"/>
      <c r="BK865" s="240"/>
      <c r="BL865" s="240"/>
      <c r="BM865" s="240"/>
      <c r="BN865" s="240"/>
      <c r="BO865" s="240"/>
      <c r="BP865" s="240"/>
      <c r="BQ865" s="240"/>
      <c r="BR865" s="240"/>
      <c r="BS865" s="240"/>
      <c r="BT865" s="240"/>
      <c r="BU865" s="240"/>
      <c r="BV865" s="240"/>
      <c r="BW865" s="240"/>
      <c r="BX865" s="240"/>
      <c r="BY865" s="240"/>
      <c r="BZ865" s="240"/>
      <c r="CA865" s="240"/>
      <c r="CB865" s="240"/>
      <c r="CC865" s="240"/>
      <c r="CD865" s="240">
        <v>352.33695</v>
      </c>
      <c r="CE865" s="240"/>
      <c r="CF865" s="240"/>
      <c r="CG865" s="240"/>
      <c r="CH865" s="240"/>
      <c r="CI865" s="240"/>
      <c r="CJ865" s="240"/>
      <c r="CK865" s="240"/>
      <c r="CL865" s="240"/>
      <c r="CM865" s="240"/>
      <c r="CN865" s="240"/>
      <c r="CO865" s="240"/>
      <c r="CP865" s="240"/>
      <c r="CQ865" s="124">
        <f>SUM(BP865:CP865)</f>
        <v>352.33695</v>
      </c>
      <c r="CR865" s="240"/>
      <c r="CS865" s="240"/>
      <c r="CT865" s="240"/>
      <c r="CU865" s="240"/>
      <c r="CV865" s="240"/>
      <c r="CW865" s="240"/>
      <c r="CX865" s="240"/>
      <c r="CY865" s="240"/>
      <c r="CZ865" s="240"/>
      <c r="DA865" s="240"/>
      <c r="DB865" s="240"/>
      <c r="DC865" s="240"/>
      <c r="DD865" s="240"/>
      <c r="DE865" s="240"/>
      <c r="DF865" s="240"/>
      <c r="DG865" s="240"/>
      <c r="DH865" s="240"/>
      <c r="DI865" s="240"/>
      <c r="DJ865" s="240"/>
      <c r="DK865" s="240"/>
      <c r="DL865" s="240"/>
      <c r="DM865" s="240"/>
      <c r="DN865" s="240"/>
      <c r="DO865" s="240"/>
      <c r="DP865" s="240"/>
      <c r="DQ865" s="240"/>
      <c r="DR865" s="240"/>
      <c r="DS865" s="240"/>
      <c r="DT865" s="241"/>
      <c r="DY865" s="240"/>
      <c r="EA865" s="240"/>
      <c r="EB865" s="240"/>
    </row>
    <row r="866" spans="1:132" x14ac:dyDescent="0.25">
      <c r="A866" s="94"/>
      <c r="B866" s="17" t="s">
        <v>628</v>
      </c>
      <c r="C866" s="104"/>
      <c r="D866" s="17"/>
      <c r="E866" s="123" t="s">
        <v>629</v>
      </c>
      <c r="F866" s="71">
        <f t="shared" ref="F866:H869" si="367">F867</f>
        <v>1270</v>
      </c>
      <c r="G866" s="71">
        <f t="shared" si="367"/>
        <v>3.458E-2</v>
      </c>
      <c r="H866" s="71">
        <f t="shared" si="367"/>
        <v>0</v>
      </c>
      <c r="I866" s="247">
        <f t="shared" si="348"/>
        <v>0</v>
      </c>
      <c r="J866" s="247">
        <f t="shared" si="350"/>
        <v>2.722834645669291E-3</v>
      </c>
    </row>
    <row r="867" spans="1:132" s="38" customFormat="1" x14ac:dyDescent="0.25">
      <c r="A867" s="140"/>
      <c r="B867" s="140"/>
      <c r="C867" s="131" t="s">
        <v>378</v>
      </c>
      <c r="D867" s="131"/>
      <c r="E867" s="132" t="s">
        <v>379</v>
      </c>
      <c r="F867" s="133">
        <f t="shared" si="367"/>
        <v>1270</v>
      </c>
      <c r="G867" s="133">
        <f t="shared" si="367"/>
        <v>3.458E-2</v>
      </c>
      <c r="H867" s="133">
        <f t="shared" si="367"/>
        <v>0</v>
      </c>
      <c r="I867" s="254">
        <f t="shared" si="348"/>
        <v>0</v>
      </c>
      <c r="J867" s="254">
        <f t="shared" si="350"/>
        <v>2.722834645669291E-3</v>
      </c>
    </row>
    <row r="868" spans="1:132" s="38" customFormat="1" ht="26.25" x14ac:dyDescent="0.25">
      <c r="A868" s="142"/>
      <c r="B868" s="142"/>
      <c r="C868" s="60" t="s">
        <v>386</v>
      </c>
      <c r="D868" s="60"/>
      <c r="E868" s="62" t="s">
        <v>387</v>
      </c>
      <c r="F868" s="80">
        <f t="shared" si="367"/>
        <v>1270</v>
      </c>
      <c r="G868" s="80">
        <f t="shared" si="367"/>
        <v>3.458E-2</v>
      </c>
      <c r="H868" s="80">
        <f t="shared" si="367"/>
        <v>0</v>
      </c>
      <c r="I868" s="255">
        <f t="shared" si="348"/>
        <v>0</v>
      </c>
      <c r="J868" s="255">
        <f t="shared" si="350"/>
        <v>2.722834645669291E-3</v>
      </c>
    </row>
    <row r="869" spans="1:132" x14ac:dyDescent="0.25">
      <c r="A869" s="94"/>
      <c r="B869" s="94"/>
      <c r="C869" s="6" t="s">
        <v>406</v>
      </c>
      <c r="D869" s="6"/>
      <c r="E869" s="3" t="s">
        <v>407</v>
      </c>
      <c r="F869" s="67">
        <f t="shared" si="367"/>
        <v>1270</v>
      </c>
      <c r="G869" s="67">
        <f t="shared" si="367"/>
        <v>3.458E-2</v>
      </c>
      <c r="H869" s="67">
        <f t="shared" si="367"/>
        <v>0</v>
      </c>
      <c r="I869" s="246">
        <f t="shared" ref="I869:I885" si="368">H869/G869*100</f>
        <v>0</v>
      </c>
      <c r="J869" s="246">
        <f t="shared" ref="J869:J885" si="369">G869/F869*100</f>
        <v>2.722834645669291E-3</v>
      </c>
    </row>
    <row r="870" spans="1:132" x14ac:dyDescent="0.25">
      <c r="A870" s="94"/>
      <c r="B870" s="94"/>
      <c r="C870" s="6"/>
      <c r="D870" s="6" t="s">
        <v>390</v>
      </c>
      <c r="E870" s="3" t="s">
        <v>391</v>
      </c>
      <c r="F870" s="67">
        <v>1270</v>
      </c>
      <c r="G870" s="264">
        <v>3.458E-2</v>
      </c>
      <c r="H870" s="264">
        <v>0</v>
      </c>
      <c r="I870" s="246">
        <f t="shared" si="368"/>
        <v>0</v>
      </c>
      <c r="J870" s="246">
        <f t="shared" si="369"/>
        <v>2.722834645669291E-3</v>
      </c>
    </row>
    <row r="871" spans="1:132" x14ac:dyDescent="0.25">
      <c r="A871" s="103"/>
      <c r="B871" s="17" t="s">
        <v>535</v>
      </c>
      <c r="C871" s="104"/>
      <c r="D871" s="103"/>
      <c r="E871" s="98" t="s">
        <v>546</v>
      </c>
      <c r="F871" s="124">
        <f>F872+F902</f>
        <v>24574.0193</v>
      </c>
      <c r="G871" s="124">
        <f t="shared" ref="G871:H871" si="370">G872+G902</f>
        <v>24745.443799999994</v>
      </c>
      <c r="H871" s="124">
        <f t="shared" si="370"/>
        <v>24745.443799999994</v>
      </c>
      <c r="I871" s="251">
        <f t="shared" si="368"/>
        <v>100</v>
      </c>
      <c r="J871" s="251">
        <f t="shared" si="369"/>
        <v>100.69758429790112</v>
      </c>
    </row>
    <row r="872" spans="1:132" x14ac:dyDescent="0.25">
      <c r="A872" s="131"/>
      <c r="B872" s="131"/>
      <c r="C872" s="131" t="s">
        <v>378</v>
      </c>
      <c r="D872" s="131"/>
      <c r="E872" s="132" t="s">
        <v>379</v>
      </c>
      <c r="F872" s="133">
        <f t="shared" ref="F872:H872" si="371">F873</f>
        <v>24574.0193</v>
      </c>
      <c r="G872" s="133">
        <f t="shared" si="371"/>
        <v>24745.443799999994</v>
      </c>
      <c r="H872" s="133">
        <f t="shared" si="371"/>
        <v>24745.443799999994</v>
      </c>
      <c r="I872" s="254">
        <f t="shared" si="368"/>
        <v>100</v>
      </c>
      <c r="J872" s="254">
        <f t="shared" si="369"/>
        <v>100.69758429790112</v>
      </c>
    </row>
    <row r="873" spans="1:132" ht="26.25" x14ac:dyDescent="0.25">
      <c r="A873" s="60"/>
      <c r="B873" s="60"/>
      <c r="C873" s="60" t="s">
        <v>386</v>
      </c>
      <c r="D873" s="60"/>
      <c r="E873" s="62" t="s">
        <v>387</v>
      </c>
      <c r="F873" s="80">
        <f t="shared" ref="F873:H873" si="372">F874+F877+F879+F881+F883</f>
        <v>24574.0193</v>
      </c>
      <c r="G873" s="80">
        <f t="shared" si="372"/>
        <v>24745.443799999994</v>
      </c>
      <c r="H873" s="80">
        <f t="shared" si="372"/>
        <v>24745.443799999994</v>
      </c>
      <c r="I873" s="255">
        <f t="shared" si="368"/>
        <v>100</v>
      </c>
      <c r="J873" s="255">
        <f t="shared" si="369"/>
        <v>100.69758429790112</v>
      </c>
    </row>
    <row r="874" spans="1:132" ht="26.25" x14ac:dyDescent="0.25">
      <c r="A874" s="94"/>
      <c r="B874" s="94"/>
      <c r="C874" s="6" t="s">
        <v>392</v>
      </c>
      <c r="D874" s="6"/>
      <c r="E874" s="53" t="s">
        <v>724</v>
      </c>
      <c r="F874" s="67">
        <f>F875+F876</f>
        <v>18237.900000000001</v>
      </c>
      <c r="G874" s="67">
        <f t="shared" ref="G874:H874" si="373">G875+G876</f>
        <v>18237.899999999998</v>
      </c>
      <c r="H874" s="67">
        <f t="shared" si="373"/>
        <v>18237.899999999998</v>
      </c>
      <c r="I874" s="246">
        <f t="shared" si="368"/>
        <v>100</v>
      </c>
      <c r="J874" s="246">
        <f t="shared" si="369"/>
        <v>99.999999999999972</v>
      </c>
    </row>
    <row r="875" spans="1:132" ht="39" x14ac:dyDescent="0.25">
      <c r="A875" s="94"/>
      <c r="B875" s="94"/>
      <c r="C875" s="6"/>
      <c r="D875" s="6" t="s">
        <v>383</v>
      </c>
      <c r="E875" s="3" t="s">
        <v>384</v>
      </c>
      <c r="F875" s="67">
        <v>17271.5</v>
      </c>
      <c r="G875" s="264">
        <v>17208.901999999998</v>
      </c>
      <c r="H875" s="264">
        <v>17208.901999999998</v>
      </c>
      <c r="I875" s="246">
        <f t="shared" si="368"/>
        <v>100</v>
      </c>
      <c r="J875" s="246">
        <f t="shared" si="369"/>
        <v>99.637564774339211</v>
      </c>
    </row>
    <row r="876" spans="1:132" x14ac:dyDescent="0.25">
      <c r="A876" s="94"/>
      <c r="B876" s="94"/>
      <c r="C876" s="6"/>
      <c r="D876" s="6" t="s">
        <v>272</v>
      </c>
      <c r="E876" s="3" t="s">
        <v>273</v>
      </c>
      <c r="F876" s="67">
        <f>986.1-19.7</f>
        <v>966.4</v>
      </c>
      <c r="G876" s="264">
        <v>1028.998</v>
      </c>
      <c r="H876" s="264">
        <v>1028.998</v>
      </c>
      <c r="I876" s="246">
        <f t="shared" si="368"/>
        <v>100</v>
      </c>
      <c r="J876" s="246">
        <f t="shared" si="369"/>
        <v>106.47744205298014</v>
      </c>
    </row>
    <row r="877" spans="1:132" ht="39" x14ac:dyDescent="0.25">
      <c r="A877" s="94"/>
      <c r="B877" s="94"/>
      <c r="C877" s="6" t="s">
        <v>393</v>
      </c>
      <c r="D877" s="6"/>
      <c r="E877" s="3" t="s">
        <v>66</v>
      </c>
      <c r="F877" s="67">
        <f>F878</f>
        <v>0</v>
      </c>
      <c r="G877" s="67">
        <f t="shared" ref="G877:H877" si="374">G878</f>
        <v>83.474999999999994</v>
      </c>
      <c r="H877" s="67">
        <f t="shared" si="374"/>
        <v>83.474999999999994</v>
      </c>
      <c r="I877" s="246">
        <f t="shared" si="368"/>
        <v>100</v>
      </c>
      <c r="J877" s="246"/>
    </row>
    <row r="878" spans="1:132" ht="39" x14ac:dyDescent="0.25">
      <c r="A878" s="94"/>
      <c r="B878" s="94"/>
      <c r="C878" s="6"/>
      <c r="D878" s="6" t="s">
        <v>383</v>
      </c>
      <c r="E878" s="3" t="s">
        <v>384</v>
      </c>
      <c r="F878" s="67">
        <v>0</v>
      </c>
      <c r="G878" s="264">
        <v>83.474999999999994</v>
      </c>
      <c r="H878" s="264">
        <v>83.474999999999994</v>
      </c>
      <c r="I878" s="246">
        <f t="shared" si="368"/>
        <v>100</v>
      </c>
      <c r="J878" s="246"/>
    </row>
    <row r="879" spans="1:132" ht="25.5" x14ac:dyDescent="0.25">
      <c r="A879" s="94"/>
      <c r="B879" s="94"/>
      <c r="C879" s="6" t="s">
        <v>394</v>
      </c>
      <c r="D879" s="6"/>
      <c r="E879" s="1" t="s">
        <v>395</v>
      </c>
      <c r="F879" s="77">
        <f>F880</f>
        <v>0</v>
      </c>
      <c r="G879" s="77">
        <f t="shared" ref="G879:H879" si="375">G880</f>
        <v>87.9495</v>
      </c>
      <c r="H879" s="77">
        <f t="shared" si="375"/>
        <v>87.9495</v>
      </c>
      <c r="I879" s="248">
        <f t="shared" si="368"/>
        <v>100</v>
      </c>
      <c r="J879" s="248"/>
    </row>
    <row r="880" spans="1:132" ht="39" x14ac:dyDescent="0.25">
      <c r="A880" s="94"/>
      <c r="B880" s="94"/>
      <c r="C880" s="6"/>
      <c r="D880" s="6" t="s">
        <v>383</v>
      </c>
      <c r="E880" s="3" t="s">
        <v>384</v>
      </c>
      <c r="F880" s="67">
        <v>0</v>
      </c>
      <c r="G880" s="264">
        <v>87.9495</v>
      </c>
      <c r="H880" s="264">
        <v>87.9495</v>
      </c>
      <c r="I880" s="246">
        <f t="shared" si="368"/>
        <v>100</v>
      </c>
      <c r="J880" s="246"/>
    </row>
    <row r="881" spans="1:10" ht="39" x14ac:dyDescent="0.25">
      <c r="A881" s="94"/>
      <c r="B881" s="94"/>
      <c r="C881" s="6" t="s">
        <v>396</v>
      </c>
      <c r="D881" s="6"/>
      <c r="E881" s="3" t="s">
        <v>397</v>
      </c>
      <c r="F881" s="67">
        <f>F882</f>
        <v>6137.6347999999998</v>
      </c>
      <c r="G881" s="67">
        <f t="shared" ref="G881:H881" si="376">G882</f>
        <v>6137.6347999999998</v>
      </c>
      <c r="H881" s="67">
        <f t="shared" si="376"/>
        <v>6137.6347999999998</v>
      </c>
      <c r="I881" s="246">
        <f t="shared" si="368"/>
        <v>100</v>
      </c>
      <c r="J881" s="246">
        <f t="shared" si="369"/>
        <v>100</v>
      </c>
    </row>
    <row r="882" spans="1:10" ht="39" x14ac:dyDescent="0.25">
      <c r="A882" s="94"/>
      <c r="B882" s="94"/>
      <c r="C882" s="6"/>
      <c r="D882" s="6" t="s">
        <v>383</v>
      </c>
      <c r="E882" s="3" t="s">
        <v>384</v>
      </c>
      <c r="F882" s="77">
        <f>1779.151+4358.4838</f>
        <v>6137.6347999999998</v>
      </c>
      <c r="G882" s="77">
        <f t="shared" ref="G882:H882" si="377">1779.151+4358.4838</f>
        <v>6137.6347999999998</v>
      </c>
      <c r="H882" s="77">
        <f t="shared" si="377"/>
        <v>6137.6347999999998</v>
      </c>
      <c r="I882" s="248">
        <f t="shared" si="368"/>
        <v>100</v>
      </c>
      <c r="J882" s="248">
        <f t="shared" si="369"/>
        <v>100</v>
      </c>
    </row>
    <row r="883" spans="1:10" ht="51.75" x14ac:dyDescent="0.25">
      <c r="A883" s="94"/>
      <c r="B883" s="94"/>
      <c r="C883" s="6" t="s">
        <v>767</v>
      </c>
      <c r="D883" s="6"/>
      <c r="E883" s="3" t="s">
        <v>768</v>
      </c>
      <c r="F883" s="67">
        <f>F884</f>
        <v>198.4845</v>
      </c>
      <c r="G883" s="67">
        <f t="shared" ref="G883:H883" si="378">G884</f>
        <v>198.4845</v>
      </c>
      <c r="H883" s="67">
        <f t="shared" si="378"/>
        <v>198.4845</v>
      </c>
      <c r="I883" s="246">
        <f t="shared" si="368"/>
        <v>100</v>
      </c>
      <c r="J883" s="246">
        <f t="shared" si="369"/>
        <v>100</v>
      </c>
    </row>
    <row r="884" spans="1:10" ht="39" x14ac:dyDescent="0.25">
      <c r="A884" s="94"/>
      <c r="B884" s="94"/>
      <c r="C884" s="6"/>
      <c r="D884" s="6" t="s">
        <v>383</v>
      </c>
      <c r="E884" s="3" t="s">
        <v>384</v>
      </c>
      <c r="F884" s="77">
        <v>198.4845</v>
      </c>
      <c r="G884" s="77">
        <v>198.4845</v>
      </c>
      <c r="H884" s="77">
        <v>198.4845</v>
      </c>
      <c r="I884" s="248">
        <f t="shared" si="368"/>
        <v>100</v>
      </c>
      <c r="J884" s="248">
        <f t="shared" si="369"/>
        <v>100</v>
      </c>
    </row>
    <row r="885" spans="1:10" x14ac:dyDescent="0.25">
      <c r="A885" s="63"/>
      <c r="B885" s="63"/>
      <c r="C885" s="63"/>
      <c r="D885" s="63"/>
      <c r="E885" s="59" t="s">
        <v>414</v>
      </c>
      <c r="F885" s="82">
        <f>SUM(F852+F839+F709+F510+F9)</f>
        <v>1037500.6448</v>
      </c>
      <c r="G885" s="82">
        <f>SUM(G852+G839+G709+G510+G9)</f>
        <v>1111731.8413800001</v>
      </c>
      <c r="H885" s="82">
        <f>SUM(H852+H839+H709+H510+H9)</f>
        <v>1066596.3486000001</v>
      </c>
      <c r="I885" s="261">
        <f t="shared" si="368"/>
        <v>95.940073756997649</v>
      </c>
      <c r="J885" s="261">
        <f t="shared" si="369"/>
        <v>107.15480968152167</v>
      </c>
    </row>
    <row r="886" spans="1:10" x14ac:dyDescent="0.25">
      <c r="G886" s="482"/>
    </row>
  </sheetData>
  <autoFilter ref="A8:K885"/>
  <mergeCells count="5">
    <mergeCell ref="A1:J1"/>
    <mergeCell ref="A2:J2"/>
    <mergeCell ref="A3:J3"/>
    <mergeCell ref="A4:J4"/>
    <mergeCell ref="A6:J6"/>
  </mergeCells>
  <pageMargins left="1.1023622047244095" right="0.31496062992125984" top="0.74803149606299213" bottom="0.74803149606299213" header="0.31496062992125984" footer="0.31496062992125984"/>
  <pageSetup paperSize="9" scale="45" orientation="portrait" r:id="rId1"/>
  <rowBreaks count="1" manualBreakCount="1">
    <brk id="74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57"/>
  <sheetViews>
    <sheetView view="pageBreakPreview" topLeftCell="A22" zoomScale="95" zoomScaleSheetLayoutView="95" workbookViewId="0">
      <selection activeCell="E43" sqref="E43"/>
    </sheetView>
  </sheetViews>
  <sheetFormatPr defaultColWidth="9.140625" defaultRowHeight="12.75" x14ac:dyDescent="0.2"/>
  <cols>
    <col min="1" max="1" width="10.28515625" style="271" customWidth="1"/>
    <col min="2" max="2" width="40.42578125" style="271" customWidth="1"/>
    <col min="3" max="4" width="15.85546875" style="271" customWidth="1"/>
    <col min="5" max="5" width="13.140625" style="271" customWidth="1"/>
    <col min="6" max="6" width="11.42578125" style="271" bestFit="1" customWidth="1"/>
    <col min="7" max="16384" width="9.140625" style="271"/>
  </cols>
  <sheetData>
    <row r="1" spans="1:6" s="267" customFormat="1" x14ac:dyDescent="0.2">
      <c r="A1" s="684"/>
      <c r="B1" s="684"/>
      <c r="C1" s="684"/>
      <c r="D1" s="684"/>
      <c r="E1" s="266" t="s">
        <v>682</v>
      </c>
      <c r="F1" s="266"/>
    </row>
    <row r="2" spans="1:6" s="267" customFormat="1" x14ac:dyDescent="0.2">
      <c r="A2" s="684" t="s">
        <v>863</v>
      </c>
      <c r="B2" s="684"/>
      <c r="C2" s="684"/>
      <c r="D2" s="684"/>
      <c r="E2" s="684"/>
      <c r="F2" s="266"/>
    </row>
    <row r="3" spans="1:6" s="267" customFormat="1" x14ac:dyDescent="0.2">
      <c r="A3" s="684" t="s">
        <v>884</v>
      </c>
      <c r="B3" s="684"/>
      <c r="C3" s="684"/>
      <c r="D3" s="684"/>
      <c r="E3" s="684"/>
      <c r="F3" s="266"/>
    </row>
    <row r="4" spans="1:6" s="267" customFormat="1" ht="15" customHeight="1" x14ac:dyDescent="0.2">
      <c r="A4" s="685" t="s">
        <v>1196</v>
      </c>
      <c r="B4" s="685"/>
      <c r="C4" s="685"/>
      <c r="D4" s="685"/>
      <c r="E4" s="685"/>
      <c r="F4" s="268"/>
    </row>
    <row r="5" spans="1:6" s="267" customFormat="1" ht="15" customHeight="1" x14ac:dyDescent="0.2">
      <c r="A5" s="269"/>
      <c r="B5" s="269"/>
      <c r="C5" s="269"/>
      <c r="D5" s="269"/>
      <c r="E5" s="269"/>
      <c r="F5" s="268"/>
    </row>
    <row r="6" spans="1:6" ht="39.75" customHeight="1" x14ac:dyDescent="0.2">
      <c r="A6" s="686" t="s">
        <v>885</v>
      </c>
      <c r="B6" s="686"/>
      <c r="C6" s="686"/>
      <c r="D6" s="686"/>
      <c r="E6" s="686"/>
      <c r="F6" s="270"/>
    </row>
    <row r="7" spans="1:6" ht="14.25" customHeight="1" x14ac:dyDescent="0.2">
      <c r="A7" s="272"/>
      <c r="B7" s="272"/>
      <c r="C7" s="272"/>
      <c r="D7" s="272"/>
      <c r="E7" s="273" t="s">
        <v>864</v>
      </c>
      <c r="F7" s="270"/>
    </row>
    <row r="8" spans="1:6" ht="25.5" x14ac:dyDescent="0.2">
      <c r="A8" s="274" t="s">
        <v>865</v>
      </c>
      <c r="B8" s="274" t="s">
        <v>866</v>
      </c>
      <c r="C8" s="275" t="s">
        <v>829</v>
      </c>
      <c r="D8" s="275" t="s">
        <v>1238</v>
      </c>
      <c r="E8" s="276" t="s">
        <v>831</v>
      </c>
      <c r="F8" s="270"/>
    </row>
    <row r="9" spans="1:6" ht="38.25" x14ac:dyDescent="0.2">
      <c r="A9" s="274" t="s">
        <v>531</v>
      </c>
      <c r="B9" s="277" t="s">
        <v>532</v>
      </c>
      <c r="C9" s="287">
        <v>3213.4</v>
      </c>
      <c r="D9" s="287">
        <v>3213.4</v>
      </c>
      <c r="E9" s="278">
        <f>SUM(D9/C9*100)</f>
        <v>100</v>
      </c>
      <c r="F9" s="270"/>
    </row>
    <row r="10" spans="1:6" ht="51" x14ac:dyDescent="0.2">
      <c r="A10" s="274" t="s">
        <v>623</v>
      </c>
      <c r="B10" s="277" t="s">
        <v>624</v>
      </c>
      <c r="C10" s="288">
        <v>3059.7</v>
      </c>
      <c r="D10" s="288">
        <v>3059.7</v>
      </c>
      <c r="E10" s="278">
        <f t="shared" ref="E10:E55" si="0">SUM(D10/C10*100)</f>
        <v>100</v>
      </c>
      <c r="F10" s="270"/>
    </row>
    <row r="11" spans="1:6" ht="51" x14ac:dyDescent="0.2">
      <c r="A11" s="274" t="s">
        <v>533</v>
      </c>
      <c r="B11" s="277" t="s">
        <v>539</v>
      </c>
      <c r="C11" s="287">
        <v>49541.09601999999</v>
      </c>
      <c r="D11" s="287">
        <v>49541.095199999989</v>
      </c>
      <c r="E11" s="278">
        <f t="shared" si="0"/>
        <v>99.999998344808517</v>
      </c>
      <c r="F11" s="270"/>
    </row>
    <row r="12" spans="1:6" x14ac:dyDescent="0.2">
      <c r="A12" s="274" t="s">
        <v>534</v>
      </c>
      <c r="B12" s="277" t="s">
        <v>543</v>
      </c>
      <c r="C12" s="287">
        <v>2.2000000000000002</v>
      </c>
      <c r="D12" s="287">
        <v>2.2000000000000002</v>
      </c>
      <c r="E12" s="278">
        <f t="shared" si="0"/>
        <v>100</v>
      </c>
      <c r="F12" s="270"/>
    </row>
    <row r="13" spans="1:6" ht="61.5" customHeight="1" x14ac:dyDescent="0.2">
      <c r="A13" s="274" t="s">
        <v>626</v>
      </c>
      <c r="B13" s="277" t="s">
        <v>627</v>
      </c>
      <c r="C13" s="287">
        <v>7721.4874499999996</v>
      </c>
      <c r="D13" s="287">
        <v>7625.7949099999996</v>
      </c>
      <c r="E13" s="278">
        <f t="shared" si="0"/>
        <v>98.760698108756245</v>
      </c>
      <c r="F13" s="270"/>
    </row>
    <row r="14" spans="1:6" ht="61.5" customHeight="1" x14ac:dyDescent="0.2">
      <c r="A14" s="274" t="s">
        <v>795</v>
      </c>
      <c r="B14" s="277" t="s">
        <v>794</v>
      </c>
      <c r="C14" s="287">
        <v>2466.9</v>
      </c>
      <c r="D14" s="287">
        <v>2466.9</v>
      </c>
      <c r="E14" s="278">
        <f t="shared" si="0"/>
        <v>100</v>
      </c>
      <c r="F14" s="270"/>
    </row>
    <row r="15" spans="1:6" x14ac:dyDescent="0.2">
      <c r="A15" s="274" t="s">
        <v>628</v>
      </c>
      <c r="B15" s="277" t="s">
        <v>629</v>
      </c>
      <c r="C15" s="67">
        <v>3.458E-2</v>
      </c>
      <c r="D15" s="287">
        <f>'[1]2. Расходы'!H922</f>
        <v>0</v>
      </c>
      <c r="E15" s="278">
        <f t="shared" si="0"/>
        <v>0</v>
      </c>
      <c r="F15" s="270"/>
    </row>
    <row r="16" spans="1:6" x14ac:dyDescent="0.2">
      <c r="A16" s="274" t="s">
        <v>535</v>
      </c>
      <c r="B16" s="277" t="s">
        <v>867</v>
      </c>
      <c r="C16" s="287">
        <v>66350.625250000012</v>
      </c>
      <c r="D16" s="287">
        <v>66306.012879999995</v>
      </c>
      <c r="E16" s="278">
        <f t="shared" si="0"/>
        <v>99.93276269841931</v>
      </c>
      <c r="F16" s="270"/>
    </row>
    <row r="17" spans="1:6" x14ac:dyDescent="0.2">
      <c r="A17" s="680" t="s">
        <v>868</v>
      </c>
      <c r="B17" s="681"/>
      <c r="C17" s="289">
        <f>SUM(C9:C16)</f>
        <v>132355.44329999998</v>
      </c>
      <c r="D17" s="289">
        <f>SUM(D9:D16)</f>
        <v>132215.10298999998</v>
      </c>
      <c r="E17" s="279">
        <f t="shared" si="0"/>
        <v>99.893967103655939</v>
      </c>
      <c r="F17" s="280"/>
    </row>
    <row r="18" spans="1:6" x14ac:dyDescent="0.2">
      <c r="A18" s="274" t="s">
        <v>536</v>
      </c>
      <c r="B18" s="281" t="s">
        <v>549</v>
      </c>
      <c r="C18" s="287">
        <v>1291.5</v>
      </c>
      <c r="D18" s="287">
        <v>1291.5</v>
      </c>
      <c r="E18" s="278">
        <f t="shared" si="0"/>
        <v>100</v>
      </c>
      <c r="F18" s="270"/>
    </row>
    <row r="19" spans="1:6" ht="15" customHeight="1" x14ac:dyDescent="0.2">
      <c r="A19" s="680" t="s">
        <v>869</v>
      </c>
      <c r="B19" s="687"/>
      <c r="C19" s="290">
        <f>SUM(C18)</f>
        <v>1291.5</v>
      </c>
      <c r="D19" s="290">
        <f>SUM(D18)</f>
        <v>1291.5</v>
      </c>
      <c r="E19" s="279">
        <f t="shared" si="0"/>
        <v>100</v>
      </c>
      <c r="F19" s="280"/>
    </row>
    <row r="20" spans="1:6" ht="38.25" x14ac:dyDescent="0.2">
      <c r="A20" s="274" t="s">
        <v>554</v>
      </c>
      <c r="B20" s="277" t="s">
        <v>870</v>
      </c>
      <c r="C20" s="287">
        <v>17885.730000000003</v>
      </c>
      <c r="D20" s="287">
        <v>17885.730000000003</v>
      </c>
      <c r="E20" s="278">
        <f t="shared" si="0"/>
        <v>100</v>
      </c>
      <c r="F20" s="270"/>
    </row>
    <row r="21" spans="1:6" ht="16.5" customHeight="1" x14ac:dyDescent="0.2">
      <c r="A21" s="274" t="s">
        <v>557</v>
      </c>
      <c r="B21" s="277" t="s">
        <v>558</v>
      </c>
      <c r="C21" s="287">
        <v>3391.49</v>
      </c>
      <c r="D21" s="287">
        <v>3391.4896799999997</v>
      </c>
      <c r="E21" s="278">
        <f t="shared" si="0"/>
        <v>99.999990564619097</v>
      </c>
      <c r="F21" s="270"/>
    </row>
    <row r="22" spans="1:6" ht="38.25" x14ac:dyDescent="0.2">
      <c r="A22" s="274" t="s">
        <v>560</v>
      </c>
      <c r="B22" s="277" t="s">
        <v>561</v>
      </c>
      <c r="C22" s="287">
        <v>1074.3799999999999</v>
      </c>
      <c r="D22" s="287">
        <v>1063.3620000000001</v>
      </c>
      <c r="E22" s="278">
        <f t="shared" si="0"/>
        <v>98.974478303765906</v>
      </c>
      <c r="F22" s="270"/>
    </row>
    <row r="23" spans="1:6" x14ac:dyDescent="0.2">
      <c r="A23" s="680" t="s">
        <v>871</v>
      </c>
      <c r="B23" s="681"/>
      <c r="C23" s="289">
        <f>SUM(C20:C22)</f>
        <v>22351.600000000002</v>
      </c>
      <c r="D23" s="289">
        <f>SUM(D20:D22)</f>
        <v>22340.581680000003</v>
      </c>
      <c r="E23" s="279">
        <f t="shared" si="0"/>
        <v>99.950704558062966</v>
      </c>
      <c r="F23" s="280"/>
    </row>
    <row r="24" spans="1:6" x14ac:dyDescent="0.2">
      <c r="A24" s="274" t="s">
        <v>564</v>
      </c>
      <c r="B24" s="277" t="s">
        <v>565</v>
      </c>
      <c r="C24" s="287">
        <v>534.6</v>
      </c>
      <c r="D24" s="287">
        <v>534.6</v>
      </c>
      <c r="E24" s="278">
        <f t="shared" si="0"/>
        <v>100</v>
      </c>
      <c r="F24" s="270"/>
    </row>
    <row r="25" spans="1:6" x14ac:dyDescent="0.2">
      <c r="A25" s="274" t="s">
        <v>566</v>
      </c>
      <c r="B25" s="277" t="s">
        <v>567</v>
      </c>
      <c r="C25" s="287">
        <v>4229.7000000000007</v>
      </c>
      <c r="D25" s="287">
        <v>4229.6769800000002</v>
      </c>
      <c r="E25" s="278">
        <f t="shared" si="0"/>
        <v>99.999455753363108</v>
      </c>
      <c r="F25" s="270"/>
    </row>
    <row r="26" spans="1:6" x14ac:dyDescent="0.2">
      <c r="A26" s="274" t="s">
        <v>568</v>
      </c>
      <c r="B26" s="277" t="s">
        <v>569</v>
      </c>
      <c r="C26" s="287">
        <v>108898.42670000001</v>
      </c>
      <c r="D26" s="287">
        <v>108898.23685000002</v>
      </c>
      <c r="E26" s="278">
        <f t="shared" si="0"/>
        <v>99.999825663229728</v>
      </c>
      <c r="F26" s="270"/>
    </row>
    <row r="27" spans="1:6" ht="25.5" x14ac:dyDescent="0.2">
      <c r="A27" s="274" t="s">
        <v>570</v>
      </c>
      <c r="B27" s="277" t="s">
        <v>571</v>
      </c>
      <c r="C27" s="287">
        <v>9975.2955699999984</v>
      </c>
      <c r="D27" s="287">
        <v>9970.40589</v>
      </c>
      <c r="E27" s="278">
        <f t="shared" si="0"/>
        <v>99.950982104082172</v>
      </c>
      <c r="F27" s="270"/>
    </row>
    <row r="28" spans="1:6" x14ac:dyDescent="0.2">
      <c r="A28" s="680" t="s">
        <v>872</v>
      </c>
      <c r="B28" s="681"/>
      <c r="C28" s="289">
        <f>SUM(C24:C27)</f>
        <v>123638.02227000002</v>
      </c>
      <c r="D28" s="289">
        <f>SUM(D24:D27)</f>
        <v>123632.91972000001</v>
      </c>
      <c r="E28" s="279">
        <f t="shared" si="0"/>
        <v>99.995872992865515</v>
      </c>
      <c r="F28" s="280"/>
    </row>
    <row r="29" spans="1:6" x14ac:dyDescent="0.2">
      <c r="A29" s="274" t="s">
        <v>575</v>
      </c>
      <c r="B29" s="5" t="s">
        <v>576</v>
      </c>
      <c r="C29" s="287">
        <v>1216.55323</v>
      </c>
      <c r="D29" s="287">
        <v>1215.91041</v>
      </c>
      <c r="E29" s="278">
        <f t="shared" si="0"/>
        <v>99.947160552933639</v>
      </c>
      <c r="F29" s="270"/>
    </row>
    <row r="30" spans="1:6" x14ac:dyDescent="0.2">
      <c r="A30" s="274" t="s">
        <v>577</v>
      </c>
      <c r="B30" s="277" t="s">
        <v>578</v>
      </c>
      <c r="C30" s="287">
        <v>20031.460600000002</v>
      </c>
      <c r="D30" s="287">
        <v>19818.779849999999</v>
      </c>
      <c r="E30" s="278">
        <f t="shared" si="0"/>
        <v>98.93826638882237</v>
      </c>
      <c r="F30" s="270"/>
    </row>
    <row r="31" spans="1:6" x14ac:dyDescent="0.2">
      <c r="A31" s="274" t="s">
        <v>579</v>
      </c>
      <c r="B31" s="277" t="s">
        <v>580</v>
      </c>
      <c r="C31" s="287">
        <v>49094.601839999996</v>
      </c>
      <c r="D31" s="287">
        <v>44435.520659999995</v>
      </c>
      <c r="E31" s="278">
        <f t="shared" si="0"/>
        <v>90.509992941415405</v>
      </c>
      <c r="F31" s="270"/>
    </row>
    <row r="32" spans="1:6" x14ac:dyDescent="0.2">
      <c r="A32" s="680" t="s">
        <v>873</v>
      </c>
      <c r="B32" s="681"/>
      <c r="C32" s="289">
        <f>SUM(C29:C31)</f>
        <v>70342.615669999999</v>
      </c>
      <c r="D32" s="289">
        <f>SUM(D29:D31)</f>
        <v>65470.210919999998</v>
      </c>
      <c r="E32" s="279">
        <f t="shared" si="0"/>
        <v>93.073324465416491</v>
      </c>
      <c r="F32" s="280"/>
    </row>
    <row r="33" spans="1:6" ht="25.5" x14ac:dyDescent="0.2">
      <c r="A33" s="282" t="s">
        <v>631</v>
      </c>
      <c r="B33" s="284" t="s">
        <v>633</v>
      </c>
      <c r="C33" s="287">
        <v>22.5</v>
      </c>
      <c r="D33" s="287">
        <v>22.5</v>
      </c>
      <c r="E33" s="278">
        <f t="shared" si="0"/>
        <v>100</v>
      </c>
      <c r="F33" s="280"/>
    </row>
    <row r="34" spans="1:6" x14ac:dyDescent="0.2">
      <c r="A34" s="680" t="s">
        <v>886</v>
      </c>
      <c r="B34" s="681"/>
      <c r="C34" s="289">
        <f>C33</f>
        <v>22.5</v>
      </c>
      <c r="D34" s="289">
        <f>D33</f>
        <v>22.5</v>
      </c>
      <c r="E34" s="279">
        <f t="shared" si="0"/>
        <v>100</v>
      </c>
      <c r="F34" s="280"/>
    </row>
    <row r="35" spans="1:6" x14ac:dyDescent="0.2">
      <c r="A35" s="274" t="s">
        <v>601</v>
      </c>
      <c r="B35" s="277" t="s">
        <v>602</v>
      </c>
      <c r="C35" s="287">
        <v>122578.22020000001</v>
      </c>
      <c r="D35" s="287">
        <v>117967.05145</v>
      </c>
      <c r="E35" s="278">
        <f t="shared" si="0"/>
        <v>96.238182653919779</v>
      </c>
      <c r="F35" s="270"/>
    </row>
    <row r="36" spans="1:6" x14ac:dyDescent="0.2">
      <c r="A36" s="274" t="s">
        <v>583</v>
      </c>
      <c r="B36" s="277" t="s">
        <v>584</v>
      </c>
      <c r="C36" s="287">
        <v>414113.84096</v>
      </c>
      <c r="D36" s="287">
        <v>405009.67135000008</v>
      </c>
      <c r="E36" s="278">
        <f t="shared" si="0"/>
        <v>97.801529746290399</v>
      </c>
      <c r="F36" s="270"/>
    </row>
    <row r="37" spans="1:6" x14ac:dyDescent="0.2">
      <c r="A37" s="274" t="s">
        <v>604</v>
      </c>
      <c r="B37" s="277" t="s">
        <v>605</v>
      </c>
      <c r="C37" s="287">
        <v>55864.894830000005</v>
      </c>
      <c r="D37" s="287">
        <v>55864.894830000005</v>
      </c>
      <c r="E37" s="278">
        <f t="shared" si="0"/>
        <v>100</v>
      </c>
      <c r="F37" s="270"/>
    </row>
    <row r="38" spans="1:6" x14ac:dyDescent="0.2">
      <c r="A38" s="274" t="s">
        <v>606</v>
      </c>
      <c r="B38" s="277" t="s">
        <v>874</v>
      </c>
      <c r="C38" s="287">
        <v>391.6</v>
      </c>
      <c r="D38" s="287">
        <v>391.6</v>
      </c>
      <c r="E38" s="278">
        <f t="shared" si="0"/>
        <v>100</v>
      </c>
      <c r="F38" s="270"/>
    </row>
    <row r="39" spans="1:6" x14ac:dyDescent="0.2">
      <c r="A39" s="274" t="s">
        <v>608</v>
      </c>
      <c r="B39" s="277" t="s">
        <v>609</v>
      </c>
      <c r="C39" s="287">
        <v>13997.114840000002</v>
      </c>
      <c r="D39" s="287">
        <v>13824.112730000001</v>
      </c>
      <c r="E39" s="278">
        <f t="shared" si="0"/>
        <v>98.764015927728138</v>
      </c>
      <c r="F39" s="270"/>
    </row>
    <row r="40" spans="1:6" x14ac:dyDescent="0.2">
      <c r="A40" s="680" t="s">
        <v>875</v>
      </c>
      <c r="B40" s="681"/>
      <c r="C40" s="289">
        <f>SUM(C35:C39)</f>
        <v>606945.67083000008</v>
      </c>
      <c r="D40" s="289">
        <f>SUM(D35:D39)</f>
        <v>593057.33036000014</v>
      </c>
      <c r="E40" s="279">
        <f t="shared" si="0"/>
        <v>97.71176546147737</v>
      </c>
      <c r="F40" s="280"/>
    </row>
    <row r="41" spans="1:6" x14ac:dyDescent="0.2">
      <c r="A41" s="274" t="s">
        <v>614</v>
      </c>
      <c r="B41" s="277" t="s">
        <v>587</v>
      </c>
      <c r="C41" s="287">
        <v>96597.758000000002</v>
      </c>
      <c r="D41" s="287">
        <v>75385.57819</v>
      </c>
      <c r="E41" s="278">
        <f t="shared" si="0"/>
        <v>78.040712073255364</v>
      </c>
      <c r="F41" s="270"/>
    </row>
    <row r="42" spans="1:6" ht="25.5" x14ac:dyDescent="0.2">
      <c r="A42" s="274" t="s">
        <v>615</v>
      </c>
      <c r="B42" s="277" t="s">
        <v>616</v>
      </c>
      <c r="C42" s="287">
        <v>5167.7527399999999</v>
      </c>
      <c r="D42" s="287">
        <v>5167.7524599999997</v>
      </c>
      <c r="E42" s="278">
        <f t="shared" si="0"/>
        <v>99.999994581784108</v>
      </c>
      <c r="F42" s="270"/>
    </row>
    <row r="43" spans="1:6" x14ac:dyDescent="0.2">
      <c r="A43" s="680" t="s">
        <v>876</v>
      </c>
      <c r="B43" s="681"/>
      <c r="C43" s="289">
        <f>SUM(C41:C42)</f>
        <v>101765.51074</v>
      </c>
      <c r="D43" s="289">
        <f>SUM(D41:D42)</f>
        <v>80553.330650000004</v>
      </c>
      <c r="E43" s="279">
        <f t="shared" si="0"/>
        <v>79.155826039929337</v>
      </c>
      <c r="F43" s="280"/>
    </row>
    <row r="44" spans="1:6" x14ac:dyDescent="0.2">
      <c r="A44" s="282" t="s">
        <v>848</v>
      </c>
      <c r="B44" s="283" t="s">
        <v>849</v>
      </c>
      <c r="C44" s="287">
        <v>1025.70452</v>
      </c>
      <c r="D44" s="287">
        <v>1025.70452</v>
      </c>
      <c r="E44" s="278">
        <f t="shared" si="0"/>
        <v>100</v>
      </c>
      <c r="F44" s="270"/>
    </row>
    <row r="45" spans="1:6" x14ac:dyDescent="0.2">
      <c r="A45" s="680" t="s">
        <v>877</v>
      </c>
      <c r="B45" s="681"/>
      <c r="C45" s="289">
        <f>C44</f>
        <v>1025.70452</v>
      </c>
      <c r="D45" s="289">
        <f>D44</f>
        <v>1025.70452</v>
      </c>
      <c r="E45" s="279">
        <f t="shared" si="0"/>
        <v>100</v>
      </c>
      <c r="F45" s="280"/>
    </row>
    <row r="46" spans="1:6" x14ac:dyDescent="0.2">
      <c r="A46" s="274" t="s">
        <v>593</v>
      </c>
      <c r="B46" s="277" t="s">
        <v>594</v>
      </c>
      <c r="C46" s="287">
        <v>7567.1</v>
      </c>
      <c r="D46" s="287">
        <v>7567.0795399999997</v>
      </c>
      <c r="E46" s="278">
        <f t="shared" si="0"/>
        <v>99.99972961900859</v>
      </c>
      <c r="F46" s="270"/>
    </row>
    <row r="47" spans="1:6" x14ac:dyDescent="0.2">
      <c r="A47" s="274" t="s">
        <v>595</v>
      </c>
      <c r="B47" s="277" t="s">
        <v>596</v>
      </c>
      <c r="C47" s="287">
        <v>23825.129549999998</v>
      </c>
      <c r="D47" s="287">
        <v>22897.4817</v>
      </c>
      <c r="E47" s="278">
        <f t="shared" si="0"/>
        <v>96.106431035125269</v>
      </c>
      <c r="F47" s="270"/>
    </row>
    <row r="48" spans="1:6" x14ac:dyDescent="0.2">
      <c r="A48" s="274" t="s">
        <v>878</v>
      </c>
      <c r="B48" s="277" t="s">
        <v>597</v>
      </c>
      <c r="C48" s="287">
        <v>13045.232609999999</v>
      </c>
      <c r="D48" s="287">
        <v>12968.942200000001</v>
      </c>
      <c r="E48" s="278">
        <f t="shared" si="0"/>
        <v>99.415185514273503</v>
      </c>
      <c r="F48" s="270"/>
    </row>
    <row r="49" spans="1:6" ht="25.5" x14ac:dyDescent="0.2">
      <c r="A49" s="274" t="s">
        <v>598</v>
      </c>
      <c r="B49" s="284" t="s">
        <v>599</v>
      </c>
      <c r="C49" s="287">
        <v>98.75779</v>
      </c>
      <c r="D49" s="287">
        <v>96.610770000000002</v>
      </c>
      <c r="E49" s="278">
        <f t="shared" si="0"/>
        <v>97.825974032023197</v>
      </c>
      <c r="F49" s="270"/>
    </row>
    <row r="50" spans="1:6" x14ac:dyDescent="0.2">
      <c r="A50" s="680" t="s">
        <v>879</v>
      </c>
      <c r="B50" s="681"/>
      <c r="C50" s="289">
        <f>SUM(C46:C49)</f>
        <v>44536.219949999999</v>
      </c>
      <c r="D50" s="289">
        <f>SUM(D46:D49)</f>
        <v>43530.11421</v>
      </c>
      <c r="E50" s="279">
        <f t="shared" si="0"/>
        <v>97.740926955342104</v>
      </c>
      <c r="F50" s="280"/>
    </row>
    <row r="51" spans="1:6" x14ac:dyDescent="0.2">
      <c r="A51" s="274" t="s">
        <v>611</v>
      </c>
      <c r="B51" s="277" t="s">
        <v>612</v>
      </c>
      <c r="C51" s="287">
        <v>5969.2541000000001</v>
      </c>
      <c r="D51" s="287">
        <v>1969.2535499999999</v>
      </c>
      <c r="E51" s="278">
        <f t="shared" si="0"/>
        <v>32.989943416883527</v>
      </c>
      <c r="F51" s="270"/>
    </row>
    <row r="52" spans="1:6" x14ac:dyDescent="0.2">
      <c r="A52" s="680" t="s">
        <v>880</v>
      </c>
      <c r="B52" s="681"/>
      <c r="C52" s="289">
        <f>C51</f>
        <v>5969.2541000000001</v>
      </c>
      <c r="D52" s="289">
        <f>D51</f>
        <v>1969.2535499999999</v>
      </c>
      <c r="E52" s="279">
        <f t="shared" si="0"/>
        <v>32.989943416883527</v>
      </c>
      <c r="F52" s="280"/>
    </row>
    <row r="53" spans="1:6" x14ac:dyDescent="0.2">
      <c r="A53" s="274" t="s">
        <v>881</v>
      </c>
      <c r="B53" s="277" t="s">
        <v>621</v>
      </c>
      <c r="C53" s="287">
        <v>1487.8</v>
      </c>
      <c r="D53" s="287">
        <v>1487.8</v>
      </c>
      <c r="E53" s="278">
        <f t="shared" si="0"/>
        <v>100</v>
      </c>
      <c r="F53" s="280"/>
    </row>
    <row r="54" spans="1:6" x14ac:dyDescent="0.2">
      <c r="A54" s="680" t="s">
        <v>882</v>
      </c>
      <c r="B54" s="681"/>
      <c r="C54" s="289">
        <f>C53</f>
        <v>1487.8</v>
      </c>
      <c r="D54" s="289">
        <f>D53</f>
        <v>1487.8</v>
      </c>
      <c r="E54" s="279">
        <f t="shared" si="0"/>
        <v>100</v>
      </c>
      <c r="F54" s="280"/>
    </row>
    <row r="55" spans="1:6" x14ac:dyDescent="0.2">
      <c r="A55" s="682" t="s">
        <v>883</v>
      </c>
      <c r="B55" s="683"/>
      <c r="C55" s="291">
        <f>C17+C23+C28+C32+C40+C43+C50+C52+C54+C19+C45+C34</f>
        <v>1111731.8413800001</v>
      </c>
      <c r="D55" s="291">
        <f>D17+D23+D28+D32+D40+D43+D50+D52+D54+D19+D45+D34</f>
        <v>1066596.3486000001</v>
      </c>
      <c r="E55" s="279">
        <f t="shared" si="0"/>
        <v>95.940073756997649</v>
      </c>
      <c r="F55" s="280"/>
    </row>
    <row r="56" spans="1:6" x14ac:dyDescent="0.2">
      <c r="C56" s="285"/>
      <c r="D56" s="285"/>
    </row>
    <row r="57" spans="1:6" x14ac:dyDescent="0.2">
      <c r="C57" s="286"/>
      <c r="D57" s="286"/>
    </row>
  </sheetData>
  <autoFilter ref="A8:F8"/>
  <mergeCells count="18">
    <mergeCell ref="A40:B40"/>
    <mergeCell ref="A43:B43"/>
    <mergeCell ref="A1:D1"/>
    <mergeCell ref="A2:E2"/>
    <mergeCell ref="A3:E3"/>
    <mergeCell ref="A4:E4"/>
    <mergeCell ref="A6:E6"/>
    <mergeCell ref="A17:B17"/>
    <mergeCell ref="A34:B34"/>
    <mergeCell ref="A19:B19"/>
    <mergeCell ref="A23:B23"/>
    <mergeCell ref="A28:B28"/>
    <mergeCell ref="A32:B32"/>
    <mergeCell ref="A45:B45"/>
    <mergeCell ref="A50:B50"/>
    <mergeCell ref="A52:B52"/>
    <mergeCell ref="A54:B54"/>
    <mergeCell ref="A55:B55"/>
  </mergeCells>
  <pageMargins left="0.70866141732283472" right="0.11811023622047245" top="0.74803149606299213" bottom="0.74803149606299213" header="0.31496062992125984" footer="0.31496062992125984"/>
  <pageSetup paperSize="9" scale="94" orientation="portrait" r:id="rId1"/>
  <rowBreaks count="1" manualBreakCount="1">
    <brk id="3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9"/>
  <sheetViews>
    <sheetView view="pageBreakPreview" zoomScale="66" zoomScaleSheetLayoutView="66" workbookViewId="0">
      <selection activeCell="H24" sqref="H24"/>
    </sheetView>
  </sheetViews>
  <sheetFormatPr defaultRowHeight="15" x14ac:dyDescent="0.25"/>
  <cols>
    <col min="1" max="1" width="30" style="409" customWidth="1"/>
    <col min="2" max="2" width="52.28515625" style="409" customWidth="1"/>
    <col min="3" max="4" width="18.5703125" style="409" customWidth="1"/>
    <col min="5" max="5" width="15.5703125" style="409" customWidth="1"/>
    <col min="6" max="256" width="9.140625" style="409"/>
    <col min="257" max="257" width="30" style="409" customWidth="1"/>
    <col min="258" max="258" width="52.28515625" style="409" customWidth="1"/>
    <col min="259" max="261" width="15.5703125" style="409" customWidth="1"/>
    <col min="262" max="512" width="9.140625" style="409"/>
    <col min="513" max="513" width="30" style="409" customWidth="1"/>
    <col min="514" max="514" width="52.28515625" style="409" customWidth="1"/>
    <col min="515" max="517" width="15.5703125" style="409" customWidth="1"/>
    <col min="518" max="768" width="9.140625" style="409"/>
    <col min="769" max="769" width="30" style="409" customWidth="1"/>
    <col min="770" max="770" width="52.28515625" style="409" customWidth="1"/>
    <col min="771" max="773" width="15.5703125" style="409" customWidth="1"/>
    <col min="774" max="1024" width="9.140625" style="409"/>
    <col min="1025" max="1025" width="30" style="409" customWidth="1"/>
    <col min="1026" max="1026" width="52.28515625" style="409" customWidth="1"/>
    <col min="1027" max="1029" width="15.5703125" style="409" customWidth="1"/>
    <col min="1030" max="1280" width="9.140625" style="409"/>
    <col min="1281" max="1281" width="30" style="409" customWidth="1"/>
    <col min="1282" max="1282" width="52.28515625" style="409" customWidth="1"/>
    <col min="1283" max="1285" width="15.5703125" style="409" customWidth="1"/>
    <col min="1286" max="1536" width="9.140625" style="409"/>
    <col min="1537" max="1537" width="30" style="409" customWidth="1"/>
    <col min="1538" max="1538" width="52.28515625" style="409" customWidth="1"/>
    <col min="1539" max="1541" width="15.5703125" style="409" customWidth="1"/>
    <col min="1542" max="1792" width="9.140625" style="409"/>
    <col min="1793" max="1793" width="30" style="409" customWidth="1"/>
    <col min="1794" max="1794" width="52.28515625" style="409" customWidth="1"/>
    <col min="1795" max="1797" width="15.5703125" style="409" customWidth="1"/>
    <col min="1798" max="2048" width="9.140625" style="409"/>
    <col min="2049" max="2049" width="30" style="409" customWidth="1"/>
    <col min="2050" max="2050" width="52.28515625" style="409" customWidth="1"/>
    <col min="2051" max="2053" width="15.5703125" style="409" customWidth="1"/>
    <col min="2054" max="2304" width="9.140625" style="409"/>
    <col min="2305" max="2305" width="30" style="409" customWidth="1"/>
    <col min="2306" max="2306" width="52.28515625" style="409" customWidth="1"/>
    <col min="2307" max="2309" width="15.5703125" style="409" customWidth="1"/>
    <col min="2310" max="2560" width="9.140625" style="409"/>
    <col min="2561" max="2561" width="30" style="409" customWidth="1"/>
    <col min="2562" max="2562" width="52.28515625" style="409" customWidth="1"/>
    <col min="2563" max="2565" width="15.5703125" style="409" customWidth="1"/>
    <col min="2566" max="2816" width="9.140625" style="409"/>
    <col min="2817" max="2817" width="30" style="409" customWidth="1"/>
    <col min="2818" max="2818" width="52.28515625" style="409" customWidth="1"/>
    <col min="2819" max="2821" width="15.5703125" style="409" customWidth="1"/>
    <col min="2822" max="3072" width="9.140625" style="409"/>
    <col min="3073" max="3073" width="30" style="409" customWidth="1"/>
    <col min="3074" max="3074" width="52.28515625" style="409" customWidth="1"/>
    <col min="3075" max="3077" width="15.5703125" style="409" customWidth="1"/>
    <col min="3078" max="3328" width="9.140625" style="409"/>
    <col min="3329" max="3329" width="30" style="409" customWidth="1"/>
    <col min="3330" max="3330" width="52.28515625" style="409" customWidth="1"/>
    <col min="3331" max="3333" width="15.5703125" style="409" customWidth="1"/>
    <col min="3334" max="3584" width="9.140625" style="409"/>
    <col min="3585" max="3585" width="30" style="409" customWidth="1"/>
    <col min="3586" max="3586" width="52.28515625" style="409" customWidth="1"/>
    <col min="3587" max="3589" width="15.5703125" style="409" customWidth="1"/>
    <col min="3590" max="3840" width="9.140625" style="409"/>
    <col min="3841" max="3841" width="30" style="409" customWidth="1"/>
    <col min="3842" max="3842" width="52.28515625" style="409" customWidth="1"/>
    <col min="3843" max="3845" width="15.5703125" style="409" customWidth="1"/>
    <col min="3846" max="4096" width="9.140625" style="409"/>
    <col min="4097" max="4097" width="30" style="409" customWidth="1"/>
    <col min="4098" max="4098" width="52.28515625" style="409" customWidth="1"/>
    <col min="4099" max="4101" width="15.5703125" style="409" customWidth="1"/>
    <col min="4102" max="4352" width="9.140625" style="409"/>
    <col min="4353" max="4353" width="30" style="409" customWidth="1"/>
    <col min="4354" max="4354" width="52.28515625" style="409" customWidth="1"/>
    <col min="4355" max="4357" width="15.5703125" style="409" customWidth="1"/>
    <col min="4358" max="4608" width="9.140625" style="409"/>
    <col min="4609" max="4609" width="30" style="409" customWidth="1"/>
    <col min="4610" max="4610" width="52.28515625" style="409" customWidth="1"/>
    <col min="4611" max="4613" width="15.5703125" style="409" customWidth="1"/>
    <col min="4614" max="4864" width="9.140625" style="409"/>
    <col min="4865" max="4865" width="30" style="409" customWidth="1"/>
    <col min="4866" max="4866" width="52.28515625" style="409" customWidth="1"/>
    <col min="4867" max="4869" width="15.5703125" style="409" customWidth="1"/>
    <col min="4870" max="5120" width="9.140625" style="409"/>
    <col min="5121" max="5121" width="30" style="409" customWidth="1"/>
    <col min="5122" max="5122" width="52.28515625" style="409" customWidth="1"/>
    <col min="5123" max="5125" width="15.5703125" style="409" customWidth="1"/>
    <col min="5126" max="5376" width="9.140625" style="409"/>
    <col min="5377" max="5377" width="30" style="409" customWidth="1"/>
    <col min="5378" max="5378" width="52.28515625" style="409" customWidth="1"/>
    <col min="5379" max="5381" width="15.5703125" style="409" customWidth="1"/>
    <col min="5382" max="5632" width="9.140625" style="409"/>
    <col min="5633" max="5633" width="30" style="409" customWidth="1"/>
    <col min="5634" max="5634" width="52.28515625" style="409" customWidth="1"/>
    <col min="5635" max="5637" width="15.5703125" style="409" customWidth="1"/>
    <col min="5638" max="5888" width="9.140625" style="409"/>
    <col min="5889" max="5889" width="30" style="409" customWidth="1"/>
    <col min="5890" max="5890" width="52.28515625" style="409" customWidth="1"/>
    <col min="5891" max="5893" width="15.5703125" style="409" customWidth="1"/>
    <col min="5894" max="6144" width="9.140625" style="409"/>
    <col min="6145" max="6145" width="30" style="409" customWidth="1"/>
    <col min="6146" max="6146" width="52.28515625" style="409" customWidth="1"/>
    <col min="6147" max="6149" width="15.5703125" style="409" customWidth="1"/>
    <col min="6150" max="6400" width="9.140625" style="409"/>
    <col min="6401" max="6401" width="30" style="409" customWidth="1"/>
    <col min="6402" max="6402" width="52.28515625" style="409" customWidth="1"/>
    <col min="6403" max="6405" width="15.5703125" style="409" customWidth="1"/>
    <col min="6406" max="6656" width="9.140625" style="409"/>
    <col min="6657" max="6657" width="30" style="409" customWidth="1"/>
    <col min="6658" max="6658" width="52.28515625" style="409" customWidth="1"/>
    <col min="6659" max="6661" width="15.5703125" style="409" customWidth="1"/>
    <col min="6662" max="6912" width="9.140625" style="409"/>
    <col min="6913" max="6913" width="30" style="409" customWidth="1"/>
    <col min="6914" max="6914" width="52.28515625" style="409" customWidth="1"/>
    <col min="6915" max="6917" width="15.5703125" style="409" customWidth="1"/>
    <col min="6918" max="7168" width="9.140625" style="409"/>
    <col min="7169" max="7169" width="30" style="409" customWidth="1"/>
    <col min="7170" max="7170" width="52.28515625" style="409" customWidth="1"/>
    <col min="7171" max="7173" width="15.5703125" style="409" customWidth="1"/>
    <col min="7174" max="7424" width="9.140625" style="409"/>
    <col min="7425" max="7425" width="30" style="409" customWidth="1"/>
    <col min="7426" max="7426" width="52.28515625" style="409" customWidth="1"/>
    <col min="7427" max="7429" width="15.5703125" style="409" customWidth="1"/>
    <col min="7430" max="7680" width="9.140625" style="409"/>
    <col min="7681" max="7681" width="30" style="409" customWidth="1"/>
    <col min="7682" max="7682" width="52.28515625" style="409" customWidth="1"/>
    <col min="7683" max="7685" width="15.5703125" style="409" customWidth="1"/>
    <col min="7686" max="7936" width="9.140625" style="409"/>
    <col min="7937" max="7937" width="30" style="409" customWidth="1"/>
    <col min="7938" max="7938" width="52.28515625" style="409" customWidth="1"/>
    <col min="7939" max="7941" width="15.5703125" style="409" customWidth="1"/>
    <col min="7942" max="8192" width="9.140625" style="409"/>
    <col min="8193" max="8193" width="30" style="409" customWidth="1"/>
    <col min="8194" max="8194" width="52.28515625" style="409" customWidth="1"/>
    <col min="8195" max="8197" width="15.5703125" style="409" customWidth="1"/>
    <col min="8198" max="8448" width="9.140625" style="409"/>
    <col min="8449" max="8449" width="30" style="409" customWidth="1"/>
    <col min="8450" max="8450" width="52.28515625" style="409" customWidth="1"/>
    <col min="8451" max="8453" width="15.5703125" style="409" customWidth="1"/>
    <col min="8454" max="8704" width="9.140625" style="409"/>
    <col min="8705" max="8705" width="30" style="409" customWidth="1"/>
    <col min="8706" max="8706" width="52.28515625" style="409" customWidth="1"/>
    <col min="8707" max="8709" width="15.5703125" style="409" customWidth="1"/>
    <col min="8710" max="8960" width="9.140625" style="409"/>
    <col min="8961" max="8961" width="30" style="409" customWidth="1"/>
    <col min="8962" max="8962" width="52.28515625" style="409" customWidth="1"/>
    <col min="8963" max="8965" width="15.5703125" style="409" customWidth="1"/>
    <col min="8966" max="9216" width="9.140625" style="409"/>
    <col min="9217" max="9217" width="30" style="409" customWidth="1"/>
    <col min="9218" max="9218" width="52.28515625" style="409" customWidth="1"/>
    <col min="9219" max="9221" width="15.5703125" style="409" customWidth="1"/>
    <col min="9222" max="9472" width="9.140625" style="409"/>
    <col min="9473" max="9473" width="30" style="409" customWidth="1"/>
    <col min="9474" max="9474" width="52.28515625" style="409" customWidth="1"/>
    <col min="9475" max="9477" width="15.5703125" style="409" customWidth="1"/>
    <col min="9478" max="9728" width="9.140625" style="409"/>
    <col min="9729" max="9729" width="30" style="409" customWidth="1"/>
    <col min="9730" max="9730" width="52.28515625" style="409" customWidth="1"/>
    <col min="9731" max="9733" width="15.5703125" style="409" customWidth="1"/>
    <col min="9734" max="9984" width="9.140625" style="409"/>
    <col min="9985" max="9985" width="30" style="409" customWidth="1"/>
    <col min="9986" max="9986" width="52.28515625" style="409" customWidth="1"/>
    <col min="9987" max="9989" width="15.5703125" style="409" customWidth="1"/>
    <col min="9990" max="10240" width="9.140625" style="409"/>
    <col min="10241" max="10241" width="30" style="409" customWidth="1"/>
    <col min="10242" max="10242" width="52.28515625" style="409" customWidth="1"/>
    <col min="10243" max="10245" width="15.5703125" style="409" customWidth="1"/>
    <col min="10246" max="10496" width="9.140625" style="409"/>
    <col min="10497" max="10497" width="30" style="409" customWidth="1"/>
    <col min="10498" max="10498" width="52.28515625" style="409" customWidth="1"/>
    <col min="10499" max="10501" width="15.5703125" style="409" customWidth="1"/>
    <col min="10502" max="10752" width="9.140625" style="409"/>
    <col min="10753" max="10753" width="30" style="409" customWidth="1"/>
    <col min="10754" max="10754" width="52.28515625" style="409" customWidth="1"/>
    <col min="10755" max="10757" width="15.5703125" style="409" customWidth="1"/>
    <col min="10758" max="11008" width="9.140625" style="409"/>
    <col min="11009" max="11009" width="30" style="409" customWidth="1"/>
    <col min="11010" max="11010" width="52.28515625" style="409" customWidth="1"/>
    <col min="11011" max="11013" width="15.5703125" style="409" customWidth="1"/>
    <col min="11014" max="11264" width="9.140625" style="409"/>
    <col min="11265" max="11265" width="30" style="409" customWidth="1"/>
    <col min="11266" max="11266" width="52.28515625" style="409" customWidth="1"/>
    <col min="11267" max="11269" width="15.5703125" style="409" customWidth="1"/>
    <col min="11270" max="11520" width="9.140625" style="409"/>
    <col min="11521" max="11521" width="30" style="409" customWidth="1"/>
    <col min="11522" max="11522" width="52.28515625" style="409" customWidth="1"/>
    <col min="11523" max="11525" width="15.5703125" style="409" customWidth="1"/>
    <col min="11526" max="11776" width="9.140625" style="409"/>
    <col min="11777" max="11777" width="30" style="409" customWidth="1"/>
    <col min="11778" max="11778" width="52.28515625" style="409" customWidth="1"/>
    <col min="11779" max="11781" width="15.5703125" style="409" customWidth="1"/>
    <col min="11782" max="12032" width="9.140625" style="409"/>
    <col min="12033" max="12033" width="30" style="409" customWidth="1"/>
    <col min="12034" max="12034" width="52.28515625" style="409" customWidth="1"/>
    <col min="12035" max="12037" width="15.5703125" style="409" customWidth="1"/>
    <col min="12038" max="12288" width="9.140625" style="409"/>
    <col min="12289" max="12289" width="30" style="409" customWidth="1"/>
    <col min="12290" max="12290" width="52.28515625" style="409" customWidth="1"/>
    <col min="12291" max="12293" width="15.5703125" style="409" customWidth="1"/>
    <col min="12294" max="12544" width="9.140625" style="409"/>
    <col min="12545" max="12545" width="30" style="409" customWidth="1"/>
    <col min="12546" max="12546" width="52.28515625" style="409" customWidth="1"/>
    <col min="12547" max="12549" width="15.5703125" style="409" customWidth="1"/>
    <col min="12550" max="12800" width="9.140625" style="409"/>
    <col min="12801" max="12801" width="30" style="409" customWidth="1"/>
    <col min="12802" max="12802" width="52.28515625" style="409" customWidth="1"/>
    <col min="12803" max="12805" width="15.5703125" style="409" customWidth="1"/>
    <col min="12806" max="13056" width="9.140625" style="409"/>
    <col min="13057" max="13057" width="30" style="409" customWidth="1"/>
    <col min="13058" max="13058" width="52.28515625" style="409" customWidth="1"/>
    <col min="13059" max="13061" width="15.5703125" style="409" customWidth="1"/>
    <col min="13062" max="13312" width="9.140625" style="409"/>
    <col min="13313" max="13313" width="30" style="409" customWidth="1"/>
    <col min="13314" max="13314" width="52.28515625" style="409" customWidth="1"/>
    <col min="13315" max="13317" width="15.5703125" style="409" customWidth="1"/>
    <col min="13318" max="13568" width="9.140625" style="409"/>
    <col min="13569" max="13569" width="30" style="409" customWidth="1"/>
    <col min="13570" max="13570" width="52.28515625" style="409" customWidth="1"/>
    <col min="13571" max="13573" width="15.5703125" style="409" customWidth="1"/>
    <col min="13574" max="13824" width="9.140625" style="409"/>
    <col min="13825" max="13825" width="30" style="409" customWidth="1"/>
    <col min="13826" max="13826" width="52.28515625" style="409" customWidth="1"/>
    <col min="13827" max="13829" width="15.5703125" style="409" customWidth="1"/>
    <col min="13830" max="14080" width="9.140625" style="409"/>
    <col min="14081" max="14081" width="30" style="409" customWidth="1"/>
    <col min="14082" max="14082" width="52.28515625" style="409" customWidth="1"/>
    <col min="14083" max="14085" width="15.5703125" style="409" customWidth="1"/>
    <col min="14086" max="14336" width="9.140625" style="409"/>
    <col min="14337" max="14337" width="30" style="409" customWidth="1"/>
    <col min="14338" max="14338" width="52.28515625" style="409" customWidth="1"/>
    <col min="14339" max="14341" width="15.5703125" style="409" customWidth="1"/>
    <col min="14342" max="14592" width="9.140625" style="409"/>
    <col min="14593" max="14593" width="30" style="409" customWidth="1"/>
    <col min="14594" max="14594" width="52.28515625" style="409" customWidth="1"/>
    <col min="14595" max="14597" width="15.5703125" style="409" customWidth="1"/>
    <col min="14598" max="14848" width="9.140625" style="409"/>
    <col min="14849" max="14849" width="30" style="409" customWidth="1"/>
    <col min="14850" max="14850" width="52.28515625" style="409" customWidth="1"/>
    <col min="14851" max="14853" width="15.5703125" style="409" customWidth="1"/>
    <col min="14854" max="15104" width="9.140625" style="409"/>
    <col min="15105" max="15105" width="30" style="409" customWidth="1"/>
    <col min="15106" max="15106" width="52.28515625" style="409" customWidth="1"/>
    <col min="15107" max="15109" width="15.5703125" style="409" customWidth="1"/>
    <col min="15110" max="15360" width="9.140625" style="409"/>
    <col min="15361" max="15361" width="30" style="409" customWidth="1"/>
    <col min="15362" max="15362" width="52.28515625" style="409" customWidth="1"/>
    <col min="15363" max="15365" width="15.5703125" style="409" customWidth="1"/>
    <col min="15366" max="15616" width="9.140625" style="409"/>
    <col min="15617" max="15617" width="30" style="409" customWidth="1"/>
    <col min="15618" max="15618" width="52.28515625" style="409" customWidth="1"/>
    <col min="15619" max="15621" width="15.5703125" style="409" customWidth="1"/>
    <col min="15622" max="15872" width="9.140625" style="409"/>
    <col min="15873" max="15873" width="30" style="409" customWidth="1"/>
    <col min="15874" max="15874" width="52.28515625" style="409" customWidth="1"/>
    <col min="15875" max="15877" width="15.5703125" style="409" customWidth="1"/>
    <col min="15878" max="16128" width="9.140625" style="409"/>
    <col min="16129" max="16129" width="30" style="409" customWidth="1"/>
    <col min="16130" max="16130" width="52.28515625" style="409" customWidth="1"/>
    <col min="16131" max="16133" width="15.5703125" style="409" customWidth="1"/>
    <col min="16134" max="16384" width="9.140625" style="409"/>
  </cols>
  <sheetData>
    <row r="1" spans="1:5" ht="15.75" x14ac:dyDescent="0.25">
      <c r="A1" s="407"/>
      <c r="B1" s="408"/>
      <c r="C1" s="688" t="s">
        <v>683</v>
      </c>
      <c r="D1" s="688"/>
      <c r="E1" s="688"/>
    </row>
    <row r="2" spans="1:5" ht="15.75" x14ac:dyDescent="0.25">
      <c r="A2" s="407"/>
      <c r="B2" s="688" t="s">
        <v>835</v>
      </c>
      <c r="C2" s="688"/>
      <c r="D2" s="688"/>
      <c r="E2" s="688"/>
    </row>
    <row r="3" spans="1:5" ht="15.75" x14ac:dyDescent="0.25">
      <c r="A3" s="689" t="s">
        <v>1195</v>
      </c>
      <c r="B3" s="689"/>
      <c r="C3" s="689"/>
      <c r="D3" s="689"/>
      <c r="E3" s="689"/>
    </row>
    <row r="4" spans="1:5" ht="15.75" x14ac:dyDescent="0.25">
      <c r="A4" s="407"/>
      <c r="B4" s="410"/>
      <c r="C4" s="410"/>
      <c r="D4" s="410"/>
      <c r="E4" s="410" t="s">
        <v>1196</v>
      </c>
    </row>
    <row r="5" spans="1:5" ht="50.25" customHeight="1" x14ac:dyDescent="0.25">
      <c r="A5" s="690" t="s">
        <v>1194</v>
      </c>
      <c r="B5" s="690"/>
      <c r="C5" s="690"/>
      <c r="D5" s="690"/>
      <c r="E5" s="690"/>
    </row>
    <row r="6" spans="1:5" x14ac:dyDescent="0.25">
      <c r="A6" s="411"/>
      <c r="B6" s="411"/>
      <c r="C6" s="691" t="s">
        <v>891</v>
      </c>
      <c r="D6" s="691"/>
      <c r="E6" s="691"/>
    </row>
    <row r="7" spans="1:5" ht="15" customHeight="1" x14ac:dyDescent="0.25">
      <c r="A7" s="692" t="s">
        <v>674</v>
      </c>
      <c r="B7" s="694" t="s">
        <v>673</v>
      </c>
      <c r="C7" s="694" t="s">
        <v>829</v>
      </c>
      <c r="D7" s="694" t="s">
        <v>830</v>
      </c>
      <c r="E7" s="694" t="s">
        <v>831</v>
      </c>
    </row>
    <row r="8" spans="1:5" s="412" customFormat="1" ht="40.5" customHeight="1" x14ac:dyDescent="0.2">
      <c r="A8" s="693"/>
      <c r="B8" s="694"/>
      <c r="C8" s="694"/>
      <c r="D8" s="694"/>
      <c r="E8" s="694"/>
    </row>
    <row r="9" spans="1:5" ht="56.25" customHeight="1" x14ac:dyDescent="0.35">
      <c r="A9" s="413" t="s">
        <v>672</v>
      </c>
      <c r="B9" s="414" t="s">
        <v>671</v>
      </c>
      <c r="C9" s="415">
        <f>C10</f>
        <v>-32965.830330000026</v>
      </c>
      <c r="D9" s="415">
        <f>D10</f>
        <v>-2627.6475500001106</v>
      </c>
      <c r="E9" s="416">
        <f t="shared" ref="E9:E18" si="0">D9/C9*100</f>
        <v>7.9708216771620712</v>
      </c>
    </row>
    <row r="10" spans="1:5" ht="57.75" customHeight="1" x14ac:dyDescent="0.3">
      <c r="A10" s="417" t="s">
        <v>670</v>
      </c>
      <c r="B10" s="418" t="s">
        <v>669</v>
      </c>
      <c r="C10" s="419">
        <f>C19</f>
        <v>-32965.830330000026</v>
      </c>
      <c r="D10" s="419">
        <f>D19</f>
        <v>-2627.6475500001106</v>
      </c>
      <c r="E10" s="416">
        <f t="shared" si="0"/>
        <v>7.9708216771620712</v>
      </c>
    </row>
    <row r="11" spans="1:5" ht="24.75" customHeight="1" x14ac:dyDescent="0.3">
      <c r="A11" s="420" t="s">
        <v>668</v>
      </c>
      <c r="B11" s="421" t="s">
        <v>667</v>
      </c>
      <c r="C11" s="422">
        <f t="shared" ref="C11:D13" si="1">C12</f>
        <v>1078766.0110500001</v>
      </c>
      <c r="D11" s="422">
        <f t="shared" si="1"/>
        <v>1063968.70105</v>
      </c>
      <c r="E11" s="416">
        <f t="shared" si="0"/>
        <v>98.628311436546156</v>
      </c>
    </row>
    <row r="12" spans="1:5" ht="37.5" x14ac:dyDescent="0.3">
      <c r="A12" s="420" t="s">
        <v>666</v>
      </c>
      <c r="B12" s="421" t="s">
        <v>665</v>
      </c>
      <c r="C12" s="422">
        <f t="shared" si="1"/>
        <v>1078766.0110500001</v>
      </c>
      <c r="D12" s="422">
        <f t="shared" si="1"/>
        <v>1063968.70105</v>
      </c>
      <c r="E12" s="416">
        <f t="shared" si="0"/>
        <v>98.628311436546156</v>
      </c>
    </row>
    <row r="13" spans="1:5" ht="37.5" x14ac:dyDescent="0.3">
      <c r="A13" s="420" t="s">
        <v>664</v>
      </c>
      <c r="B13" s="421" t="s">
        <v>663</v>
      </c>
      <c r="C13" s="422">
        <f t="shared" si="1"/>
        <v>1078766.0110500001</v>
      </c>
      <c r="D13" s="422">
        <f t="shared" si="1"/>
        <v>1063968.70105</v>
      </c>
      <c r="E13" s="416">
        <f t="shared" si="0"/>
        <v>98.628311436546156</v>
      </c>
    </row>
    <row r="14" spans="1:5" ht="37.5" x14ac:dyDescent="0.3">
      <c r="A14" s="420" t="s">
        <v>662</v>
      </c>
      <c r="B14" s="421" t="s">
        <v>1192</v>
      </c>
      <c r="C14" s="422">
        <f>'1.Доходы'!D189</f>
        <v>1078766.0110500001</v>
      </c>
      <c r="D14" s="422">
        <f>'1.Доходы'!E189</f>
        <v>1063968.70105</v>
      </c>
      <c r="E14" s="416">
        <f t="shared" si="0"/>
        <v>98.628311436546156</v>
      </c>
    </row>
    <row r="15" spans="1:5" ht="18.75" x14ac:dyDescent="0.3">
      <c r="A15" s="420" t="s">
        <v>661</v>
      </c>
      <c r="B15" s="421" t="s">
        <v>660</v>
      </c>
      <c r="C15" s="422">
        <f t="shared" ref="C15:D17" si="2">C16</f>
        <v>1111731.8413800001</v>
      </c>
      <c r="D15" s="422">
        <f t="shared" si="2"/>
        <v>1066596.3486000001</v>
      </c>
      <c r="E15" s="416">
        <f t="shared" si="0"/>
        <v>95.940073756997649</v>
      </c>
    </row>
    <row r="16" spans="1:5" ht="37.5" x14ac:dyDescent="0.3">
      <c r="A16" s="420" t="s">
        <v>659</v>
      </c>
      <c r="B16" s="421" t="s">
        <v>658</v>
      </c>
      <c r="C16" s="422">
        <f t="shared" si="2"/>
        <v>1111731.8413800001</v>
      </c>
      <c r="D16" s="422">
        <f t="shared" si="2"/>
        <v>1066596.3486000001</v>
      </c>
      <c r="E16" s="416">
        <f t="shared" si="0"/>
        <v>95.940073756997649</v>
      </c>
    </row>
    <row r="17" spans="1:5" ht="37.5" x14ac:dyDescent="0.3">
      <c r="A17" s="420" t="s">
        <v>657</v>
      </c>
      <c r="B17" s="421" t="s">
        <v>656</v>
      </c>
      <c r="C17" s="422">
        <f t="shared" si="2"/>
        <v>1111731.8413800001</v>
      </c>
      <c r="D17" s="422">
        <f t="shared" si="2"/>
        <v>1066596.3486000001</v>
      </c>
      <c r="E17" s="416">
        <f t="shared" si="0"/>
        <v>95.940073756997649</v>
      </c>
    </row>
    <row r="18" spans="1:5" ht="39" customHeight="1" x14ac:dyDescent="0.3">
      <c r="A18" s="420" t="s">
        <v>655</v>
      </c>
      <c r="B18" s="421" t="s">
        <v>1193</v>
      </c>
      <c r="C18" s="422">
        <f>'2.Расходы по вед'!G885</f>
        <v>1111731.8413800001</v>
      </c>
      <c r="D18" s="422">
        <f>'2.Расходы по вед'!H885</f>
        <v>1066596.3486000001</v>
      </c>
      <c r="E18" s="416">
        <f t="shared" si="0"/>
        <v>95.940073756997649</v>
      </c>
    </row>
    <row r="19" spans="1:5" ht="19.5" hidden="1" x14ac:dyDescent="0.35">
      <c r="A19" s="423"/>
      <c r="B19" s="424" t="s">
        <v>654</v>
      </c>
      <c r="C19" s="425">
        <f>C11-C15</f>
        <v>-32965.830330000026</v>
      </c>
      <c r="D19" s="425">
        <f>D11-D15</f>
        <v>-2627.6475500001106</v>
      </c>
      <c r="E19" s="416" t="s">
        <v>1191</v>
      </c>
    </row>
  </sheetData>
  <mergeCells count="10">
    <mergeCell ref="A7:A8"/>
    <mergeCell ref="B7:B8"/>
    <mergeCell ref="C7:C8"/>
    <mergeCell ref="D7:D8"/>
    <mergeCell ref="E7:E8"/>
    <mergeCell ref="C1:E1"/>
    <mergeCell ref="B2:E2"/>
    <mergeCell ref="A3:E3"/>
    <mergeCell ref="A5:E5"/>
    <mergeCell ref="C6:E6"/>
  </mergeCells>
  <pageMargins left="0.9055118110236221" right="0.51181102362204722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B9" sqref="B9"/>
    </sheetView>
  </sheetViews>
  <sheetFormatPr defaultColWidth="9.140625" defaultRowHeight="12.75" x14ac:dyDescent="0.2"/>
  <cols>
    <col min="1" max="1" width="4.7109375" style="428" customWidth="1"/>
    <col min="2" max="2" width="71.85546875" style="428" customWidth="1"/>
    <col min="3" max="3" width="21.7109375" style="428" customWidth="1"/>
    <col min="4" max="16384" width="9.140625" style="428"/>
  </cols>
  <sheetData>
    <row r="1" spans="1:3" ht="15.75" x14ac:dyDescent="0.25">
      <c r="A1" s="426"/>
      <c r="B1" s="271"/>
      <c r="C1" s="427" t="s">
        <v>675</v>
      </c>
    </row>
    <row r="2" spans="1:3" ht="15.75" x14ac:dyDescent="0.25">
      <c r="A2" s="426"/>
      <c r="B2" s="695" t="s">
        <v>835</v>
      </c>
      <c r="C2" s="695"/>
    </row>
    <row r="3" spans="1:3" ht="15.75" x14ac:dyDescent="0.25">
      <c r="A3" s="426"/>
      <c r="B3" s="696" t="s">
        <v>836</v>
      </c>
      <c r="C3" s="696"/>
    </row>
    <row r="4" spans="1:3" ht="15.75" x14ac:dyDescent="0.25">
      <c r="A4" s="426"/>
      <c r="C4" s="430" t="s">
        <v>1196</v>
      </c>
    </row>
    <row r="5" spans="1:3" ht="15.75" x14ac:dyDescent="0.25">
      <c r="A5" s="426"/>
      <c r="C5" s="430"/>
    </row>
    <row r="6" spans="1:3" ht="18.75" x14ac:dyDescent="0.2">
      <c r="A6" s="697" t="s">
        <v>1197</v>
      </c>
      <c r="B6" s="697"/>
      <c r="C6" s="697"/>
    </row>
    <row r="7" spans="1:3" ht="33.75" customHeight="1" x14ac:dyDescent="0.2">
      <c r="A7" s="698" t="s">
        <v>1203</v>
      </c>
      <c r="B7" s="698"/>
      <c r="C7" s="698"/>
    </row>
    <row r="8" spans="1:3" ht="15.75" x14ac:dyDescent="0.2">
      <c r="A8" s="699" t="s">
        <v>887</v>
      </c>
      <c r="B8" s="700"/>
      <c r="C8" s="431" t="s">
        <v>891</v>
      </c>
    </row>
    <row r="9" spans="1:3" ht="31.5" x14ac:dyDescent="0.2">
      <c r="A9" s="432" t="s">
        <v>681</v>
      </c>
      <c r="B9" s="432" t="s">
        <v>1198</v>
      </c>
      <c r="C9" s="432" t="s">
        <v>1199</v>
      </c>
    </row>
    <row r="10" spans="1:3" ht="21" customHeight="1" x14ac:dyDescent="0.2">
      <c r="A10" s="433" t="s">
        <v>685</v>
      </c>
      <c r="B10" s="434" t="s">
        <v>1200</v>
      </c>
      <c r="C10" s="435">
        <v>0</v>
      </c>
    </row>
    <row r="11" spans="1:3" ht="21" customHeight="1" x14ac:dyDescent="0.2">
      <c r="A11" s="433">
        <v>2</v>
      </c>
      <c r="B11" s="434" t="s">
        <v>1201</v>
      </c>
      <c r="C11" s="435">
        <v>0</v>
      </c>
    </row>
    <row r="12" spans="1:3" s="438" customFormat="1" ht="15.75" x14ac:dyDescent="0.2">
      <c r="A12" s="436"/>
      <c r="B12" s="437" t="s">
        <v>1202</v>
      </c>
      <c r="C12" s="432">
        <f>C10</f>
        <v>0</v>
      </c>
    </row>
    <row r="13" spans="1:3" ht="15.75" x14ac:dyDescent="0.25">
      <c r="A13" s="439"/>
    </row>
  </sheetData>
  <mergeCells count="5">
    <mergeCell ref="B2:C2"/>
    <mergeCell ref="B3:C3"/>
    <mergeCell ref="A6:C6"/>
    <mergeCell ref="A7:C7"/>
    <mergeCell ref="A8:B8"/>
  </mergeCells>
  <pageMargins left="0.70866141732283472" right="0.31496062992125984" top="0.74803149606299213" bottom="0.74803149606299213" header="0.31496062992125984" footer="0.31496062992125984"/>
  <pageSetup paperSize="9" scale="90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B11" sqref="B11"/>
    </sheetView>
  </sheetViews>
  <sheetFormatPr defaultColWidth="9.140625" defaultRowHeight="15.75" x14ac:dyDescent="0.25"/>
  <cols>
    <col min="1" max="1" width="7" style="440" customWidth="1"/>
    <col min="2" max="2" width="62.140625" style="440" customWidth="1"/>
    <col min="3" max="3" width="17" style="440" customWidth="1"/>
    <col min="4" max="16384" width="9.140625" style="440"/>
  </cols>
  <sheetData>
    <row r="1" spans="1:3" x14ac:dyDescent="0.25">
      <c r="A1" s="703" t="s">
        <v>1204</v>
      </c>
      <c r="B1" s="703"/>
      <c r="C1" s="703"/>
    </row>
    <row r="2" spans="1:3" x14ac:dyDescent="0.25">
      <c r="A2" s="703" t="s">
        <v>835</v>
      </c>
      <c r="B2" s="703"/>
      <c r="C2" s="703"/>
    </row>
    <row r="3" spans="1:3" x14ac:dyDescent="0.25">
      <c r="A3" s="703" t="s">
        <v>836</v>
      </c>
      <c r="B3" s="703"/>
      <c r="C3" s="703"/>
    </row>
    <row r="4" spans="1:3" x14ac:dyDescent="0.25">
      <c r="B4" s="703" t="s">
        <v>1196</v>
      </c>
      <c r="C4" s="703"/>
    </row>
    <row r="5" spans="1:3" x14ac:dyDescent="0.25">
      <c r="B5" s="430"/>
      <c r="C5" s="430"/>
    </row>
    <row r="6" spans="1:3" x14ac:dyDescent="0.25">
      <c r="A6" s="704" t="s">
        <v>1205</v>
      </c>
      <c r="B6" s="704"/>
      <c r="C6" s="704"/>
    </row>
    <row r="7" spans="1:3" ht="30" customHeight="1" x14ac:dyDescent="0.25">
      <c r="A7" s="705" t="s">
        <v>1211</v>
      </c>
      <c r="B7" s="705"/>
      <c r="C7" s="705"/>
    </row>
    <row r="8" spans="1:3" x14ac:dyDescent="0.25">
      <c r="A8" s="701" t="s">
        <v>891</v>
      </c>
      <c r="B8" s="701"/>
      <c r="C8" s="701"/>
    </row>
    <row r="9" spans="1:3" x14ac:dyDescent="0.25">
      <c r="A9" s="441" t="s">
        <v>681</v>
      </c>
      <c r="B9" s="441" t="s">
        <v>1206</v>
      </c>
      <c r="C9" s="441" t="s">
        <v>1207</v>
      </c>
    </row>
    <row r="10" spans="1:3" ht="63" x14ac:dyDescent="0.25">
      <c r="A10" s="702" t="s">
        <v>685</v>
      </c>
      <c r="B10" s="442" t="s">
        <v>1208</v>
      </c>
      <c r="C10" s="441">
        <v>0</v>
      </c>
    </row>
    <row r="11" spans="1:3" x14ac:dyDescent="0.25">
      <c r="A11" s="702"/>
      <c r="B11" s="442" t="s">
        <v>1209</v>
      </c>
      <c r="C11" s="441">
        <v>0</v>
      </c>
    </row>
    <row r="12" spans="1:3" ht="18" customHeight="1" x14ac:dyDescent="0.25">
      <c r="A12" s="702"/>
      <c r="B12" s="442" t="s">
        <v>1210</v>
      </c>
      <c r="C12" s="441">
        <v>0</v>
      </c>
    </row>
    <row r="13" spans="1:3" ht="18" customHeight="1" x14ac:dyDescent="0.25"/>
  </sheetData>
  <mergeCells count="8">
    <mergeCell ref="A8:C8"/>
    <mergeCell ref="A10:A12"/>
    <mergeCell ref="A1:C1"/>
    <mergeCell ref="A2:C2"/>
    <mergeCell ref="A3:C3"/>
    <mergeCell ref="B4:C4"/>
    <mergeCell ref="A6:C6"/>
    <mergeCell ref="A7:C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3"/>
  <sheetViews>
    <sheetView view="pageBreakPreview" zoomScaleSheetLayoutView="100" workbookViewId="0">
      <selection activeCell="A10" sqref="A10"/>
    </sheetView>
  </sheetViews>
  <sheetFormatPr defaultColWidth="9.140625" defaultRowHeight="15.75" x14ac:dyDescent="0.25"/>
  <cols>
    <col min="1" max="1" width="80.42578125" style="440" customWidth="1"/>
    <col min="2" max="2" width="13.7109375" style="440" customWidth="1"/>
    <col min="3" max="16384" width="9.140625" style="440"/>
  </cols>
  <sheetData>
    <row r="1" spans="1:3" x14ac:dyDescent="0.25">
      <c r="A1" s="703" t="s">
        <v>718</v>
      </c>
      <c r="B1" s="703"/>
      <c r="C1" s="443"/>
    </row>
    <row r="2" spans="1:3" x14ac:dyDescent="0.25">
      <c r="A2" s="703" t="s">
        <v>835</v>
      </c>
      <c r="B2" s="703"/>
      <c r="C2" s="443"/>
    </row>
    <row r="3" spans="1:3" x14ac:dyDescent="0.25">
      <c r="A3" s="703" t="s">
        <v>836</v>
      </c>
      <c r="B3" s="703"/>
      <c r="C3" s="443"/>
    </row>
    <row r="4" spans="1:3" x14ac:dyDescent="0.25">
      <c r="A4" s="703" t="s">
        <v>1196</v>
      </c>
      <c r="B4" s="703"/>
      <c r="C4" s="443"/>
    </row>
    <row r="6" spans="1:3" x14ac:dyDescent="0.25">
      <c r="A6" s="707" t="s">
        <v>1212</v>
      </c>
      <c r="B6" s="707"/>
    </row>
    <row r="7" spans="1:3" ht="37.5" customHeight="1" x14ac:dyDescent="0.25">
      <c r="A7" s="706" t="s">
        <v>1217</v>
      </c>
      <c r="B7" s="706"/>
    </row>
    <row r="8" spans="1:3" x14ac:dyDescent="0.25">
      <c r="A8" s="444"/>
      <c r="B8" s="445" t="s">
        <v>891</v>
      </c>
    </row>
    <row r="9" spans="1:3" x14ac:dyDescent="0.25">
      <c r="A9" s="441" t="s">
        <v>1213</v>
      </c>
      <c r="B9" s="441" t="s">
        <v>1207</v>
      </c>
    </row>
    <row r="10" spans="1:3" ht="31.5" x14ac:dyDescent="0.25">
      <c r="A10" s="446" t="s">
        <v>1214</v>
      </c>
      <c r="B10" s="441">
        <v>0</v>
      </c>
    </row>
    <row r="11" spans="1:3" ht="31.5" x14ac:dyDescent="0.25">
      <c r="A11" s="446" t="s">
        <v>1215</v>
      </c>
      <c r="B11" s="441">
        <v>0</v>
      </c>
    </row>
    <row r="12" spans="1:3" ht="31.5" x14ac:dyDescent="0.25">
      <c r="A12" s="446" t="s">
        <v>1216</v>
      </c>
      <c r="B12" s="447">
        <v>0</v>
      </c>
    </row>
    <row r="13" spans="1:3" x14ac:dyDescent="0.25">
      <c r="A13" s="448"/>
    </row>
  </sheetData>
  <mergeCells count="6">
    <mergeCell ref="A7:B7"/>
    <mergeCell ref="A1:B1"/>
    <mergeCell ref="A2:B2"/>
    <mergeCell ref="A3:B3"/>
    <mergeCell ref="A4:B4"/>
    <mergeCell ref="A6:B6"/>
  </mergeCells>
  <pageMargins left="0.70866141732283472" right="0.31496062992125984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view="pageBreakPreview" zoomScale="60" workbookViewId="0">
      <selection activeCell="G16" sqref="G16"/>
    </sheetView>
  </sheetViews>
  <sheetFormatPr defaultRowHeight="12.75" x14ac:dyDescent="0.2"/>
  <cols>
    <col min="1" max="1" width="7.140625" style="449" customWidth="1"/>
    <col min="2" max="2" width="64.5703125" style="449" customWidth="1"/>
    <col min="3" max="3" width="10.140625" style="449" hidden="1" customWidth="1"/>
    <col min="4" max="4" width="10.85546875" style="449" hidden="1" customWidth="1"/>
    <col min="5" max="5" width="12.5703125" style="449" hidden="1" customWidth="1"/>
    <col min="6" max="6" width="23.28515625" style="449" customWidth="1"/>
    <col min="7" max="7" width="23" style="449" customWidth="1"/>
    <col min="8" max="8" width="18.7109375" style="449" customWidth="1"/>
    <col min="9" max="9" width="22.5703125" style="271" bestFit="1" customWidth="1"/>
    <col min="10" max="256" width="9.140625" style="449"/>
    <col min="257" max="257" width="7.140625" style="449" customWidth="1"/>
    <col min="258" max="258" width="64.5703125" style="449" customWidth="1"/>
    <col min="259" max="261" width="0" style="449" hidden="1" customWidth="1"/>
    <col min="262" max="262" width="14.7109375" style="449" customWidth="1"/>
    <col min="263" max="263" width="15.5703125" style="449" customWidth="1"/>
    <col min="264" max="264" width="18.7109375" style="449" customWidth="1"/>
    <col min="265" max="265" width="22.5703125" style="449" bestFit="1" customWidth="1"/>
    <col min="266" max="512" width="9.140625" style="449"/>
    <col min="513" max="513" width="7.140625" style="449" customWidth="1"/>
    <col min="514" max="514" width="64.5703125" style="449" customWidth="1"/>
    <col min="515" max="517" width="0" style="449" hidden="1" customWidth="1"/>
    <col min="518" max="518" width="14.7109375" style="449" customWidth="1"/>
    <col min="519" max="519" width="15.5703125" style="449" customWidth="1"/>
    <col min="520" max="520" width="18.7109375" style="449" customWidth="1"/>
    <col min="521" max="521" width="22.5703125" style="449" bestFit="1" customWidth="1"/>
    <col min="522" max="768" width="9.140625" style="449"/>
    <col min="769" max="769" width="7.140625" style="449" customWidth="1"/>
    <col min="770" max="770" width="64.5703125" style="449" customWidth="1"/>
    <col min="771" max="773" width="0" style="449" hidden="1" customWidth="1"/>
    <col min="774" max="774" width="14.7109375" style="449" customWidth="1"/>
    <col min="775" max="775" width="15.5703125" style="449" customWidth="1"/>
    <col min="776" max="776" width="18.7109375" style="449" customWidth="1"/>
    <col min="777" max="777" width="22.5703125" style="449" bestFit="1" customWidth="1"/>
    <col min="778" max="1024" width="9.140625" style="449"/>
    <col min="1025" max="1025" width="7.140625" style="449" customWidth="1"/>
    <col min="1026" max="1026" width="64.5703125" style="449" customWidth="1"/>
    <col min="1027" max="1029" width="0" style="449" hidden="1" customWidth="1"/>
    <col min="1030" max="1030" width="14.7109375" style="449" customWidth="1"/>
    <col min="1031" max="1031" width="15.5703125" style="449" customWidth="1"/>
    <col min="1032" max="1032" width="18.7109375" style="449" customWidth="1"/>
    <col min="1033" max="1033" width="22.5703125" style="449" bestFit="1" customWidth="1"/>
    <col min="1034" max="1280" width="9.140625" style="449"/>
    <col min="1281" max="1281" width="7.140625" style="449" customWidth="1"/>
    <col min="1282" max="1282" width="64.5703125" style="449" customWidth="1"/>
    <col min="1283" max="1285" width="0" style="449" hidden="1" customWidth="1"/>
    <col min="1286" max="1286" width="14.7109375" style="449" customWidth="1"/>
    <col min="1287" max="1287" width="15.5703125" style="449" customWidth="1"/>
    <col min="1288" max="1288" width="18.7109375" style="449" customWidth="1"/>
    <col min="1289" max="1289" width="22.5703125" style="449" bestFit="1" customWidth="1"/>
    <col min="1290" max="1536" width="9.140625" style="449"/>
    <col min="1537" max="1537" width="7.140625" style="449" customWidth="1"/>
    <col min="1538" max="1538" width="64.5703125" style="449" customWidth="1"/>
    <col min="1539" max="1541" width="0" style="449" hidden="1" customWidth="1"/>
    <col min="1542" max="1542" width="14.7109375" style="449" customWidth="1"/>
    <col min="1543" max="1543" width="15.5703125" style="449" customWidth="1"/>
    <col min="1544" max="1544" width="18.7109375" style="449" customWidth="1"/>
    <col min="1545" max="1545" width="22.5703125" style="449" bestFit="1" customWidth="1"/>
    <col min="1546" max="1792" width="9.140625" style="449"/>
    <col min="1793" max="1793" width="7.140625" style="449" customWidth="1"/>
    <col min="1794" max="1794" width="64.5703125" style="449" customWidth="1"/>
    <col min="1795" max="1797" width="0" style="449" hidden="1" customWidth="1"/>
    <col min="1798" max="1798" width="14.7109375" style="449" customWidth="1"/>
    <col min="1799" max="1799" width="15.5703125" style="449" customWidth="1"/>
    <col min="1800" max="1800" width="18.7109375" style="449" customWidth="1"/>
    <col min="1801" max="1801" width="22.5703125" style="449" bestFit="1" customWidth="1"/>
    <col min="1802" max="2048" width="9.140625" style="449"/>
    <col min="2049" max="2049" width="7.140625" style="449" customWidth="1"/>
    <col min="2050" max="2050" width="64.5703125" style="449" customWidth="1"/>
    <col min="2051" max="2053" width="0" style="449" hidden="1" customWidth="1"/>
    <col min="2054" max="2054" width="14.7109375" style="449" customWidth="1"/>
    <col min="2055" max="2055" width="15.5703125" style="449" customWidth="1"/>
    <col min="2056" max="2056" width="18.7109375" style="449" customWidth="1"/>
    <col min="2057" max="2057" width="22.5703125" style="449" bestFit="1" customWidth="1"/>
    <col min="2058" max="2304" width="9.140625" style="449"/>
    <col min="2305" max="2305" width="7.140625" style="449" customWidth="1"/>
    <col min="2306" max="2306" width="64.5703125" style="449" customWidth="1"/>
    <col min="2307" max="2309" width="0" style="449" hidden="1" customWidth="1"/>
    <col min="2310" max="2310" width="14.7109375" style="449" customWidth="1"/>
    <col min="2311" max="2311" width="15.5703125" style="449" customWidth="1"/>
    <col min="2312" max="2312" width="18.7109375" style="449" customWidth="1"/>
    <col min="2313" max="2313" width="22.5703125" style="449" bestFit="1" customWidth="1"/>
    <col min="2314" max="2560" width="9.140625" style="449"/>
    <col min="2561" max="2561" width="7.140625" style="449" customWidth="1"/>
    <col min="2562" max="2562" width="64.5703125" style="449" customWidth="1"/>
    <col min="2563" max="2565" width="0" style="449" hidden="1" customWidth="1"/>
    <col min="2566" max="2566" width="14.7109375" style="449" customWidth="1"/>
    <col min="2567" max="2567" width="15.5703125" style="449" customWidth="1"/>
    <col min="2568" max="2568" width="18.7109375" style="449" customWidth="1"/>
    <col min="2569" max="2569" width="22.5703125" style="449" bestFit="1" customWidth="1"/>
    <col min="2570" max="2816" width="9.140625" style="449"/>
    <col min="2817" max="2817" width="7.140625" style="449" customWidth="1"/>
    <col min="2818" max="2818" width="64.5703125" style="449" customWidth="1"/>
    <col min="2819" max="2821" width="0" style="449" hidden="1" customWidth="1"/>
    <col min="2822" max="2822" width="14.7109375" style="449" customWidth="1"/>
    <col min="2823" max="2823" width="15.5703125" style="449" customWidth="1"/>
    <col min="2824" max="2824" width="18.7109375" style="449" customWidth="1"/>
    <col min="2825" max="2825" width="22.5703125" style="449" bestFit="1" customWidth="1"/>
    <col min="2826" max="3072" width="9.140625" style="449"/>
    <col min="3073" max="3073" width="7.140625" style="449" customWidth="1"/>
    <col min="3074" max="3074" width="64.5703125" style="449" customWidth="1"/>
    <col min="3075" max="3077" width="0" style="449" hidden="1" customWidth="1"/>
    <col min="3078" max="3078" width="14.7109375" style="449" customWidth="1"/>
    <col min="3079" max="3079" width="15.5703125" style="449" customWidth="1"/>
    <col min="3080" max="3080" width="18.7109375" style="449" customWidth="1"/>
    <col min="3081" max="3081" width="22.5703125" style="449" bestFit="1" customWidth="1"/>
    <col min="3082" max="3328" width="9.140625" style="449"/>
    <col min="3329" max="3329" width="7.140625" style="449" customWidth="1"/>
    <col min="3330" max="3330" width="64.5703125" style="449" customWidth="1"/>
    <col min="3331" max="3333" width="0" style="449" hidden="1" customWidth="1"/>
    <col min="3334" max="3334" width="14.7109375" style="449" customWidth="1"/>
    <col min="3335" max="3335" width="15.5703125" style="449" customWidth="1"/>
    <col min="3336" max="3336" width="18.7109375" style="449" customWidth="1"/>
    <col min="3337" max="3337" width="22.5703125" style="449" bestFit="1" customWidth="1"/>
    <col min="3338" max="3584" width="9.140625" style="449"/>
    <col min="3585" max="3585" width="7.140625" style="449" customWidth="1"/>
    <col min="3586" max="3586" width="64.5703125" style="449" customWidth="1"/>
    <col min="3587" max="3589" width="0" style="449" hidden="1" customWidth="1"/>
    <col min="3590" max="3590" width="14.7109375" style="449" customWidth="1"/>
    <col min="3591" max="3591" width="15.5703125" style="449" customWidth="1"/>
    <col min="3592" max="3592" width="18.7109375" style="449" customWidth="1"/>
    <col min="3593" max="3593" width="22.5703125" style="449" bestFit="1" customWidth="1"/>
    <col min="3594" max="3840" width="9.140625" style="449"/>
    <col min="3841" max="3841" width="7.140625" style="449" customWidth="1"/>
    <col min="3842" max="3842" width="64.5703125" style="449" customWidth="1"/>
    <col min="3843" max="3845" width="0" style="449" hidden="1" customWidth="1"/>
    <col min="3846" max="3846" width="14.7109375" style="449" customWidth="1"/>
    <col min="3847" max="3847" width="15.5703125" style="449" customWidth="1"/>
    <col min="3848" max="3848" width="18.7109375" style="449" customWidth="1"/>
    <col min="3849" max="3849" width="22.5703125" style="449" bestFit="1" customWidth="1"/>
    <col min="3850" max="4096" width="9.140625" style="449"/>
    <col min="4097" max="4097" width="7.140625" style="449" customWidth="1"/>
    <col min="4098" max="4098" width="64.5703125" style="449" customWidth="1"/>
    <col min="4099" max="4101" width="0" style="449" hidden="1" customWidth="1"/>
    <col min="4102" max="4102" width="14.7109375" style="449" customWidth="1"/>
    <col min="4103" max="4103" width="15.5703125" style="449" customWidth="1"/>
    <col min="4104" max="4104" width="18.7109375" style="449" customWidth="1"/>
    <col min="4105" max="4105" width="22.5703125" style="449" bestFit="1" customWidth="1"/>
    <col min="4106" max="4352" width="9.140625" style="449"/>
    <col min="4353" max="4353" width="7.140625" style="449" customWidth="1"/>
    <col min="4354" max="4354" width="64.5703125" style="449" customWidth="1"/>
    <col min="4355" max="4357" width="0" style="449" hidden="1" customWidth="1"/>
    <col min="4358" max="4358" width="14.7109375" style="449" customWidth="1"/>
    <col min="4359" max="4359" width="15.5703125" style="449" customWidth="1"/>
    <col min="4360" max="4360" width="18.7109375" style="449" customWidth="1"/>
    <col min="4361" max="4361" width="22.5703125" style="449" bestFit="1" customWidth="1"/>
    <col min="4362" max="4608" width="9.140625" style="449"/>
    <col min="4609" max="4609" width="7.140625" style="449" customWidth="1"/>
    <col min="4610" max="4610" width="64.5703125" style="449" customWidth="1"/>
    <col min="4611" max="4613" width="0" style="449" hidden="1" customWidth="1"/>
    <col min="4614" max="4614" width="14.7109375" style="449" customWidth="1"/>
    <col min="4615" max="4615" width="15.5703125" style="449" customWidth="1"/>
    <col min="4616" max="4616" width="18.7109375" style="449" customWidth="1"/>
    <col min="4617" max="4617" width="22.5703125" style="449" bestFit="1" customWidth="1"/>
    <col min="4618" max="4864" width="9.140625" style="449"/>
    <col min="4865" max="4865" width="7.140625" style="449" customWidth="1"/>
    <col min="4866" max="4866" width="64.5703125" style="449" customWidth="1"/>
    <col min="4867" max="4869" width="0" style="449" hidden="1" customWidth="1"/>
    <col min="4870" max="4870" width="14.7109375" style="449" customWidth="1"/>
    <col min="4871" max="4871" width="15.5703125" style="449" customWidth="1"/>
    <col min="4872" max="4872" width="18.7109375" style="449" customWidth="1"/>
    <col min="4873" max="4873" width="22.5703125" style="449" bestFit="1" customWidth="1"/>
    <col min="4874" max="5120" width="9.140625" style="449"/>
    <col min="5121" max="5121" width="7.140625" style="449" customWidth="1"/>
    <col min="5122" max="5122" width="64.5703125" style="449" customWidth="1"/>
    <col min="5123" max="5125" width="0" style="449" hidden="1" customWidth="1"/>
    <col min="5126" max="5126" width="14.7109375" style="449" customWidth="1"/>
    <col min="5127" max="5127" width="15.5703125" style="449" customWidth="1"/>
    <col min="5128" max="5128" width="18.7109375" style="449" customWidth="1"/>
    <col min="5129" max="5129" width="22.5703125" style="449" bestFit="1" customWidth="1"/>
    <col min="5130" max="5376" width="9.140625" style="449"/>
    <col min="5377" max="5377" width="7.140625" style="449" customWidth="1"/>
    <col min="5378" max="5378" width="64.5703125" style="449" customWidth="1"/>
    <col min="5379" max="5381" width="0" style="449" hidden="1" customWidth="1"/>
    <col min="5382" max="5382" width="14.7109375" style="449" customWidth="1"/>
    <col min="5383" max="5383" width="15.5703125" style="449" customWidth="1"/>
    <col min="5384" max="5384" width="18.7109375" style="449" customWidth="1"/>
    <col min="5385" max="5385" width="22.5703125" style="449" bestFit="1" customWidth="1"/>
    <col min="5386" max="5632" width="9.140625" style="449"/>
    <col min="5633" max="5633" width="7.140625" style="449" customWidth="1"/>
    <col min="5634" max="5634" width="64.5703125" style="449" customWidth="1"/>
    <col min="5635" max="5637" width="0" style="449" hidden="1" customWidth="1"/>
    <col min="5638" max="5638" width="14.7109375" style="449" customWidth="1"/>
    <col min="5639" max="5639" width="15.5703125" style="449" customWidth="1"/>
    <col min="5640" max="5640" width="18.7109375" style="449" customWidth="1"/>
    <col min="5641" max="5641" width="22.5703125" style="449" bestFit="1" customWidth="1"/>
    <col min="5642" max="5888" width="9.140625" style="449"/>
    <col min="5889" max="5889" width="7.140625" style="449" customWidth="1"/>
    <col min="5890" max="5890" width="64.5703125" style="449" customWidth="1"/>
    <col min="5891" max="5893" width="0" style="449" hidden="1" customWidth="1"/>
    <col min="5894" max="5894" width="14.7109375" style="449" customWidth="1"/>
    <col min="5895" max="5895" width="15.5703125" style="449" customWidth="1"/>
    <col min="5896" max="5896" width="18.7109375" style="449" customWidth="1"/>
    <col min="5897" max="5897" width="22.5703125" style="449" bestFit="1" customWidth="1"/>
    <col min="5898" max="6144" width="9.140625" style="449"/>
    <col min="6145" max="6145" width="7.140625" style="449" customWidth="1"/>
    <col min="6146" max="6146" width="64.5703125" style="449" customWidth="1"/>
    <col min="6147" max="6149" width="0" style="449" hidden="1" customWidth="1"/>
    <col min="6150" max="6150" width="14.7109375" style="449" customWidth="1"/>
    <col min="6151" max="6151" width="15.5703125" style="449" customWidth="1"/>
    <col min="6152" max="6152" width="18.7109375" style="449" customWidth="1"/>
    <col min="6153" max="6153" width="22.5703125" style="449" bestFit="1" customWidth="1"/>
    <col min="6154" max="6400" width="9.140625" style="449"/>
    <col min="6401" max="6401" width="7.140625" style="449" customWidth="1"/>
    <col min="6402" max="6402" width="64.5703125" style="449" customWidth="1"/>
    <col min="6403" max="6405" width="0" style="449" hidden="1" customWidth="1"/>
    <col min="6406" max="6406" width="14.7109375" style="449" customWidth="1"/>
    <col min="6407" max="6407" width="15.5703125" style="449" customWidth="1"/>
    <col min="6408" max="6408" width="18.7109375" style="449" customWidth="1"/>
    <col min="6409" max="6409" width="22.5703125" style="449" bestFit="1" customWidth="1"/>
    <col min="6410" max="6656" width="9.140625" style="449"/>
    <col min="6657" max="6657" width="7.140625" style="449" customWidth="1"/>
    <col min="6658" max="6658" width="64.5703125" style="449" customWidth="1"/>
    <col min="6659" max="6661" width="0" style="449" hidden="1" customWidth="1"/>
    <col min="6662" max="6662" width="14.7109375" style="449" customWidth="1"/>
    <col min="6663" max="6663" width="15.5703125" style="449" customWidth="1"/>
    <col min="6664" max="6664" width="18.7109375" style="449" customWidth="1"/>
    <col min="6665" max="6665" width="22.5703125" style="449" bestFit="1" customWidth="1"/>
    <col min="6666" max="6912" width="9.140625" style="449"/>
    <col min="6913" max="6913" width="7.140625" style="449" customWidth="1"/>
    <col min="6914" max="6914" width="64.5703125" style="449" customWidth="1"/>
    <col min="6915" max="6917" width="0" style="449" hidden="1" customWidth="1"/>
    <col min="6918" max="6918" width="14.7109375" style="449" customWidth="1"/>
    <col min="6919" max="6919" width="15.5703125" style="449" customWidth="1"/>
    <col min="6920" max="6920" width="18.7109375" style="449" customWidth="1"/>
    <col min="6921" max="6921" width="22.5703125" style="449" bestFit="1" customWidth="1"/>
    <col min="6922" max="7168" width="9.140625" style="449"/>
    <col min="7169" max="7169" width="7.140625" style="449" customWidth="1"/>
    <col min="7170" max="7170" width="64.5703125" style="449" customWidth="1"/>
    <col min="7171" max="7173" width="0" style="449" hidden="1" customWidth="1"/>
    <col min="7174" max="7174" width="14.7109375" style="449" customWidth="1"/>
    <col min="7175" max="7175" width="15.5703125" style="449" customWidth="1"/>
    <col min="7176" max="7176" width="18.7109375" style="449" customWidth="1"/>
    <col min="7177" max="7177" width="22.5703125" style="449" bestFit="1" customWidth="1"/>
    <col min="7178" max="7424" width="9.140625" style="449"/>
    <col min="7425" max="7425" width="7.140625" style="449" customWidth="1"/>
    <col min="7426" max="7426" width="64.5703125" style="449" customWidth="1"/>
    <col min="7427" max="7429" width="0" style="449" hidden="1" customWidth="1"/>
    <col min="7430" max="7430" width="14.7109375" style="449" customWidth="1"/>
    <col min="7431" max="7431" width="15.5703125" style="449" customWidth="1"/>
    <col min="7432" max="7432" width="18.7109375" style="449" customWidth="1"/>
    <col min="7433" max="7433" width="22.5703125" style="449" bestFit="1" customWidth="1"/>
    <col min="7434" max="7680" width="9.140625" style="449"/>
    <col min="7681" max="7681" width="7.140625" style="449" customWidth="1"/>
    <col min="7682" max="7682" width="64.5703125" style="449" customWidth="1"/>
    <col min="7683" max="7685" width="0" style="449" hidden="1" customWidth="1"/>
    <col min="7686" max="7686" width="14.7109375" style="449" customWidth="1"/>
    <col min="7687" max="7687" width="15.5703125" style="449" customWidth="1"/>
    <col min="7688" max="7688" width="18.7109375" style="449" customWidth="1"/>
    <col min="7689" max="7689" width="22.5703125" style="449" bestFit="1" customWidth="1"/>
    <col min="7690" max="7936" width="9.140625" style="449"/>
    <col min="7937" max="7937" width="7.140625" style="449" customWidth="1"/>
    <col min="7938" max="7938" width="64.5703125" style="449" customWidth="1"/>
    <col min="7939" max="7941" width="0" style="449" hidden="1" customWidth="1"/>
    <col min="7942" max="7942" width="14.7109375" style="449" customWidth="1"/>
    <col min="7943" max="7943" width="15.5703125" style="449" customWidth="1"/>
    <col min="7944" max="7944" width="18.7109375" style="449" customWidth="1"/>
    <col min="7945" max="7945" width="22.5703125" style="449" bestFit="1" customWidth="1"/>
    <col min="7946" max="8192" width="9.140625" style="449"/>
    <col min="8193" max="8193" width="7.140625" style="449" customWidth="1"/>
    <col min="8194" max="8194" width="64.5703125" style="449" customWidth="1"/>
    <col min="8195" max="8197" width="0" style="449" hidden="1" customWidth="1"/>
    <col min="8198" max="8198" width="14.7109375" style="449" customWidth="1"/>
    <col min="8199" max="8199" width="15.5703125" style="449" customWidth="1"/>
    <col min="8200" max="8200" width="18.7109375" style="449" customWidth="1"/>
    <col min="8201" max="8201" width="22.5703125" style="449" bestFit="1" customWidth="1"/>
    <col min="8202" max="8448" width="9.140625" style="449"/>
    <col min="8449" max="8449" width="7.140625" style="449" customWidth="1"/>
    <col min="8450" max="8450" width="64.5703125" style="449" customWidth="1"/>
    <col min="8451" max="8453" width="0" style="449" hidden="1" customWidth="1"/>
    <col min="8454" max="8454" width="14.7109375" style="449" customWidth="1"/>
    <col min="8455" max="8455" width="15.5703125" style="449" customWidth="1"/>
    <col min="8456" max="8456" width="18.7109375" style="449" customWidth="1"/>
    <col min="8457" max="8457" width="22.5703125" style="449" bestFit="1" customWidth="1"/>
    <col min="8458" max="8704" width="9.140625" style="449"/>
    <col min="8705" max="8705" width="7.140625" style="449" customWidth="1"/>
    <col min="8706" max="8706" width="64.5703125" style="449" customWidth="1"/>
    <col min="8707" max="8709" width="0" style="449" hidden="1" customWidth="1"/>
    <col min="8710" max="8710" width="14.7109375" style="449" customWidth="1"/>
    <col min="8711" max="8711" width="15.5703125" style="449" customWidth="1"/>
    <col min="8712" max="8712" width="18.7109375" style="449" customWidth="1"/>
    <col min="8713" max="8713" width="22.5703125" style="449" bestFit="1" customWidth="1"/>
    <col min="8714" max="8960" width="9.140625" style="449"/>
    <col min="8961" max="8961" width="7.140625" style="449" customWidth="1"/>
    <col min="8962" max="8962" width="64.5703125" style="449" customWidth="1"/>
    <col min="8963" max="8965" width="0" style="449" hidden="1" customWidth="1"/>
    <col min="8966" max="8966" width="14.7109375" style="449" customWidth="1"/>
    <col min="8967" max="8967" width="15.5703125" style="449" customWidth="1"/>
    <col min="8968" max="8968" width="18.7109375" style="449" customWidth="1"/>
    <col min="8969" max="8969" width="22.5703125" style="449" bestFit="1" customWidth="1"/>
    <col min="8970" max="9216" width="9.140625" style="449"/>
    <col min="9217" max="9217" width="7.140625" style="449" customWidth="1"/>
    <col min="9218" max="9218" width="64.5703125" style="449" customWidth="1"/>
    <col min="9219" max="9221" width="0" style="449" hidden="1" customWidth="1"/>
    <col min="9222" max="9222" width="14.7109375" style="449" customWidth="1"/>
    <col min="9223" max="9223" width="15.5703125" style="449" customWidth="1"/>
    <col min="9224" max="9224" width="18.7109375" style="449" customWidth="1"/>
    <col min="9225" max="9225" width="22.5703125" style="449" bestFit="1" customWidth="1"/>
    <col min="9226" max="9472" width="9.140625" style="449"/>
    <col min="9473" max="9473" width="7.140625" style="449" customWidth="1"/>
    <col min="9474" max="9474" width="64.5703125" style="449" customWidth="1"/>
    <col min="9475" max="9477" width="0" style="449" hidden="1" customWidth="1"/>
    <col min="9478" max="9478" width="14.7109375" style="449" customWidth="1"/>
    <col min="9479" max="9479" width="15.5703125" style="449" customWidth="1"/>
    <col min="9480" max="9480" width="18.7109375" style="449" customWidth="1"/>
    <col min="9481" max="9481" width="22.5703125" style="449" bestFit="1" customWidth="1"/>
    <col min="9482" max="9728" width="9.140625" style="449"/>
    <col min="9729" max="9729" width="7.140625" style="449" customWidth="1"/>
    <col min="9730" max="9730" width="64.5703125" style="449" customWidth="1"/>
    <col min="9731" max="9733" width="0" style="449" hidden="1" customWidth="1"/>
    <col min="9734" max="9734" width="14.7109375" style="449" customWidth="1"/>
    <col min="9735" max="9735" width="15.5703125" style="449" customWidth="1"/>
    <col min="9736" max="9736" width="18.7109375" style="449" customWidth="1"/>
    <col min="9737" max="9737" width="22.5703125" style="449" bestFit="1" customWidth="1"/>
    <col min="9738" max="9984" width="9.140625" style="449"/>
    <col min="9985" max="9985" width="7.140625" style="449" customWidth="1"/>
    <col min="9986" max="9986" width="64.5703125" style="449" customWidth="1"/>
    <col min="9987" max="9989" width="0" style="449" hidden="1" customWidth="1"/>
    <col min="9990" max="9990" width="14.7109375" style="449" customWidth="1"/>
    <col min="9991" max="9991" width="15.5703125" style="449" customWidth="1"/>
    <col min="9992" max="9992" width="18.7109375" style="449" customWidth="1"/>
    <col min="9993" max="9993" width="22.5703125" style="449" bestFit="1" customWidth="1"/>
    <col min="9994" max="10240" width="9.140625" style="449"/>
    <col min="10241" max="10241" width="7.140625" style="449" customWidth="1"/>
    <col min="10242" max="10242" width="64.5703125" style="449" customWidth="1"/>
    <col min="10243" max="10245" width="0" style="449" hidden="1" customWidth="1"/>
    <col min="10246" max="10246" width="14.7109375" style="449" customWidth="1"/>
    <col min="10247" max="10247" width="15.5703125" style="449" customWidth="1"/>
    <col min="10248" max="10248" width="18.7109375" style="449" customWidth="1"/>
    <col min="10249" max="10249" width="22.5703125" style="449" bestFit="1" customWidth="1"/>
    <col min="10250" max="10496" width="9.140625" style="449"/>
    <col min="10497" max="10497" width="7.140625" style="449" customWidth="1"/>
    <col min="10498" max="10498" width="64.5703125" style="449" customWidth="1"/>
    <col min="10499" max="10501" width="0" style="449" hidden="1" customWidth="1"/>
    <col min="10502" max="10502" width="14.7109375" style="449" customWidth="1"/>
    <col min="10503" max="10503" width="15.5703125" style="449" customWidth="1"/>
    <col min="10504" max="10504" width="18.7109375" style="449" customWidth="1"/>
    <col min="10505" max="10505" width="22.5703125" style="449" bestFit="1" customWidth="1"/>
    <col min="10506" max="10752" width="9.140625" style="449"/>
    <col min="10753" max="10753" width="7.140625" style="449" customWidth="1"/>
    <col min="10754" max="10754" width="64.5703125" style="449" customWidth="1"/>
    <col min="10755" max="10757" width="0" style="449" hidden="1" customWidth="1"/>
    <col min="10758" max="10758" width="14.7109375" style="449" customWidth="1"/>
    <col min="10759" max="10759" width="15.5703125" style="449" customWidth="1"/>
    <col min="10760" max="10760" width="18.7109375" style="449" customWidth="1"/>
    <col min="10761" max="10761" width="22.5703125" style="449" bestFit="1" customWidth="1"/>
    <col min="10762" max="11008" width="9.140625" style="449"/>
    <col min="11009" max="11009" width="7.140625" style="449" customWidth="1"/>
    <col min="11010" max="11010" width="64.5703125" style="449" customWidth="1"/>
    <col min="11011" max="11013" width="0" style="449" hidden="1" customWidth="1"/>
    <col min="11014" max="11014" width="14.7109375" style="449" customWidth="1"/>
    <col min="11015" max="11015" width="15.5703125" style="449" customWidth="1"/>
    <col min="11016" max="11016" width="18.7109375" style="449" customWidth="1"/>
    <col min="11017" max="11017" width="22.5703125" style="449" bestFit="1" customWidth="1"/>
    <col min="11018" max="11264" width="9.140625" style="449"/>
    <col min="11265" max="11265" width="7.140625" style="449" customWidth="1"/>
    <col min="11266" max="11266" width="64.5703125" style="449" customWidth="1"/>
    <col min="11267" max="11269" width="0" style="449" hidden="1" customWidth="1"/>
    <col min="11270" max="11270" width="14.7109375" style="449" customWidth="1"/>
    <col min="11271" max="11271" width="15.5703125" style="449" customWidth="1"/>
    <col min="11272" max="11272" width="18.7109375" style="449" customWidth="1"/>
    <col min="11273" max="11273" width="22.5703125" style="449" bestFit="1" customWidth="1"/>
    <col min="11274" max="11520" width="9.140625" style="449"/>
    <col min="11521" max="11521" width="7.140625" style="449" customWidth="1"/>
    <col min="11522" max="11522" width="64.5703125" style="449" customWidth="1"/>
    <col min="11523" max="11525" width="0" style="449" hidden="1" customWidth="1"/>
    <col min="11526" max="11526" width="14.7109375" style="449" customWidth="1"/>
    <col min="11527" max="11527" width="15.5703125" style="449" customWidth="1"/>
    <col min="11528" max="11528" width="18.7109375" style="449" customWidth="1"/>
    <col min="11529" max="11529" width="22.5703125" style="449" bestFit="1" customWidth="1"/>
    <col min="11530" max="11776" width="9.140625" style="449"/>
    <col min="11777" max="11777" width="7.140625" style="449" customWidth="1"/>
    <col min="11778" max="11778" width="64.5703125" style="449" customWidth="1"/>
    <col min="11779" max="11781" width="0" style="449" hidden="1" customWidth="1"/>
    <col min="11782" max="11782" width="14.7109375" style="449" customWidth="1"/>
    <col min="11783" max="11783" width="15.5703125" style="449" customWidth="1"/>
    <col min="11784" max="11784" width="18.7109375" style="449" customWidth="1"/>
    <col min="11785" max="11785" width="22.5703125" style="449" bestFit="1" customWidth="1"/>
    <col min="11786" max="12032" width="9.140625" style="449"/>
    <col min="12033" max="12033" width="7.140625" style="449" customWidth="1"/>
    <col min="12034" max="12034" width="64.5703125" style="449" customWidth="1"/>
    <col min="12035" max="12037" width="0" style="449" hidden="1" customWidth="1"/>
    <col min="12038" max="12038" width="14.7109375" style="449" customWidth="1"/>
    <col min="12039" max="12039" width="15.5703125" style="449" customWidth="1"/>
    <col min="12040" max="12040" width="18.7109375" style="449" customWidth="1"/>
    <col min="12041" max="12041" width="22.5703125" style="449" bestFit="1" customWidth="1"/>
    <col min="12042" max="12288" width="9.140625" style="449"/>
    <col min="12289" max="12289" width="7.140625" style="449" customWidth="1"/>
    <col min="12290" max="12290" width="64.5703125" style="449" customWidth="1"/>
    <col min="12291" max="12293" width="0" style="449" hidden="1" customWidth="1"/>
    <col min="12294" max="12294" width="14.7109375" style="449" customWidth="1"/>
    <col min="12295" max="12295" width="15.5703125" style="449" customWidth="1"/>
    <col min="12296" max="12296" width="18.7109375" style="449" customWidth="1"/>
    <col min="12297" max="12297" width="22.5703125" style="449" bestFit="1" customWidth="1"/>
    <col min="12298" max="12544" width="9.140625" style="449"/>
    <col min="12545" max="12545" width="7.140625" style="449" customWidth="1"/>
    <col min="12546" max="12546" width="64.5703125" style="449" customWidth="1"/>
    <col min="12547" max="12549" width="0" style="449" hidden="1" customWidth="1"/>
    <col min="12550" max="12550" width="14.7109375" style="449" customWidth="1"/>
    <col min="12551" max="12551" width="15.5703125" style="449" customWidth="1"/>
    <col min="12552" max="12552" width="18.7109375" style="449" customWidth="1"/>
    <col min="12553" max="12553" width="22.5703125" style="449" bestFit="1" customWidth="1"/>
    <col min="12554" max="12800" width="9.140625" style="449"/>
    <col min="12801" max="12801" width="7.140625" style="449" customWidth="1"/>
    <col min="12802" max="12802" width="64.5703125" style="449" customWidth="1"/>
    <col min="12803" max="12805" width="0" style="449" hidden="1" customWidth="1"/>
    <col min="12806" max="12806" width="14.7109375" style="449" customWidth="1"/>
    <col min="12807" max="12807" width="15.5703125" style="449" customWidth="1"/>
    <col min="12808" max="12808" width="18.7109375" style="449" customWidth="1"/>
    <col min="12809" max="12809" width="22.5703125" style="449" bestFit="1" customWidth="1"/>
    <col min="12810" max="13056" width="9.140625" style="449"/>
    <col min="13057" max="13057" width="7.140625" style="449" customWidth="1"/>
    <col min="13058" max="13058" width="64.5703125" style="449" customWidth="1"/>
    <col min="13059" max="13061" width="0" style="449" hidden="1" customWidth="1"/>
    <col min="13062" max="13062" width="14.7109375" style="449" customWidth="1"/>
    <col min="13063" max="13063" width="15.5703125" style="449" customWidth="1"/>
    <col min="13064" max="13064" width="18.7109375" style="449" customWidth="1"/>
    <col min="13065" max="13065" width="22.5703125" style="449" bestFit="1" customWidth="1"/>
    <col min="13066" max="13312" width="9.140625" style="449"/>
    <col min="13313" max="13313" width="7.140625" style="449" customWidth="1"/>
    <col min="13314" max="13314" width="64.5703125" style="449" customWidth="1"/>
    <col min="13315" max="13317" width="0" style="449" hidden="1" customWidth="1"/>
    <col min="13318" max="13318" width="14.7109375" style="449" customWidth="1"/>
    <col min="13319" max="13319" width="15.5703125" style="449" customWidth="1"/>
    <col min="13320" max="13320" width="18.7109375" style="449" customWidth="1"/>
    <col min="13321" max="13321" width="22.5703125" style="449" bestFit="1" customWidth="1"/>
    <col min="13322" max="13568" width="9.140625" style="449"/>
    <col min="13569" max="13569" width="7.140625" style="449" customWidth="1"/>
    <col min="13570" max="13570" width="64.5703125" style="449" customWidth="1"/>
    <col min="13571" max="13573" width="0" style="449" hidden="1" customWidth="1"/>
    <col min="13574" max="13574" width="14.7109375" style="449" customWidth="1"/>
    <col min="13575" max="13575" width="15.5703125" style="449" customWidth="1"/>
    <col min="13576" max="13576" width="18.7109375" style="449" customWidth="1"/>
    <col min="13577" max="13577" width="22.5703125" style="449" bestFit="1" customWidth="1"/>
    <col min="13578" max="13824" width="9.140625" style="449"/>
    <col min="13825" max="13825" width="7.140625" style="449" customWidth="1"/>
    <col min="13826" max="13826" width="64.5703125" style="449" customWidth="1"/>
    <col min="13827" max="13829" width="0" style="449" hidden="1" customWidth="1"/>
    <col min="13830" max="13830" width="14.7109375" style="449" customWidth="1"/>
    <col min="13831" max="13831" width="15.5703125" style="449" customWidth="1"/>
    <col min="13832" max="13832" width="18.7109375" style="449" customWidth="1"/>
    <col min="13833" max="13833" width="22.5703125" style="449" bestFit="1" customWidth="1"/>
    <col min="13834" max="14080" width="9.140625" style="449"/>
    <col min="14081" max="14081" width="7.140625" style="449" customWidth="1"/>
    <col min="14082" max="14082" width="64.5703125" style="449" customWidth="1"/>
    <col min="14083" max="14085" width="0" style="449" hidden="1" customWidth="1"/>
    <col min="14086" max="14086" width="14.7109375" style="449" customWidth="1"/>
    <col min="14087" max="14087" width="15.5703125" style="449" customWidth="1"/>
    <col min="14088" max="14088" width="18.7109375" style="449" customWidth="1"/>
    <col min="14089" max="14089" width="22.5703125" style="449" bestFit="1" customWidth="1"/>
    <col min="14090" max="14336" width="9.140625" style="449"/>
    <col min="14337" max="14337" width="7.140625" style="449" customWidth="1"/>
    <col min="14338" max="14338" width="64.5703125" style="449" customWidth="1"/>
    <col min="14339" max="14341" width="0" style="449" hidden="1" customWidth="1"/>
    <col min="14342" max="14342" width="14.7109375" style="449" customWidth="1"/>
    <col min="14343" max="14343" width="15.5703125" style="449" customWidth="1"/>
    <col min="14344" max="14344" width="18.7109375" style="449" customWidth="1"/>
    <col min="14345" max="14345" width="22.5703125" style="449" bestFit="1" customWidth="1"/>
    <col min="14346" max="14592" width="9.140625" style="449"/>
    <col min="14593" max="14593" width="7.140625" style="449" customWidth="1"/>
    <col min="14594" max="14594" width="64.5703125" style="449" customWidth="1"/>
    <col min="14595" max="14597" width="0" style="449" hidden="1" customWidth="1"/>
    <col min="14598" max="14598" width="14.7109375" style="449" customWidth="1"/>
    <col min="14599" max="14599" width="15.5703125" style="449" customWidth="1"/>
    <col min="14600" max="14600" width="18.7109375" style="449" customWidth="1"/>
    <col min="14601" max="14601" width="22.5703125" style="449" bestFit="1" customWidth="1"/>
    <col min="14602" max="14848" width="9.140625" style="449"/>
    <col min="14849" max="14849" width="7.140625" style="449" customWidth="1"/>
    <col min="14850" max="14850" width="64.5703125" style="449" customWidth="1"/>
    <col min="14851" max="14853" width="0" style="449" hidden="1" customWidth="1"/>
    <col min="14854" max="14854" width="14.7109375" style="449" customWidth="1"/>
    <col min="14855" max="14855" width="15.5703125" style="449" customWidth="1"/>
    <col min="14856" max="14856" width="18.7109375" style="449" customWidth="1"/>
    <col min="14857" max="14857" width="22.5703125" style="449" bestFit="1" customWidth="1"/>
    <col min="14858" max="15104" width="9.140625" style="449"/>
    <col min="15105" max="15105" width="7.140625" style="449" customWidth="1"/>
    <col min="15106" max="15106" width="64.5703125" style="449" customWidth="1"/>
    <col min="15107" max="15109" width="0" style="449" hidden="1" customWidth="1"/>
    <col min="15110" max="15110" width="14.7109375" style="449" customWidth="1"/>
    <col min="15111" max="15111" width="15.5703125" style="449" customWidth="1"/>
    <col min="15112" max="15112" width="18.7109375" style="449" customWidth="1"/>
    <col min="15113" max="15113" width="22.5703125" style="449" bestFit="1" customWidth="1"/>
    <col min="15114" max="15360" width="9.140625" style="449"/>
    <col min="15361" max="15361" width="7.140625" style="449" customWidth="1"/>
    <col min="15362" max="15362" width="64.5703125" style="449" customWidth="1"/>
    <col min="15363" max="15365" width="0" style="449" hidden="1" customWidth="1"/>
    <col min="15366" max="15366" width="14.7109375" style="449" customWidth="1"/>
    <col min="15367" max="15367" width="15.5703125" style="449" customWidth="1"/>
    <col min="15368" max="15368" width="18.7109375" style="449" customWidth="1"/>
    <col min="15369" max="15369" width="22.5703125" style="449" bestFit="1" customWidth="1"/>
    <col min="15370" max="15616" width="9.140625" style="449"/>
    <col min="15617" max="15617" width="7.140625" style="449" customWidth="1"/>
    <col min="15618" max="15618" width="64.5703125" style="449" customWidth="1"/>
    <col min="15619" max="15621" width="0" style="449" hidden="1" customWidth="1"/>
    <col min="15622" max="15622" width="14.7109375" style="449" customWidth="1"/>
    <col min="15623" max="15623" width="15.5703125" style="449" customWidth="1"/>
    <col min="15624" max="15624" width="18.7109375" style="449" customWidth="1"/>
    <col min="15625" max="15625" width="22.5703125" style="449" bestFit="1" customWidth="1"/>
    <col min="15626" max="15872" width="9.140625" style="449"/>
    <col min="15873" max="15873" width="7.140625" style="449" customWidth="1"/>
    <col min="15874" max="15874" width="64.5703125" style="449" customWidth="1"/>
    <col min="15875" max="15877" width="0" style="449" hidden="1" customWidth="1"/>
    <col min="15878" max="15878" width="14.7109375" style="449" customWidth="1"/>
    <col min="15879" max="15879" width="15.5703125" style="449" customWidth="1"/>
    <col min="15880" max="15880" width="18.7109375" style="449" customWidth="1"/>
    <col min="15881" max="15881" width="22.5703125" style="449" bestFit="1" customWidth="1"/>
    <col min="15882" max="16128" width="9.140625" style="449"/>
    <col min="16129" max="16129" width="7.140625" style="449" customWidth="1"/>
    <col min="16130" max="16130" width="64.5703125" style="449" customWidth="1"/>
    <col min="16131" max="16133" width="0" style="449" hidden="1" customWidth="1"/>
    <col min="16134" max="16134" width="14.7109375" style="449" customWidth="1"/>
    <col min="16135" max="16135" width="15.5703125" style="449" customWidth="1"/>
    <col min="16136" max="16136" width="18.7109375" style="449" customWidth="1"/>
    <col min="16137" max="16137" width="22.5703125" style="449" bestFit="1" customWidth="1"/>
    <col min="16138" max="16384" width="9.140625" style="449"/>
  </cols>
  <sheetData>
    <row r="1" spans="1:9" ht="15.75" x14ac:dyDescent="0.25">
      <c r="B1" s="450"/>
      <c r="C1" s="450"/>
      <c r="D1" s="450"/>
      <c r="E1" s="450"/>
      <c r="F1" s="450"/>
      <c r="G1" s="450"/>
      <c r="H1" s="450"/>
      <c r="I1" s="451" t="s">
        <v>1218</v>
      </c>
    </row>
    <row r="2" spans="1:9" ht="15.75" x14ac:dyDescent="0.25">
      <c r="B2" s="450"/>
      <c r="C2" s="450"/>
      <c r="D2" s="450"/>
      <c r="E2" s="450"/>
      <c r="F2" s="450"/>
      <c r="G2" s="450"/>
      <c r="H2" s="450"/>
      <c r="I2" s="451" t="s">
        <v>835</v>
      </c>
    </row>
    <row r="3" spans="1:9" ht="15.75" x14ac:dyDescent="0.25">
      <c r="A3" s="451"/>
      <c r="B3" s="451"/>
      <c r="C3" s="451"/>
      <c r="D3" s="451"/>
      <c r="E3" s="451"/>
      <c r="F3" s="451"/>
      <c r="G3" s="451"/>
      <c r="I3" s="451" t="s">
        <v>836</v>
      </c>
    </row>
    <row r="4" spans="1:9" ht="15.75" x14ac:dyDescent="0.25">
      <c r="A4" s="450"/>
      <c r="B4" s="450"/>
      <c r="C4" s="450"/>
      <c r="D4" s="450"/>
      <c r="E4" s="450"/>
      <c r="F4" s="450"/>
      <c r="G4" s="450"/>
      <c r="H4" s="710" t="s">
        <v>1230</v>
      </c>
      <c r="I4" s="710"/>
    </row>
    <row r="5" spans="1:9" ht="15.75" x14ac:dyDescent="0.25">
      <c r="A5" s="451"/>
    </row>
    <row r="6" spans="1:9" ht="37.5" customHeight="1" x14ac:dyDescent="0.2">
      <c r="A6" s="711" t="s">
        <v>1231</v>
      </c>
      <c r="B6" s="711"/>
      <c r="C6" s="711"/>
      <c r="D6" s="711"/>
      <c r="E6" s="711"/>
      <c r="F6" s="711"/>
      <c r="G6" s="711"/>
      <c r="H6" s="711"/>
      <c r="I6" s="711"/>
    </row>
    <row r="7" spans="1:9" ht="26.25" customHeight="1" x14ac:dyDescent="0.2">
      <c r="A7" s="452"/>
      <c r="B7" s="452"/>
      <c r="C7" s="453"/>
      <c r="D7" s="453"/>
      <c r="E7" s="453"/>
      <c r="F7" s="453"/>
      <c r="G7" s="453"/>
      <c r="H7" s="453"/>
      <c r="I7" s="454" t="s">
        <v>891</v>
      </c>
    </row>
    <row r="8" spans="1:9" ht="48" customHeight="1" x14ac:dyDescent="0.2">
      <c r="A8" s="712" t="s">
        <v>681</v>
      </c>
      <c r="B8" s="712" t="s">
        <v>1219</v>
      </c>
      <c r="C8" s="715" t="s">
        <v>1220</v>
      </c>
      <c r="D8" s="715"/>
      <c r="E8" s="715"/>
      <c r="F8" s="716" t="s">
        <v>1221</v>
      </c>
      <c r="G8" s="717"/>
      <c r="H8" s="715" t="s">
        <v>1222</v>
      </c>
      <c r="I8" s="715"/>
    </row>
    <row r="9" spans="1:9" ht="18.75" customHeight="1" x14ac:dyDescent="0.2">
      <c r="A9" s="713"/>
      <c r="B9" s="713"/>
      <c r="C9" s="455">
        <v>2015</v>
      </c>
      <c r="D9" s="455">
        <v>2016</v>
      </c>
      <c r="E9" s="455">
        <v>2017</v>
      </c>
      <c r="F9" s="718" t="s">
        <v>3</v>
      </c>
      <c r="G9" s="719"/>
      <c r="H9" s="712" t="s">
        <v>1223</v>
      </c>
      <c r="I9" s="715" t="s">
        <v>1224</v>
      </c>
    </row>
    <row r="10" spans="1:9" ht="55.5" customHeight="1" x14ac:dyDescent="0.2">
      <c r="A10" s="714"/>
      <c r="B10" s="714"/>
      <c r="C10" s="455">
        <v>3</v>
      </c>
      <c r="D10" s="455">
        <v>4</v>
      </c>
      <c r="E10" s="455">
        <v>5</v>
      </c>
      <c r="F10" s="455" t="s">
        <v>1225</v>
      </c>
      <c r="G10" s="455" t="s">
        <v>1226</v>
      </c>
      <c r="H10" s="714"/>
      <c r="I10" s="715"/>
    </row>
    <row r="11" spans="1:9" ht="60.75" customHeight="1" x14ac:dyDescent="0.2">
      <c r="A11" s="456">
        <v>1</v>
      </c>
      <c r="B11" s="457" t="s">
        <v>497</v>
      </c>
      <c r="C11" s="458">
        <v>34989.599999999999</v>
      </c>
      <c r="D11" s="458">
        <v>33992.699999999997</v>
      </c>
      <c r="E11" s="458">
        <v>34015.5</v>
      </c>
      <c r="F11" s="459">
        <f>'2.Расходы по вед'!G13+'2.Расходы по вед'!G26+'2.Расходы по вед'!G73+'2.Расходы по вед'!G85+'2.Расходы по вед'!G138+'2.Расходы по вед'!G478+'2.Расходы по вед'!G608+'2.Расходы по вед'!G789+'2.Расходы по вед'!G856</f>
        <v>80031.799999999974</v>
      </c>
      <c r="G11" s="459">
        <f>'2.Расходы по вед'!H13+'2.Расходы по вед'!H26+'2.Расходы по вед'!H73+'2.Расходы по вед'!H85+'2.Расходы по вед'!H138+'2.Расходы по вед'!H478+'2.Расходы по вед'!H608+'2.Расходы по вед'!H789+'2.Расходы по вед'!H856</f>
        <v>79936.075959999987</v>
      </c>
      <c r="H11" s="464">
        <f>G11/F11*100</f>
        <v>99.880392493983663</v>
      </c>
      <c r="I11" s="460" t="s">
        <v>1227</v>
      </c>
    </row>
    <row r="12" spans="1:9" ht="60" customHeight="1" x14ac:dyDescent="0.2">
      <c r="A12" s="461">
        <v>2</v>
      </c>
      <c r="B12" s="462" t="s">
        <v>56</v>
      </c>
      <c r="C12" s="463">
        <v>82483.100000000006</v>
      </c>
      <c r="D12" s="458">
        <v>82232.700000000012</v>
      </c>
      <c r="E12" s="458">
        <v>77044.799999999988</v>
      </c>
      <c r="F12" s="459">
        <f>'2.Расходы по вед'!G447+'2.Расходы по вед'!G522+'2.Расходы по вед'!G542+'2.Расходы по вед'!G593+'2.Расходы по вед'!G615+'2.Расходы по вед'!G661+'2.Расходы по вед'!G688+'2.Расходы по вед'!G747+'2.Расходы по вед'!G814</f>
        <v>605927.79977000016</v>
      </c>
      <c r="G12" s="459">
        <f>'2.Расходы по вед'!H447+'2.Расходы по вед'!H522+'2.Расходы по вед'!H542+'2.Расходы по вед'!H593+'2.Расходы по вед'!H615+'2.Расходы по вед'!H661+'2.Расходы по вед'!H688+'2.Расходы по вед'!H747+'2.Расходы по вед'!H814</f>
        <v>591206.50540000002</v>
      </c>
      <c r="H12" s="464">
        <f>G12/F12*100</f>
        <v>97.570454041622099</v>
      </c>
      <c r="I12" s="460" t="s">
        <v>1227</v>
      </c>
    </row>
    <row r="13" spans="1:9" ht="60" customHeight="1" x14ac:dyDescent="0.2">
      <c r="A13" s="461">
        <v>3</v>
      </c>
      <c r="B13" s="462" t="s">
        <v>157</v>
      </c>
      <c r="C13" s="458">
        <v>543.5</v>
      </c>
      <c r="D13" s="458">
        <v>628</v>
      </c>
      <c r="E13" s="458">
        <v>628</v>
      </c>
      <c r="F13" s="459">
        <f>'2.Расходы по вед'!G106+'2.Расходы по вед'!G514+'2.Расходы по вед'!G713</f>
        <v>405.5</v>
      </c>
      <c r="G13" s="459">
        <f>'2.Расходы по вед'!H106+'2.Расходы по вед'!H514+'2.Расходы по вед'!H713</f>
        <v>405.5</v>
      </c>
      <c r="H13" s="460">
        <v>100</v>
      </c>
      <c r="I13" s="460" t="s">
        <v>1227</v>
      </c>
    </row>
    <row r="14" spans="1:9" ht="57.75" customHeight="1" x14ac:dyDescent="0.2">
      <c r="A14" s="461">
        <v>4</v>
      </c>
      <c r="B14" s="462" t="s">
        <v>178</v>
      </c>
      <c r="C14" s="458"/>
      <c r="D14" s="458"/>
      <c r="E14" s="458"/>
      <c r="F14" s="459">
        <f>'2.Расходы по вед'!G55+'2.Расходы по вед'!G492+'2.Расходы по вед'!G506</f>
        <v>10429.2654</v>
      </c>
      <c r="G14" s="459">
        <f>'2.Расходы по вед'!H55+'2.Расходы по вед'!H492+'2.Расходы по вед'!H506</f>
        <v>10413.907940000001</v>
      </c>
      <c r="H14" s="464">
        <f>G14/F14*100</f>
        <v>99.852746483947001</v>
      </c>
      <c r="I14" s="460" t="s">
        <v>1227</v>
      </c>
    </row>
    <row r="15" spans="1:9" ht="66" customHeight="1" x14ac:dyDescent="0.2">
      <c r="A15" s="461">
        <v>5</v>
      </c>
      <c r="B15" s="462" t="s">
        <v>194</v>
      </c>
      <c r="C15" s="458">
        <v>1100</v>
      </c>
      <c r="D15" s="458">
        <v>400</v>
      </c>
      <c r="E15" s="458">
        <v>400</v>
      </c>
      <c r="F15" s="459">
        <f>'2.Расходы по вед'!G111+'2.Расходы по вед'!G289+'2.Расходы по вед'!G321+'2.Расходы по вед'!G485</f>
        <v>4781.1062499999998</v>
      </c>
      <c r="G15" s="459">
        <f>'2.Расходы по вед'!H111+'2.Расходы по вед'!H289+'2.Расходы по вед'!H321+'2.Расходы по вед'!H485</f>
        <v>4618.3203299999996</v>
      </c>
      <c r="H15" s="464">
        <f>G15/F15*100</f>
        <v>96.595224797608296</v>
      </c>
      <c r="I15" s="460" t="s">
        <v>1227</v>
      </c>
    </row>
    <row r="16" spans="1:9" ht="66" customHeight="1" x14ac:dyDescent="0.2">
      <c r="A16" s="461">
        <v>6</v>
      </c>
      <c r="B16" s="462" t="s">
        <v>204</v>
      </c>
      <c r="C16" s="458">
        <v>26086.5</v>
      </c>
      <c r="D16" s="458">
        <v>27033.1</v>
      </c>
      <c r="E16" s="458">
        <v>29069.9</v>
      </c>
      <c r="F16" s="459">
        <f>'2.Расходы по вед'!G461+'2.Расходы по вед'!G729+'2.Расходы по вед'!G736+'2.Расходы по вед'!G759+'2.Расходы по вед'!G795+'2.Расходы по вед'!G834</f>
        <v>119579.75799999999</v>
      </c>
      <c r="G16" s="459">
        <f>'2.Расходы по вед'!H461+'2.Расходы по вед'!H729+'2.Расходы по вед'!H736+'2.Расходы по вед'!H759+'2.Расходы по вед'!H795+'2.Расходы по вед'!H834</f>
        <v>98367.57819</v>
      </c>
      <c r="H16" s="464">
        <f>G16/F16*100</f>
        <v>82.261061433156613</v>
      </c>
      <c r="I16" s="460" t="s">
        <v>1227</v>
      </c>
    </row>
    <row r="17" spans="1:9" ht="60.75" customHeight="1" x14ac:dyDescent="0.2">
      <c r="A17" s="461">
        <v>7</v>
      </c>
      <c r="B17" s="462" t="s">
        <v>249</v>
      </c>
      <c r="C17" s="458">
        <v>8853.4</v>
      </c>
      <c r="D17" s="458">
        <v>9248</v>
      </c>
      <c r="E17" s="458">
        <v>9914.6</v>
      </c>
      <c r="F17" s="459">
        <f>'2.Расходы по вед'!G696+'2.Расходы по вед'!G827</f>
        <v>5969.2541000000001</v>
      </c>
      <c r="G17" s="459">
        <f>'2.Расходы по вед'!H696+'2.Расходы по вед'!H827</f>
        <v>1969.2535499999999</v>
      </c>
      <c r="H17" s="464">
        <f>G17/F17*100</f>
        <v>32.989943416883527</v>
      </c>
      <c r="I17" s="460" t="s">
        <v>1538</v>
      </c>
    </row>
    <row r="18" spans="1:9" ht="80.25" customHeight="1" x14ac:dyDescent="0.2">
      <c r="A18" s="461">
        <v>8</v>
      </c>
      <c r="B18" s="462" t="s">
        <v>259</v>
      </c>
      <c r="C18" s="458">
        <v>2632.2</v>
      </c>
      <c r="D18" s="458">
        <v>2626.2</v>
      </c>
      <c r="E18" s="458">
        <v>2641.2</v>
      </c>
      <c r="F18" s="459">
        <v>905.59999999999991</v>
      </c>
      <c r="G18" s="459">
        <v>894.58199999999999</v>
      </c>
      <c r="H18" s="464">
        <f>G18/F18*100</f>
        <v>98.783348056537108</v>
      </c>
      <c r="I18" s="460" t="s">
        <v>1227</v>
      </c>
    </row>
    <row r="19" spans="1:9" ht="62.25" customHeight="1" x14ac:dyDescent="0.2">
      <c r="A19" s="456">
        <v>9</v>
      </c>
      <c r="B19" s="462" t="s">
        <v>1228</v>
      </c>
      <c r="C19" s="458">
        <v>1500</v>
      </c>
      <c r="D19" s="458">
        <v>1500</v>
      </c>
      <c r="E19" s="458">
        <v>1500</v>
      </c>
      <c r="F19" s="459">
        <v>247.1</v>
      </c>
      <c r="G19" s="459">
        <v>247.1</v>
      </c>
      <c r="H19" s="460">
        <v>100</v>
      </c>
      <c r="I19" s="460" t="s">
        <v>1538</v>
      </c>
    </row>
    <row r="20" spans="1:9" ht="56.25" customHeight="1" x14ac:dyDescent="0.2">
      <c r="A20" s="456">
        <v>10</v>
      </c>
      <c r="B20" s="462" t="s">
        <v>282</v>
      </c>
      <c r="C20" s="458">
        <v>4500</v>
      </c>
      <c r="D20" s="458">
        <v>4500</v>
      </c>
      <c r="E20" s="458">
        <v>0</v>
      </c>
      <c r="F20" s="459">
        <f>'2.Расходы по вед'!G217+'2.Расходы по вед'!G331+'2.Расходы по вед'!G368+'2.Расходы по вед'!G439</f>
        <v>52292.741629999997</v>
      </c>
      <c r="G20" s="459">
        <f>'2.Расходы по вед'!H217+'2.Расходы по вед'!H331+'2.Расходы по вед'!H368+'2.Расходы по вед'!H439</f>
        <v>47421.106789999998</v>
      </c>
      <c r="H20" s="464">
        <f>G20/F20*100</f>
        <v>90.683917713724966</v>
      </c>
      <c r="I20" s="455" t="s">
        <v>1227</v>
      </c>
    </row>
    <row r="21" spans="1:9" ht="64.5" customHeight="1" x14ac:dyDescent="0.2">
      <c r="A21" s="455">
        <v>11</v>
      </c>
      <c r="B21" s="462" t="s">
        <v>321</v>
      </c>
      <c r="C21" s="458">
        <v>2008.6</v>
      </c>
      <c r="D21" s="458">
        <v>1433.5</v>
      </c>
      <c r="E21" s="458">
        <v>3196.7</v>
      </c>
      <c r="F21" s="459">
        <f>'2.Расходы по вед'!G230+'2.Расходы по вед'!G237</f>
        <v>113128.12670000001</v>
      </c>
      <c r="G21" s="459">
        <f>'2.Расходы по вед'!H230+'2.Расходы по вед'!H237</f>
        <v>113127.91383000002</v>
      </c>
      <c r="H21" s="460">
        <v>100</v>
      </c>
      <c r="I21" s="626" t="s">
        <v>1227</v>
      </c>
    </row>
    <row r="22" spans="1:9" ht="64.5" customHeight="1" x14ac:dyDescent="0.2">
      <c r="A22" s="465">
        <v>12</v>
      </c>
      <c r="B22" s="462" t="s">
        <v>375</v>
      </c>
      <c r="C22" s="458"/>
      <c r="D22" s="458"/>
      <c r="E22" s="458"/>
      <c r="F22" s="459">
        <v>10118.77081</v>
      </c>
      <c r="G22" s="459">
        <v>10118.735649999999</v>
      </c>
      <c r="H22" s="466">
        <v>100</v>
      </c>
      <c r="I22" s="460" t="s">
        <v>1227</v>
      </c>
    </row>
    <row r="23" spans="1:9" ht="70.5" customHeight="1" x14ac:dyDescent="0.2">
      <c r="A23" s="465">
        <v>13</v>
      </c>
      <c r="B23" s="462" t="str">
        <f>'[2]справочно по ЦС'!$C$525</f>
        <v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v>
      </c>
      <c r="C23" s="458"/>
      <c r="D23" s="458"/>
      <c r="E23" s="458"/>
      <c r="F23" s="459">
        <f>'2.Расходы по вед'!G147+'2.Расходы по вед'!G159+'2.Расходы по вед'!G196</f>
        <v>21446</v>
      </c>
      <c r="G23" s="459">
        <f>'2.Расходы по вед'!H147+'2.Расходы по вед'!H159+'2.Расходы по вед'!H196</f>
        <v>21445.999680000001</v>
      </c>
      <c r="H23" s="466">
        <v>100</v>
      </c>
      <c r="I23" s="460" t="s">
        <v>1227</v>
      </c>
    </row>
    <row r="24" spans="1:9" ht="64.5" customHeight="1" x14ac:dyDescent="0.2">
      <c r="A24" s="465">
        <v>14</v>
      </c>
      <c r="B24" s="462" t="s">
        <v>1229</v>
      </c>
      <c r="C24" s="458"/>
      <c r="D24" s="458"/>
      <c r="E24" s="458"/>
      <c r="F24" s="459">
        <v>5916.8873599999997</v>
      </c>
      <c r="G24" s="459">
        <v>5916.41</v>
      </c>
      <c r="H24" s="466">
        <v>100</v>
      </c>
      <c r="I24" s="460" t="s">
        <v>1227</v>
      </c>
    </row>
    <row r="25" spans="1:9" ht="28.5" customHeight="1" x14ac:dyDescent="0.3">
      <c r="A25" s="708" t="s">
        <v>678</v>
      </c>
      <c r="B25" s="709"/>
      <c r="C25" s="467">
        <f>SUM(C11:C21)</f>
        <v>164696.90000000002</v>
      </c>
      <c r="D25" s="467">
        <f>SUM(D11:D21)</f>
        <v>163594.20000000001</v>
      </c>
      <c r="E25" s="467">
        <f>SUM(E11:E21)</f>
        <v>158410.70000000001</v>
      </c>
      <c r="F25" s="468">
        <f>SUM(F11:F24)</f>
        <v>1031179.7100200001</v>
      </c>
      <c r="G25" s="468">
        <f>SUM(G11:G24)</f>
        <v>986088.98932000005</v>
      </c>
      <c r="H25" s="469">
        <f t="shared" ref="H25" si="0">G25/F25*100</f>
        <v>95.627268432276907</v>
      </c>
      <c r="I25" s="470"/>
    </row>
  </sheetData>
  <mergeCells count="11">
    <mergeCell ref="A25:B25"/>
    <mergeCell ref="H4:I4"/>
    <mergeCell ref="A6:I6"/>
    <mergeCell ref="A8:A10"/>
    <mergeCell ref="B8:B10"/>
    <mergeCell ref="C8:E8"/>
    <mergeCell ref="F8:G8"/>
    <mergeCell ref="H8:I8"/>
    <mergeCell ref="F9:G9"/>
    <mergeCell ref="H9:H10"/>
    <mergeCell ref="I9:I10"/>
  </mergeCells>
  <pageMargins left="0.70866141732283472" right="0.70866141732283472" top="0.15748031496062992" bottom="0.15748031496062992" header="0.31496062992125984" footer="0.31496062992125984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95"/>
  <sheetViews>
    <sheetView view="pageBreakPreview" topLeftCell="A559" zoomScale="69" zoomScaleSheetLayoutView="69" workbookViewId="0">
      <selection activeCell="M584" sqref="M584"/>
    </sheetView>
  </sheetViews>
  <sheetFormatPr defaultColWidth="9.140625" defaultRowHeight="15" x14ac:dyDescent="0.25"/>
  <cols>
    <col min="1" max="1" width="14.42578125" style="25" customWidth="1"/>
    <col min="2" max="2" width="7.5703125" style="25" customWidth="1"/>
    <col min="3" max="3" width="57.5703125" style="25" customWidth="1"/>
    <col min="4" max="8" width="15.42578125" style="25" customWidth="1"/>
    <col min="9" max="9" width="12.7109375" style="25" bestFit="1" customWidth="1"/>
    <col min="10" max="16384" width="9.140625" style="25"/>
  </cols>
  <sheetData>
    <row r="1" spans="1:9" ht="15.75" x14ac:dyDescent="0.25">
      <c r="D1" s="227"/>
      <c r="E1" s="227"/>
      <c r="F1" s="227"/>
      <c r="G1" s="450"/>
      <c r="H1" s="451" t="s">
        <v>1218</v>
      </c>
    </row>
    <row r="2" spans="1:9" ht="15.75" x14ac:dyDescent="0.25">
      <c r="D2" s="227"/>
      <c r="E2" s="227"/>
      <c r="F2" s="227"/>
      <c r="G2" s="450"/>
      <c r="H2" s="451" t="s">
        <v>835</v>
      </c>
    </row>
    <row r="3" spans="1:9" ht="15.75" x14ac:dyDescent="0.25">
      <c r="D3" s="227"/>
      <c r="E3" s="227"/>
      <c r="F3" s="227"/>
      <c r="G3" s="449"/>
      <c r="H3" s="451" t="s">
        <v>836</v>
      </c>
    </row>
    <row r="4" spans="1:9" ht="15.75" x14ac:dyDescent="0.25">
      <c r="D4" s="227"/>
      <c r="E4" s="227"/>
      <c r="F4" s="227"/>
      <c r="G4" s="710" t="s">
        <v>1230</v>
      </c>
      <c r="H4" s="710"/>
    </row>
    <row r="5" spans="1:9" x14ac:dyDescent="0.25">
      <c r="D5" s="228"/>
      <c r="E5" s="228"/>
      <c r="F5" s="228"/>
      <c r="G5" s="228"/>
      <c r="H5" s="228"/>
    </row>
    <row r="7" spans="1:9" ht="30" customHeight="1" x14ac:dyDescent="0.25">
      <c r="A7" s="679" t="s">
        <v>719</v>
      </c>
      <c r="B7" s="679"/>
      <c r="C7" s="679"/>
      <c r="D7" s="679"/>
    </row>
    <row r="8" spans="1:9" x14ac:dyDescent="0.25">
      <c r="A8" s="206"/>
      <c r="B8" s="206"/>
      <c r="C8" s="206"/>
      <c r="D8" s="206"/>
      <c r="E8" s="206"/>
      <c r="F8" s="206"/>
      <c r="G8" s="206"/>
      <c r="H8" s="206"/>
    </row>
    <row r="9" spans="1:9" ht="43.9" customHeight="1" x14ac:dyDescent="0.25">
      <c r="A9" s="84" t="s">
        <v>0</v>
      </c>
      <c r="B9" s="84" t="s">
        <v>1</v>
      </c>
      <c r="C9" s="84" t="s">
        <v>2</v>
      </c>
      <c r="D9" s="237" t="s">
        <v>828</v>
      </c>
      <c r="E9" s="237" t="s">
        <v>829</v>
      </c>
      <c r="F9" s="237" t="s">
        <v>830</v>
      </c>
      <c r="G9" s="237" t="s">
        <v>831</v>
      </c>
      <c r="H9" s="237" t="s">
        <v>832</v>
      </c>
    </row>
    <row r="10" spans="1:9" ht="24.75" x14ac:dyDescent="0.25">
      <c r="A10" s="26" t="s">
        <v>4</v>
      </c>
      <c r="B10" s="26"/>
      <c r="C10" s="27" t="s">
        <v>5</v>
      </c>
      <c r="D10" s="71">
        <f>D11+D67+D189+D206+D223+D240+D296+D309+D331+D349+D424+D495+D519+D477</f>
        <v>959449.22549999994</v>
      </c>
      <c r="E10" s="71">
        <f>E11+E67+E189+E206+E223+E240+E296+E309+E331+E349+E424+E495+E519+E477</f>
        <v>1031179.7100200003</v>
      </c>
      <c r="F10" s="71">
        <f>F11+F67+F189+F206+F223+F240+F296+F309+F331+F349+F424+F495+F519+F477</f>
        <v>986089.08160000027</v>
      </c>
      <c r="G10" s="247">
        <f>F10/E10*100</f>
        <v>95.627277381250494</v>
      </c>
      <c r="H10" s="247">
        <f>E10/D10*100</f>
        <v>107.47621475045949</v>
      </c>
      <c r="I10" s="482"/>
    </row>
    <row r="11" spans="1:9" ht="26.25" x14ac:dyDescent="0.25">
      <c r="A11" s="28" t="s">
        <v>6</v>
      </c>
      <c r="B11" s="28"/>
      <c r="C11" s="29" t="s">
        <v>497</v>
      </c>
      <c r="D11" s="69">
        <f t="shared" ref="D11:F11" si="0">D12+D21+D32+D61</f>
        <v>79790.799999999988</v>
      </c>
      <c r="E11" s="69">
        <f t="shared" si="0"/>
        <v>80031.799999999988</v>
      </c>
      <c r="F11" s="69">
        <f t="shared" si="0"/>
        <v>79936.075960000002</v>
      </c>
      <c r="G11" s="477">
        <f t="shared" ref="G11:G74" si="1">F11/E11*100</f>
        <v>99.880392493983663</v>
      </c>
      <c r="H11" s="477">
        <f t="shared" ref="H11:H74" si="2">E11/D11*100</f>
        <v>100.30203983416635</v>
      </c>
    </row>
    <row r="12" spans="1:9" ht="26.25" x14ac:dyDescent="0.25">
      <c r="A12" s="30" t="s">
        <v>7</v>
      </c>
      <c r="B12" s="30"/>
      <c r="C12" s="31" t="s">
        <v>8</v>
      </c>
      <c r="D12" s="72">
        <f>D13+D16</f>
        <v>908.7</v>
      </c>
      <c r="E12" s="72">
        <f t="shared" ref="E12:F12" si="3">E13+E16</f>
        <v>908.7</v>
      </c>
      <c r="F12" s="72">
        <f t="shared" si="3"/>
        <v>908.7</v>
      </c>
      <c r="G12" s="244">
        <f t="shared" si="1"/>
        <v>100</v>
      </c>
      <c r="H12" s="244">
        <f t="shared" si="2"/>
        <v>100</v>
      </c>
    </row>
    <row r="13" spans="1:9" ht="26.25" x14ac:dyDescent="0.25">
      <c r="A13" s="32" t="s">
        <v>9</v>
      </c>
      <c r="B13" s="32"/>
      <c r="C13" s="33" t="s">
        <v>10</v>
      </c>
      <c r="D13" s="68">
        <f t="shared" ref="D13:F14" si="4">D14</f>
        <v>810.7</v>
      </c>
      <c r="E13" s="68">
        <f t="shared" si="4"/>
        <v>810.7</v>
      </c>
      <c r="F13" s="68">
        <f t="shared" si="4"/>
        <v>810.7</v>
      </c>
      <c r="G13" s="245">
        <f t="shared" si="1"/>
        <v>100</v>
      </c>
      <c r="H13" s="245">
        <f t="shared" si="2"/>
        <v>100</v>
      </c>
    </row>
    <row r="14" spans="1:9" ht="64.5" x14ac:dyDescent="0.25">
      <c r="A14" s="6" t="s">
        <v>11</v>
      </c>
      <c r="B14" s="12"/>
      <c r="C14" s="3" t="s">
        <v>498</v>
      </c>
      <c r="D14" s="67">
        <f t="shared" si="4"/>
        <v>810.7</v>
      </c>
      <c r="E14" s="67">
        <f t="shared" si="4"/>
        <v>810.7</v>
      </c>
      <c r="F14" s="67">
        <f t="shared" si="4"/>
        <v>810.7</v>
      </c>
      <c r="G14" s="246">
        <f t="shared" si="1"/>
        <v>100</v>
      </c>
      <c r="H14" s="246">
        <f t="shared" si="2"/>
        <v>100</v>
      </c>
    </row>
    <row r="15" spans="1:9" ht="26.25" x14ac:dyDescent="0.25">
      <c r="A15" s="6"/>
      <c r="B15" s="6" t="s">
        <v>272</v>
      </c>
      <c r="C15" s="3" t="s">
        <v>273</v>
      </c>
      <c r="D15" s="67">
        <v>810.7</v>
      </c>
      <c r="E15" s="67">
        <v>810.7</v>
      </c>
      <c r="F15" s="67">
        <v>810.7</v>
      </c>
      <c r="G15" s="246">
        <f t="shared" si="1"/>
        <v>100</v>
      </c>
      <c r="H15" s="246">
        <f t="shared" si="2"/>
        <v>100</v>
      </c>
    </row>
    <row r="16" spans="1:9" ht="39" x14ac:dyDescent="0.25">
      <c r="A16" s="32" t="s">
        <v>13</v>
      </c>
      <c r="B16" s="32"/>
      <c r="C16" s="33" t="s">
        <v>499</v>
      </c>
      <c r="D16" s="75">
        <f>D17+D19</f>
        <v>98</v>
      </c>
      <c r="E16" s="75">
        <f t="shared" ref="E16:F16" si="5">E17+E19</f>
        <v>98</v>
      </c>
      <c r="F16" s="75">
        <f t="shared" si="5"/>
        <v>98</v>
      </c>
      <c r="G16" s="253">
        <f t="shared" si="1"/>
        <v>100</v>
      </c>
      <c r="H16" s="253">
        <f t="shared" si="2"/>
        <v>100</v>
      </c>
    </row>
    <row r="17" spans="1:8" ht="39" x14ac:dyDescent="0.25">
      <c r="A17" s="6" t="s">
        <v>15</v>
      </c>
      <c r="B17" s="6"/>
      <c r="C17" s="3" t="s">
        <v>415</v>
      </c>
      <c r="D17" s="67">
        <f>D18</f>
        <v>56</v>
      </c>
      <c r="E17" s="67">
        <f t="shared" ref="E17:F17" si="6">E18</f>
        <v>56</v>
      </c>
      <c r="F17" s="67">
        <f t="shared" si="6"/>
        <v>56</v>
      </c>
      <c r="G17" s="246">
        <f t="shared" si="1"/>
        <v>100</v>
      </c>
      <c r="H17" s="246">
        <f t="shared" si="2"/>
        <v>100</v>
      </c>
    </row>
    <row r="18" spans="1:8" ht="26.25" x14ac:dyDescent="0.25">
      <c r="A18" s="6"/>
      <c r="B18" s="6" t="s">
        <v>272</v>
      </c>
      <c r="C18" s="3" t="s">
        <v>273</v>
      </c>
      <c r="D18" s="67">
        <v>56</v>
      </c>
      <c r="E18" s="67">
        <v>56</v>
      </c>
      <c r="F18" s="67">
        <v>56</v>
      </c>
      <c r="G18" s="246">
        <f t="shared" si="1"/>
        <v>100</v>
      </c>
      <c r="H18" s="246">
        <f t="shared" si="2"/>
        <v>100</v>
      </c>
    </row>
    <row r="19" spans="1:8" ht="39" x14ac:dyDescent="0.25">
      <c r="A19" s="6" t="s">
        <v>16</v>
      </c>
      <c r="B19" s="6"/>
      <c r="C19" s="8" t="s">
        <v>500</v>
      </c>
      <c r="D19" s="67">
        <f>D20</f>
        <v>42</v>
      </c>
      <c r="E19" s="67">
        <f t="shared" ref="E19:F19" si="7">E20</f>
        <v>42</v>
      </c>
      <c r="F19" s="67">
        <f t="shared" si="7"/>
        <v>42</v>
      </c>
      <c r="G19" s="246">
        <f t="shared" si="1"/>
        <v>100</v>
      </c>
      <c r="H19" s="246">
        <f t="shared" si="2"/>
        <v>100</v>
      </c>
    </row>
    <row r="20" spans="1:8" ht="26.25" x14ac:dyDescent="0.25">
      <c r="A20" s="6"/>
      <c r="B20" s="6" t="s">
        <v>272</v>
      </c>
      <c r="C20" s="3" t="s">
        <v>273</v>
      </c>
      <c r="D20" s="67">
        <v>42</v>
      </c>
      <c r="E20" s="67">
        <v>42</v>
      </c>
      <c r="F20" s="67">
        <v>42</v>
      </c>
      <c r="G20" s="246">
        <f t="shared" si="1"/>
        <v>100</v>
      </c>
      <c r="H20" s="246">
        <f t="shared" si="2"/>
        <v>100</v>
      </c>
    </row>
    <row r="21" spans="1:8" ht="39" x14ac:dyDescent="0.25">
      <c r="A21" s="30" t="s">
        <v>18</v>
      </c>
      <c r="B21" s="30"/>
      <c r="C21" s="34" t="s">
        <v>19</v>
      </c>
      <c r="D21" s="72">
        <f>D22</f>
        <v>74567.899999999994</v>
      </c>
      <c r="E21" s="72">
        <f t="shared" ref="E21:F21" si="8">E22</f>
        <v>74567.899999999994</v>
      </c>
      <c r="F21" s="72">
        <f t="shared" si="8"/>
        <v>74472.175960000008</v>
      </c>
      <c r="G21" s="244">
        <f t="shared" si="1"/>
        <v>99.871628354828303</v>
      </c>
      <c r="H21" s="244">
        <f t="shared" si="2"/>
        <v>100</v>
      </c>
    </row>
    <row r="22" spans="1:8" ht="39" x14ac:dyDescent="0.25">
      <c r="A22" s="32" t="s">
        <v>20</v>
      </c>
      <c r="B22" s="32"/>
      <c r="C22" s="33" t="s">
        <v>21</v>
      </c>
      <c r="D22" s="68">
        <f t="shared" ref="D22:F22" si="9">D23+D25+D30</f>
        <v>74567.899999999994</v>
      </c>
      <c r="E22" s="68">
        <f t="shared" si="9"/>
        <v>74567.899999999994</v>
      </c>
      <c r="F22" s="68">
        <f t="shared" si="9"/>
        <v>74472.175960000008</v>
      </c>
      <c r="G22" s="245">
        <f t="shared" si="1"/>
        <v>99.871628354828303</v>
      </c>
      <c r="H22" s="245">
        <f t="shared" si="2"/>
        <v>100</v>
      </c>
    </row>
    <row r="23" spans="1:8" ht="39" x14ac:dyDescent="0.25">
      <c r="A23" s="6" t="s">
        <v>22</v>
      </c>
      <c r="B23" s="6"/>
      <c r="C23" s="3" t="s">
        <v>23</v>
      </c>
      <c r="D23" s="67">
        <f t="shared" ref="D23:F23" si="10">D24</f>
        <v>2520.9</v>
      </c>
      <c r="E23" s="67">
        <f t="shared" si="10"/>
        <v>2520.9</v>
      </c>
      <c r="F23" s="67">
        <f t="shared" si="10"/>
        <v>2520.9</v>
      </c>
      <c r="G23" s="246">
        <f t="shared" si="1"/>
        <v>100</v>
      </c>
      <c r="H23" s="246">
        <f t="shared" si="2"/>
        <v>100</v>
      </c>
    </row>
    <row r="24" spans="1:8" ht="51.75" x14ac:dyDescent="0.25">
      <c r="A24" s="6"/>
      <c r="B24" s="6" t="s">
        <v>383</v>
      </c>
      <c r="C24" s="3" t="s">
        <v>384</v>
      </c>
      <c r="D24" s="67">
        <f>2236.5+91.9+192.5</f>
        <v>2520.9</v>
      </c>
      <c r="E24" s="67">
        <f t="shared" ref="E24:F24" si="11">2236.5+91.9+192.5</f>
        <v>2520.9</v>
      </c>
      <c r="F24" s="67">
        <f t="shared" si="11"/>
        <v>2520.9</v>
      </c>
      <c r="G24" s="246">
        <f t="shared" si="1"/>
        <v>100</v>
      </c>
      <c r="H24" s="246">
        <f t="shared" si="2"/>
        <v>100</v>
      </c>
    </row>
    <row r="25" spans="1:8" ht="25.5" x14ac:dyDescent="0.25">
      <c r="A25" s="6" t="s">
        <v>24</v>
      </c>
      <c r="B25" s="6"/>
      <c r="C25" s="1" t="s">
        <v>25</v>
      </c>
      <c r="D25" s="77">
        <f>D26+D27</f>
        <v>64479.899999999994</v>
      </c>
      <c r="E25" s="77">
        <f>E26+E27+E28+E29</f>
        <v>64479.899999999994</v>
      </c>
      <c r="F25" s="77">
        <f>F26+F27+F28+F29</f>
        <v>64384.19642</v>
      </c>
      <c r="G25" s="248">
        <f t="shared" si="1"/>
        <v>99.851576103560973</v>
      </c>
      <c r="H25" s="248">
        <f t="shared" si="2"/>
        <v>100</v>
      </c>
    </row>
    <row r="26" spans="1:8" ht="51.75" x14ac:dyDescent="0.25">
      <c r="A26" s="6"/>
      <c r="B26" s="6" t="s">
        <v>383</v>
      </c>
      <c r="C26" s="3" t="s">
        <v>384</v>
      </c>
      <c r="D26" s="77">
        <v>61162.7</v>
      </c>
      <c r="E26" s="77">
        <f>'2.Расходы по вед'!G30+'2.Расходы по вед'!G612+'2.Расходы по вед'!G793+'2.Расходы по вед'!G860</f>
        <v>61515.946779999998</v>
      </c>
      <c r="F26" s="77">
        <f>'2.Расходы по вед'!H30+'2.Расходы по вед'!H612+'2.Расходы по вед'!H793+'2.Расходы по вед'!H860</f>
        <v>61471.524660000003</v>
      </c>
      <c r="G26" s="248">
        <f t="shared" si="1"/>
        <v>99.927787635035742</v>
      </c>
      <c r="H26" s="248">
        <f t="shared" si="2"/>
        <v>100.57755262602861</v>
      </c>
    </row>
    <row r="27" spans="1:8" ht="26.25" x14ac:dyDescent="0.25">
      <c r="A27" s="6"/>
      <c r="B27" s="6" t="s">
        <v>272</v>
      </c>
      <c r="C27" s="3" t="s">
        <v>273</v>
      </c>
      <c r="D27" s="77">
        <v>3317.2</v>
      </c>
      <c r="E27" s="77">
        <f>'2.Расходы по вед'!G31+'2.Расходы по вед'!G613+'2.Расходы по вед'!G794+'2.Расходы по вед'!G861</f>
        <v>2873.1989100000001</v>
      </c>
      <c r="F27" s="77">
        <f>'2.Расходы по вед'!H31+'2.Расходы по вед'!H613+'2.Расходы по вед'!H794+'2.Расходы по вед'!H861</f>
        <v>2821.9174499999999</v>
      </c>
      <c r="G27" s="248">
        <f t="shared" si="1"/>
        <v>98.215178913596333</v>
      </c>
      <c r="H27" s="248">
        <f t="shared" si="2"/>
        <v>86.615184794404925</v>
      </c>
    </row>
    <row r="28" spans="1:8" x14ac:dyDescent="0.25">
      <c r="A28" s="6"/>
      <c r="B28" s="6" t="s">
        <v>408</v>
      </c>
      <c r="C28" s="3" t="s">
        <v>409</v>
      </c>
      <c r="D28" s="77"/>
      <c r="E28" s="77">
        <f>'2.Расходы по вед'!G32</f>
        <v>41.754309999999997</v>
      </c>
      <c r="F28" s="77">
        <f>'2.Расходы по вед'!H32</f>
        <v>41.754309999999997</v>
      </c>
      <c r="G28" s="248">
        <f t="shared" si="1"/>
        <v>100</v>
      </c>
      <c r="H28" s="248"/>
    </row>
    <row r="29" spans="1:8" x14ac:dyDescent="0.25">
      <c r="A29" s="6"/>
      <c r="B29" s="6" t="s">
        <v>390</v>
      </c>
      <c r="C29" s="3" t="s">
        <v>391</v>
      </c>
      <c r="D29" s="77"/>
      <c r="E29" s="77">
        <f>'2.Расходы по вед'!G33+'2.Расходы по вед'!G614</f>
        <v>49</v>
      </c>
      <c r="F29" s="77">
        <f>'2.Расходы по вед'!H33+'2.Расходы по вед'!H614</f>
        <v>49</v>
      </c>
      <c r="G29" s="248">
        <f t="shared" si="1"/>
        <v>100</v>
      </c>
      <c r="H29" s="248"/>
    </row>
    <row r="30" spans="1:8" ht="26.25" x14ac:dyDescent="0.25">
      <c r="A30" s="6" t="s">
        <v>26</v>
      </c>
      <c r="B30" s="6"/>
      <c r="C30" s="8" t="s">
        <v>27</v>
      </c>
      <c r="D30" s="67">
        <f>D31</f>
        <v>7567.1</v>
      </c>
      <c r="E30" s="67">
        <f t="shared" ref="E30:F30" si="12">E31</f>
        <v>7567.1</v>
      </c>
      <c r="F30" s="67">
        <f t="shared" si="12"/>
        <v>7567.0795399999997</v>
      </c>
      <c r="G30" s="246">
        <f t="shared" si="1"/>
        <v>99.99972961900859</v>
      </c>
      <c r="H30" s="246">
        <f t="shared" si="2"/>
        <v>100</v>
      </c>
    </row>
    <row r="31" spans="1:8" x14ac:dyDescent="0.25">
      <c r="A31" s="6"/>
      <c r="B31" s="6" t="s">
        <v>408</v>
      </c>
      <c r="C31" s="3" t="s">
        <v>409</v>
      </c>
      <c r="D31" s="67">
        <v>7567.1</v>
      </c>
      <c r="E31" s="67">
        <v>7567.1</v>
      </c>
      <c r="F31" s="67">
        <v>7567.0795399999997</v>
      </c>
      <c r="G31" s="246">
        <f t="shared" si="1"/>
        <v>99.99972961900859</v>
      </c>
      <c r="H31" s="246">
        <f t="shared" si="2"/>
        <v>100</v>
      </c>
    </row>
    <row r="32" spans="1:8" ht="51.75" x14ac:dyDescent="0.25">
      <c r="A32" s="30" t="s">
        <v>28</v>
      </c>
      <c r="B32" s="30"/>
      <c r="C32" s="31" t="s">
        <v>501</v>
      </c>
      <c r="D32" s="72">
        <f t="shared" ref="D32:F32" si="13">D33</f>
        <v>4232.8999999999996</v>
      </c>
      <c r="E32" s="72">
        <f t="shared" si="13"/>
        <v>4473.9000000000005</v>
      </c>
      <c r="F32" s="72">
        <f t="shared" si="13"/>
        <v>4473.9000000000005</v>
      </c>
      <c r="G32" s="244">
        <f t="shared" si="1"/>
        <v>100</v>
      </c>
      <c r="H32" s="244">
        <f t="shared" si="2"/>
        <v>105.69349618464885</v>
      </c>
    </row>
    <row r="33" spans="1:8" ht="26.25" x14ac:dyDescent="0.25">
      <c r="A33" s="32" t="s">
        <v>30</v>
      </c>
      <c r="B33" s="35"/>
      <c r="C33" s="33" t="s">
        <v>31</v>
      </c>
      <c r="D33" s="68">
        <f t="shared" ref="D33" si="14">D34+D37+D43+D45+D48+D51+D53+D55+D58</f>
        <v>4232.8999999999996</v>
      </c>
      <c r="E33" s="68">
        <f>E34+E37+E43+E45+E48+E51+E53+E55+E58+E40</f>
        <v>4473.9000000000005</v>
      </c>
      <c r="F33" s="68">
        <f>F34+F37+F43+F45+F48+F51+F53+F55+F58+F40</f>
        <v>4473.9000000000005</v>
      </c>
      <c r="G33" s="245">
        <f t="shared" si="1"/>
        <v>100</v>
      </c>
      <c r="H33" s="245">
        <f t="shared" si="2"/>
        <v>105.69349618464885</v>
      </c>
    </row>
    <row r="34" spans="1:8" ht="26.25" x14ac:dyDescent="0.25">
      <c r="A34" s="22" t="s">
        <v>720</v>
      </c>
      <c r="B34" s="6"/>
      <c r="C34" s="8" t="s">
        <v>32</v>
      </c>
      <c r="D34" s="76">
        <v>974.2</v>
      </c>
      <c r="E34" s="76">
        <f>E35+E36</f>
        <v>1016.5</v>
      </c>
      <c r="F34" s="76">
        <f>F35+F36</f>
        <v>1016.5</v>
      </c>
      <c r="G34" s="240">
        <f t="shared" si="1"/>
        <v>100</v>
      </c>
      <c r="H34" s="240">
        <f t="shared" si="2"/>
        <v>104.34202422500513</v>
      </c>
    </row>
    <row r="35" spans="1:8" ht="51.75" x14ac:dyDescent="0.25">
      <c r="A35" s="6"/>
      <c r="B35" s="6" t="s">
        <v>383</v>
      </c>
      <c r="C35" s="3" t="s">
        <v>384</v>
      </c>
      <c r="D35" s="76">
        <v>904.7</v>
      </c>
      <c r="E35" s="76">
        <v>950.39912000000004</v>
      </c>
      <c r="F35" s="76">
        <v>950.39912000000004</v>
      </c>
      <c r="G35" s="240">
        <f t="shared" si="1"/>
        <v>100</v>
      </c>
      <c r="H35" s="240">
        <f t="shared" si="2"/>
        <v>105.05130098375153</v>
      </c>
    </row>
    <row r="36" spans="1:8" ht="26.25" x14ac:dyDescent="0.25">
      <c r="A36" s="6"/>
      <c r="B36" s="6" t="s">
        <v>272</v>
      </c>
      <c r="C36" s="3" t="s">
        <v>273</v>
      </c>
      <c r="D36" s="76">
        <v>69.5</v>
      </c>
      <c r="E36" s="76">
        <v>66.100880000000004</v>
      </c>
      <c r="F36" s="76">
        <v>66.100880000000004</v>
      </c>
      <c r="G36" s="240">
        <f t="shared" si="1"/>
        <v>100</v>
      </c>
      <c r="H36" s="240">
        <f t="shared" si="2"/>
        <v>95.109179856115105</v>
      </c>
    </row>
    <row r="37" spans="1:8" ht="39" x14ac:dyDescent="0.25">
      <c r="A37" s="6" t="s">
        <v>33</v>
      </c>
      <c r="B37" s="6"/>
      <c r="C37" s="8" t="s">
        <v>502</v>
      </c>
      <c r="D37" s="76">
        <v>583</v>
      </c>
      <c r="E37" s="76">
        <v>0</v>
      </c>
      <c r="F37" s="76">
        <v>0</v>
      </c>
      <c r="G37" s="240"/>
      <c r="H37" s="240">
        <f t="shared" si="2"/>
        <v>0</v>
      </c>
    </row>
    <row r="38" spans="1:8" ht="51.75" x14ac:dyDescent="0.25">
      <c r="A38" s="6"/>
      <c r="B38" s="6" t="s">
        <v>383</v>
      </c>
      <c r="C38" s="3" t="s">
        <v>384</v>
      </c>
      <c r="D38" s="76">
        <v>517</v>
      </c>
      <c r="E38" s="76">
        <v>0</v>
      </c>
      <c r="F38" s="76">
        <v>0</v>
      </c>
      <c r="G38" s="240"/>
      <c r="H38" s="240">
        <f t="shared" si="2"/>
        <v>0</v>
      </c>
    </row>
    <row r="39" spans="1:8" ht="26.25" x14ac:dyDescent="0.25">
      <c r="A39" s="6"/>
      <c r="B39" s="6" t="s">
        <v>272</v>
      </c>
      <c r="C39" s="3" t="s">
        <v>273</v>
      </c>
      <c r="D39" s="76">
        <v>66</v>
      </c>
      <c r="E39" s="76">
        <v>0</v>
      </c>
      <c r="F39" s="76">
        <v>0</v>
      </c>
      <c r="G39" s="240"/>
      <c r="H39" s="240">
        <f t="shared" si="2"/>
        <v>0</v>
      </c>
    </row>
    <row r="40" spans="1:8" ht="39" x14ac:dyDescent="0.25">
      <c r="A40" s="6" t="s">
        <v>842</v>
      </c>
      <c r="B40" s="6"/>
      <c r="C40" s="8" t="s">
        <v>34</v>
      </c>
      <c r="D40" s="76"/>
      <c r="E40" s="76">
        <f>E41+E42</f>
        <v>583</v>
      </c>
      <c r="F40" s="76">
        <f>F41+F42</f>
        <v>583</v>
      </c>
      <c r="G40" s="240">
        <f t="shared" si="1"/>
        <v>100</v>
      </c>
      <c r="H40" s="240"/>
    </row>
    <row r="41" spans="1:8" ht="51.75" x14ac:dyDescent="0.25">
      <c r="A41" s="6"/>
      <c r="B41" s="6" t="s">
        <v>383</v>
      </c>
      <c r="C41" s="3" t="s">
        <v>384</v>
      </c>
      <c r="D41" s="76"/>
      <c r="E41" s="264">
        <v>517</v>
      </c>
      <c r="F41" s="264">
        <v>517</v>
      </c>
      <c r="G41" s="240">
        <f t="shared" si="1"/>
        <v>100</v>
      </c>
      <c r="H41" s="240"/>
    </row>
    <row r="42" spans="1:8" ht="26.25" x14ac:dyDescent="0.25">
      <c r="A42" s="6"/>
      <c r="B42" s="6" t="s">
        <v>272</v>
      </c>
      <c r="C42" s="3" t="s">
        <v>273</v>
      </c>
      <c r="D42" s="76"/>
      <c r="E42" s="264">
        <v>66</v>
      </c>
      <c r="F42" s="264">
        <v>66</v>
      </c>
      <c r="G42" s="240">
        <f t="shared" si="1"/>
        <v>100</v>
      </c>
      <c r="H42" s="240"/>
    </row>
    <row r="43" spans="1:8" x14ac:dyDescent="0.25">
      <c r="A43" s="6" t="s">
        <v>35</v>
      </c>
      <c r="B43" s="6"/>
      <c r="C43" s="8" t="s">
        <v>36</v>
      </c>
      <c r="D43" s="76">
        <v>25.8</v>
      </c>
      <c r="E43" s="76">
        <v>25.8</v>
      </c>
      <c r="F43" s="76">
        <v>25.8</v>
      </c>
      <c r="G43" s="240">
        <f t="shared" si="1"/>
        <v>100</v>
      </c>
      <c r="H43" s="240">
        <f t="shared" si="2"/>
        <v>100</v>
      </c>
    </row>
    <row r="44" spans="1:8" ht="26.25" x14ac:dyDescent="0.25">
      <c r="A44" s="6"/>
      <c r="B44" s="6" t="s">
        <v>272</v>
      </c>
      <c r="C44" s="3" t="s">
        <v>273</v>
      </c>
      <c r="D44" s="76">
        <v>25.8</v>
      </c>
      <c r="E44" s="76">
        <v>25.8</v>
      </c>
      <c r="F44" s="76">
        <v>25.8</v>
      </c>
      <c r="G44" s="240">
        <f t="shared" si="1"/>
        <v>100</v>
      </c>
      <c r="H44" s="240">
        <f t="shared" si="2"/>
        <v>100</v>
      </c>
    </row>
    <row r="45" spans="1:8" ht="26.25" x14ac:dyDescent="0.25">
      <c r="A45" s="6" t="s">
        <v>37</v>
      </c>
      <c r="B45" s="6"/>
      <c r="C45" s="3" t="s">
        <v>38</v>
      </c>
      <c r="D45" s="76">
        <v>56.8</v>
      </c>
      <c r="E45" s="76">
        <f>E46+E47</f>
        <v>59.4</v>
      </c>
      <c r="F45" s="76">
        <f>F46+F47</f>
        <v>59.4</v>
      </c>
      <c r="G45" s="240">
        <f t="shared" si="1"/>
        <v>100</v>
      </c>
      <c r="H45" s="240">
        <f t="shared" si="2"/>
        <v>104.5774647887324</v>
      </c>
    </row>
    <row r="46" spans="1:8" ht="51.75" x14ac:dyDescent="0.25">
      <c r="A46" s="6"/>
      <c r="B46" s="6" t="s">
        <v>383</v>
      </c>
      <c r="C46" s="3" t="s">
        <v>384</v>
      </c>
      <c r="D46" s="76">
        <v>51.7</v>
      </c>
      <c r="E46" s="76">
        <v>54.3</v>
      </c>
      <c r="F46" s="76">
        <v>54.3</v>
      </c>
      <c r="G46" s="240">
        <f t="shared" si="1"/>
        <v>100</v>
      </c>
      <c r="H46" s="240">
        <f t="shared" si="2"/>
        <v>105.02901353965181</v>
      </c>
    </row>
    <row r="47" spans="1:8" ht="26.25" x14ac:dyDescent="0.25">
      <c r="A47" s="6"/>
      <c r="B47" s="6" t="s">
        <v>272</v>
      </c>
      <c r="C47" s="3" t="s">
        <v>273</v>
      </c>
      <c r="D47" s="76">
        <v>5.0999999999999996</v>
      </c>
      <c r="E47" s="76">
        <v>5.0999999999999996</v>
      </c>
      <c r="F47" s="76">
        <v>5.0999999999999996</v>
      </c>
      <c r="G47" s="240">
        <f t="shared" si="1"/>
        <v>100</v>
      </c>
      <c r="H47" s="240">
        <f t="shared" si="2"/>
        <v>100</v>
      </c>
    </row>
    <row r="48" spans="1:8" ht="39" x14ac:dyDescent="0.25">
      <c r="A48" s="6" t="s">
        <v>39</v>
      </c>
      <c r="B48" s="6"/>
      <c r="C48" s="53" t="s">
        <v>463</v>
      </c>
      <c r="D48" s="76">
        <v>348.6</v>
      </c>
      <c r="E48" s="76">
        <f>E49</f>
        <v>364.6</v>
      </c>
      <c r="F48" s="76">
        <f>F49</f>
        <v>364.6</v>
      </c>
      <c r="G48" s="240">
        <f t="shared" si="1"/>
        <v>100</v>
      </c>
      <c r="H48" s="240">
        <f t="shared" si="2"/>
        <v>104.58978772231784</v>
      </c>
    </row>
    <row r="49" spans="1:8" ht="51.75" x14ac:dyDescent="0.25">
      <c r="A49" s="6"/>
      <c r="B49" s="6" t="s">
        <v>383</v>
      </c>
      <c r="C49" s="3" t="s">
        <v>384</v>
      </c>
      <c r="D49" s="76">
        <v>348.6</v>
      </c>
      <c r="E49" s="76">
        <v>364.6</v>
      </c>
      <c r="F49" s="76">
        <v>364.6</v>
      </c>
      <c r="G49" s="240">
        <f t="shared" si="1"/>
        <v>100</v>
      </c>
      <c r="H49" s="240">
        <f t="shared" si="2"/>
        <v>104.58978772231784</v>
      </c>
    </row>
    <row r="50" spans="1:8" ht="26.25" x14ac:dyDescent="0.25">
      <c r="A50" s="6"/>
      <c r="B50" s="6" t="s">
        <v>272</v>
      </c>
      <c r="C50" s="3" t="s">
        <v>273</v>
      </c>
      <c r="D50" s="76">
        <v>0</v>
      </c>
      <c r="E50" s="76">
        <v>0</v>
      </c>
      <c r="F50" s="76">
        <v>0</v>
      </c>
      <c r="G50" s="240"/>
      <c r="H50" s="240"/>
    </row>
    <row r="51" spans="1:8" ht="51.75" x14ac:dyDescent="0.25">
      <c r="A51" s="6" t="s">
        <v>40</v>
      </c>
      <c r="B51" s="6"/>
      <c r="C51" s="8" t="s">
        <v>41</v>
      </c>
      <c r="D51" s="76">
        <f>D52</f>
        <v>12.4</v>
      </c>
      <c r="E51" s="76">
        <f t="shared" ref="E51:F51" si="15">E52</f>
        <v>12.9</v>
      </c>
      <c r="F51" s="76">
        <f t="shared" si="15"/>
        <v>12.9</v>
      </c>
      <c r="G51" s="240">
        <f t="shared" si="1"/>
        <v>100</v>
      </c>
      <c r="H51" s="240">
        <f t="shared" si="2"/>
        <v>104.03225806451613</v>
      </c>
    </row>
    <row r="52" spans="1:8" ht="26.25" x14ac:dyDescent="0.25">
      <c r="A52" s="6"/>
      <c r="B52" s="6" t="s">
        <v>272</v>
      </c>
      <c r="C52" s="3" t="s">
        <v>273</v>
      </c>
      <c r="D52" s="76">
        <v>12.4</v>
      </c>
      <c r="E52" s="76">
        <v>12.9</v>
      </c>
      <c r="F52" s="76">
        <v>12.9</v>
      </c>
      <c r="G52" s="240">
        <f t="shared" si="1"/>
        <v>100</v>
      </c>
      <c r="H52" s="240">
        <f t="shared" si="2"/>
        <v>104.03225806451613</v>
      </c>
    </row>
    <row r="53" spans="1:8" ht="39" x14ac:dyDescent="0.25">
      <c r="A53" s="6" t="s">
        <v>42</v>
      </c>
      <c r="B53" s="6"/>
      <c r="C53" s="3" t="s">
        <v>43</v>
      </c>
      <c r="D53" s="76">
        <f t="shared" ref="D53:F53" si="16">D54</f>
        <v>2.2000000000000002</v>
      </c>
      <c r="E53" s="76">
        <f t="shared" si="16"/>
        <v>2.2000000000000002</v>
      </c>
      <c r="F53" s="76">
        <f t="shared" si="16"/>
        <v>2.2000000000000002</v>
      </c>
      <c r="G53" s="240">
        <f t="shared" si="1"/>
        <v>100</v>
      </c>
      <c r="H53" s="240">
        <f t="shared" si="2"/>
        <v>100</v>
      </c>
    </row>
    <row r="54" spans="1:8" ht="26.25" x14ac:dyDescent="0.25">
      <c r="A54" s="6"/>
      <c r="B54" s="6" t="s">
        <v>272</v>
      </c>
      <c r="C54" s="3" t="s">
        <v>273</v>
      </c>
      <c r="D54" s="76">
        <v>2.2000000000000002</v>
      </c>
      <c r="E54" s="76">
        <v>2.2000000000000002</v>
      </c>
      <c r="F54" s="76">
        <v>2.2000000000000002</v>
      </c>
      <c r="G54" s="240">
        <f t="shared" si="1"/>
        <v>100</v>
      </c>
      <c r="H54" s="240">
        <f t="shared" si="2"/>
        <v>100</v>
      </c>
    </row>
    <row r="55" spans="1:8" x14ac:dyDescent="0.25">
      <c r="A55" s="6" t="s">
        <v>44</v>
      </c>
      <c r="B55" s="6"/>
      <c r="C55" s="3" t="s">
        <v>45</v>
      </c>
      <c r="D55" s="76">
        <v>1118</v>
      </c>
      <c r="E55" s="76">
        <v>1118</v>
      </c>
      <c r="F55" s="76">
        <v>1118</v>
      </c>
      <c r="G55" s="240">
        <f t="shared" si="1"/>
        <v>100</v>
      </c>
      <c r="H55" s="240">
        <f t="shared" si="2"/>
        <v>100</v>
      </c>
    </row>
    <row r="56" spans="1:8" ht="51.75" x14ac:dyDescent="0.25">
      <c r="A56" s="6"/>
      <c r="B56" s="6" t="s">
        <v>383</v>
      </c>
      <c r="C56" s="3" t="s">
        <v>384</v>
      </c>
      <c r="D56" s="76">
        <v>1118</v>
      </c>
      <c r="E56" s="76">
        <v>1095.931</v>
      </c>
      <c r="F56" s="76">
        <v>1095.931</v>
      </c>
      <c r="G56" s="240">
        <f t="shared" si="1"/>
        <v>100</v>
      </c>
      <c r="H56" s="240">
        <f t="shared" si="2"/>
        <v>98.026028622540252</v>
      </c>
    </row>
    <row r="57" spans="1:8" ht="26.25" x14ac:dyDescent="0.25">
      <c r="A57" s="6"/>
      <c r="B57" s="6" t="s">
        <v>272</v>
      </c>
      <c r="C57" s="3" t="s">
        <v>273</v>
      </c>
      <c r="D57" s="76">
        <v>0</v>
      </c>
      <c r="E57" s="76">
        <v>22.068999999999999</v>
      </c>
      <c r="F57" s="76">
        <v>22.068999999999999</v>
      </c>
      <c r="G57" s="240">
        <f t="shared" si="1"/>
        <v>100</v>
      </c>
      <c r="H57" s="240"/>
    </row>
    <row r="58" spans="1:8" ht="26.25" x14ac:dyDescent="0.25">
      <c r="A58" s="6" t="s">
        <v>46</v>
      </c>
      <c r="B58" s="6"/>
      <c r="C58" s="3" t="s">
        <v>453</v>
      </c>
      <c r="D58" s="76">
        <v>1111.9000000000001</v>
      </c>
      <c r="E58" s="76">
        <f>E59+E60</f>
        <v>1291.5</v>
      </c>
      <c r="F58" s="76">
        <f>F59+F60</f>
        <v>1291.5</v>
      </c>
      <c r="G58" s="240">
        <f t="shared" si="1"/>
        <v>100</v>
      </c>
      <c r="H58" s="240">
        <f t="shared" si="2"/>
        <v>116.15253170249122</v>
      </c>
    </row>
    <row r="59" spans="1:8" ht="51.75" x14ac:dyDescent="0.25">
      <c r="A59" s="6"/>
      <c r="B59" s="6" t="s">
        <v>383</v>
      </c>
      <c r="C59" s="3" t="s">
        <v>384</v>
      </c>
      <c r="D59" s="76">
        <v>1098.5</v>
      </c>
      <c r="E59" s="76">
        <v>1219.56843</v>
      </c>
      <c r="F59" s="76">
        <v>1219.56843</v>
      </c>
      <c r="G59" s="240">
        <f t="shared" si="1"/>
        <v>100</v>
      </c>
      <c r="H59" s="240">
        <f t="shared" si="2"/>
        <v>111.02124988620847</v>
      </c>
    </row>
    <row r="60" spans="1:8" ht="26.25" x14ac:dyDescent="0.25">
      <c r="A60" s="6"/>
      <c r="B60" s="6" t="s">
        <v>272</v>
      </c>
      <c r="C60" s="3" t="s">
        <v>273</v>
      </c>
      <c r="D60" s="76">
        <v>13.4</v>
      </c>
      <c r="E60" s="76">
        <v>71.931569999999994</v>
      </c>
      <c r="F60" s="76">
        <v>71.931569999999994</v>
      </c>
      <c r="G60" s="240">
        <f t="shared" si="1"/>
        <v>100</v>
      </c>
      <c r="H60" s="240">
        <f t="shared" si="2"/>
        <v>536.80276119402981</v>
      </c>
    </row>
    <row r="61" spans="1:8" ht="26.25" x14ac:dyDescent="0.25">
      <c r="A61" s="30" t="s">
        <v>47</v>
      </c>
      <c r="B61" s="30"/>
      <c r="C61" s="31" t="s">
        <v>48</v>
      </c>
      <c r="D61" s="72">
        <f>D62</f>
        <v>81.3</v>
      </c>
      <c r="E61" s="72">
        <f t="shared" ref="E61:F61" si="17">E62</f>
        <v>81.3</v>
      </c>
      <c r="F61" s="72">
        <f t="shared" si="17"/>
        <v>81.3</v>
      </c>
      <c r="G61" s="244">
        <f t="shared" si="1"/>
        <v>100</v>
      </c>
      <c r="H61" s="244">
        <f t="shared" si="2"/>
        <v>100</v>
      </c>
    </row>
    <row r="62" spans="1:8" ht="64.5" x14ac:dyDescent="0.25">
      <c r="A62" s="32" t="s">
        <v>49</v>
      </c>
      <c r="B62" s="35"/>
      <c r="C62" s="33" t="s">
        <v>636</v>
      </c>
      <c r="D62" s="68">
        <f>D63+D65</f>
        <v>81.3</v>
      </c>
      <c r="E62" s="68">
        <f t="shared" ref="E62:F62" si="18">E63+E65</f>
        <v>81.3</v>
      </c>
      <c r="F62" s="68">
        <f t="shared" si="18"/>
        <v>81.3</v>
      </c>
      <c r="G62" s="245">
        <f t="shared" si="1"/>
        <v>100</v>
      </c>
      <c r="H62" s="245">
        <f t="shared" si="2"/>
        <v>100</v>
      </c>
    </row>
    <row r="63" spans="1:8" x14ac:dyDescent="0.25">
      <c r="A63" s="6" t="s">
        <v>51</v>
      </c>
      <c r="B63" s="6"/>
      <c r="C63" s="8" t="s">
        <v>52</v>
      </c>
      <c r="D63" s="76">
        <f>D64</f>
        <v>50</v>
      </c>
      <c r="E63" s="76">
        <f t="shared" ref="E63:F63" si="19">E64</f>
        <v>50</v>
      </c>
      <c r="F63" s="76">
        <f t="shared" si="19"/>
        <v>50</v>
      </c>
      <c r="G63" s="240">
        <f t="shared" si="1"/>
        <v>100</v>
      </c>
      <c r="H63" s="240">
        <f t="shared" si="2"/>
        <v>100</v>
      </c>
    </row>
    <row r="64" spans="1:8" ht="26.25" x14ac:dyDescent="0.25">
      <c r="A64" s="6"/>
      <c r="B64" s="6" t="s">
        <v>272</v>
      </c>
      <c r="C64" s="3" t="s">
        <v>273</v>
      </c>
      <c r="D64" s="76">
        <v>50</v>
      </c>
      <c r="E64" s="76">
        <v>50</v>
      </c>
      <c r="F64" s="76">
        <v>50</v>
      </c>
      <c r="G64" s="240">
        <f t="shared" si="1"/>
        <v>100</v>
      </c>
      <c r="H64" s="240">
        <f t="shared" si="2"/>
        <v>100</v>
      </c>
    </row>
    <row r="65" spans="1:9" x14ac:dyDescent="0.25">
      <c r="A65" s="6" t="s">
        <v>53</v>
      </c>
      <c r="B65" s="6"/>
      <c r="C65" s="8" t="s">
        <v>54</v>
      </c>
      <c r="D65" s="76">
        <f>D66</f>
        <v>31.3</v>
      </c>
      <c r="E65" s="76">
        <f t="shared" ref="E65:F65" si="20">E66</f>
        <v>31.3</v>
      </c>
      <c r="F65" s="76">
        <f t="shared" si="20"/>
        <v>31.3</v>
      </c>
      <c r="G65" s="240">
        <f t="shared" si="1"/>
        <v>100</v>
      </c>
      <c r="H65" s="240">
        <f t="shared" si="2"/>
        <v>100</v>
      </c>
    </row>
    <row r="66" spans="1:9" ht="26.25" x14ac:dyDescent="0.25">
      <c r="A66" s="6"/>
      <c r="B66" s="6" t="s">
        <v>272</v>
      </c>
      <c r="C66" s="3" t="s">
        <v>273</v>
      </c>
      <c r="D66" s="76">
        <v>31.3</v>
      </c>
      <c r="E66" s="76">
        <v>31.3</v>
      </c>
      <c r="F66" s="76">
        <v>31.3</v>
      </c>
      <c r="G66" s="240">
        <f t="shared" si="1"/>
        <v>100</v>
      </c>
      <c r="H66" s="240">
        <f t="shared" si="2"/>
        <v>100</v>
      </c>
    </row>
    <row r="67" spans="1:9" ht="26.25" x14ac:dyDescent="0.25">
      <c r="A67" s="28" t="s">
        <v>55</v>
      </c>
      <c r="B67" s="28"/>
      <c r="C67" s="36" t="s">
        <v>503</v>
      </c>
      <c r="D67" s="69">
        <f>D68+D81+D126+D142+D152+D169+D181</f>
        <v>517433.15719000006</v>
      </c>
      <c r="E67" s="69">
        <f>E68+E81+E126+E142+E152+E169+E181+E185</f>
        <v>605927.79977000016</v>
      </c>
      <c r="F67" s="69">
        <f>F68+F81+F126+F142+F152+F169+F181+F185</f>
        <v>591206.59768000012</v>
      </c>
      <c r="G67" s="477">
        <f t="shared" si="1"/>
        <v>97.570469271159382</v>
      </c>
      <c r="H67" s="477">
        <f t="shared" si="2"/>
        <v>117.10262308287002</v>
      </c>
      <c r="I67" s="482"/>
    </row>
    <row r="68" spans="1:9" x14ac:dyDescent="0.25">
      <c r="A68" s="30" t="s">
        <v>57</v>
      </c>
      <c r="B68" s="30"/>
      <c r="C68" s="31" t="s">
        <v>58</v>
      </c>
      <c r="D68" s="72">
        <f t="shared" ref="D68:F68" si="21">D69</f>
        <v>109526.99900000001</v>
      </c>
      <c r="E68" s="72">
        <f t="shared" si="21"/>
        <v>123418.11460000002</v>
      </c>
      <c r="F68" s="72">
        <f t="shared" si="21"/>
        <v>118822.90932999999</v>
      </c>
      <c r="G68" s="244">
        <f t="shared" si="1"/>
        <v>96.276717332060088</v>
      </c>
      <c r="H68" s="244">
        <f t="shared" si="2"/>
        <v>112.68282316399447</v>
      </c>
    </row>
    <row r="69" spans="1:9" ht="39" x14ac:dyDescent="0.25">
      <c r="A69" s="32" t="s">
        <v>59</v>
      </c>
      <c r="B69" s="32"/>
      <c r="C69" s="33" t="s">
        <v>60</v>
      </c>
      <c r="D69" s="68">
        <f>D70+D77+D79+D72+D75</f>
        <v>109526.99900000001</v>
      </c>
      <c r="E69" s="68">
        <f>E70+E77+E79+E72+E75</f>
        <v>123418.11460000002</v>
      </c>
      <c r="F69" s="68">
        <f>F70+F77+F79+F72+F75</f>
        <v>118822.90932999999</v>
      </c>
      <c r="G69" s="245">
        <f t="shared" si="1"/>
        <v>96.276717332060088</v>
      </c>
      <c r="H69" s="245">
        <f t="shared" si="2"/>
        <v>112.68282316399447</v>
      </c>
    </row>
    <row r="70" spans="1:9" ht="26.25" x14ac:dyDescent="0.25">
      <c r="A70" s="6" t="s">
        <v>61</v>
      </c>
      <c r="B70" s="12"/>
      <c r="C70" s="3" t="s">
        <v>62</v>
      </c>
      <c r="D70" s="67">
        <f>D71</f>
        <v>25300.7</v>
      </c>
      <c r="E70" s="67">
        <f t="shared" ref="E70:F70" si="22">E71</f>
        <v>25300.690600000002</v>
      </c>
      <c r="F70" s="67">
        <f t="shared" si="22"/>
        <v>25300.690600000002</v>
      </c>
      <c r="G70" s="246">
        <f t="shared" si="1"/>
        <v>100</v>
      </c>
      <c r="H70" s="246">
        <f t="shared" si="2"/>
        <v>99.99996284687775</v>
      </c>
    </row>
    <row r="71" spans="1:9" ht="26.25" x14ac:dyDescent="0.25">
      <c r="A71" s="6"/>
      <c r="B71" s="6" t="s">
        <v>449</v>
      </c>
      <c r="C71" s="3" t="s">
        <v>450</v>
      </c>
      <c r="D71" s="67">
        <f>27939.6-265.6-2373.3</f>
        <v>25300.7</v>
      </c>
      <c r="E71" s="67">
        <v>25300.690600000002</v>
      </c>
      <c r="F71" s="67">
        <v>25300.690600000002</v>
      </c>
      <c r="G71" s="246">
        <f t="shared" si="1"/>
        <v>100</v>
      </c>
      <c r="H71" s="246">
        <f t="shared" si="2"/>
        <v>99.99996284687775</v>
      </c>
    </row>
    <row r="72" spans="1:9" ht="51.75" x14ac:dyDescent="0.25">
      <c r="A72" s="6" t="s">
        <v>63</v>
      </c>
      <c r="B72" s="6"/>
      <c r="C72" s="3" t="s">
        <v>64</v>
      </c>
      <c r="D72" s="67">
        <f>D74</f>
        <v>79091.349000000002</v>
      </c>
      <c r="E72" s="77">
        <v>94165.649000000005</v>
      </c>
      <c r="F72" s="77">
        <f>F74</f>
        <v>89717.071729999996</v>
      </c>
      <c r="G72" s="246">
        <f t="shared" si="1"/>
        <v>95.275796092054748</v>
      </c>
      <c r="H72" s="246">
        <f t="shared" si="2"/>
        <v>119.0593537606749</v>
      </c>
      <c r="I72" s="482">
        <f>SUM(E72-F72)</f>
        <v>4448.5772700000089</v>
      </c>
    </row>
    <row r="73" spans="1:9" x14ac:dyDescent="0.25">
      <c r="A73" s="6"/>
      <c r="B73" s="6" t="s">
        <v>408</v>
      </c>
      <c r="C73" s="3" t="s">
        <v>409</v>
      </c>
      <c r="D73" s="67"/>
      <c r="E73" s="264">
        <v>22.197399999999998</v>
      </c>
      <c r="F73" s="67">
        <v>0</v>
      </c>
      <c r="G73" s="246">
        <f t="shared" ref="G73" si="23">F73/E73*100</f>
        <v>0</v>
      </c>
      <c r="H73" s="246"/>
      <c r="I73" s="482"/>
    </row>
    <row r="74" spans="1:9" ht="26.25" x14ac:dyDescent="0.25">
      <c r="A74" s="6"/>
      <c r="B74" s="6" t="s">
        <v>449</v>
      </c>
      <c r="C74" s="3" t="s">
        <v>450</v>
      </c>
      <c r="D74" s="77">
        <v>79091.349000000002</v>
      </c>
      <c r="E74" s="77">
        <f>E72-E73</f>
        <v>94143.4516</v>
      </c>
      <c r="F74" s="77">
        <v>89717.071729999996</v>
      </c>
      <c r="G74" s="248">
        <f t="shared" si="1"/>
        <v>95.298260479330025</v>
      </c>
      <c r="H74" s="248">
        <f t="shared" si="2"/>
        <v>119.03128823861633</v>
      </c>
    </row>
    <row r="75" spans="1:9" ht="51.75" x14ac:dyDescent="0.25">
      <c r="A75" s="6" t="s">
        <v>65</v>
      </c>
      <c r="B75" s="6"/>
      <c r="C75" s="3" t="s">
        <v>66</v>
      </c>
      <c r="D75" s="67">
        <v>3972.1</v>
      </c>
      <c r="E75" s="67">
        <f>E76</f>
        <v>2788.9250000000002</v>
      </c>
      <c r="F75" s="67">
        <f>F76</f>
        <v>2725.84503</v>
      </c>
      <c r="G75" s="246">
        <f t="shared" ref="G75:G138" si="24">F75/E75*100</f>
        <v>97.738197692659341</v>
      </c>
      <c r="H75" s="246">
        <f t="shared" ref="H75:H138" si="25">E75/D75*100</f>
        <v>70.212859696382267</v>
      </c>
      <c r="I75" s="482">
        <f>SUM(E75-F75)</f>
        <v>63.07997000000023</v>
      </c>
    </row>
    <row r="76" spans="1:9" ht="26.25" x14ac:dyDescent="0.25">
      <c r="A76" s="6"/>
      <c r="B76" s="6" t="s">
        <v>449</v>
      </c>
      <c r="C76" s="3" t="s">
        <v>450</v>
      </c>
      <c r="D76" s="67">
        <v>3972.1</v>
      </c>
      <c r="E76" s="67">
        <v>2788.9250000000002</v>
      </c>
      <c r="F76" s="67">
        <v>2725.84503</v>
      </c>
      <c r="G76" s="246">
        <f t="shared" si="24"/>
        <v>97.738197692659341</v>
      </c>
      <c r="H76" s="246">
        <f t="shared" si="25"/>
        <v>70.212859696382267</v>
      </c>
    </row>
    <row r="77" spans="1:9" ht="26.25" x14ac:dyDescent="0.25">
      <c r="A77" s="6" t="s">
        <v>67</v>
      </c>
      <c r="B77" s="6"/>
      <c r="C77" s="3" t="s">
        <v>68</v>
      </c>
      <c r="D77" s="67">
        <f>D78</f>
        <v>1038.95</v>
      </c>
      <c r="E77" s="67">
        <f t="shared" ref="E77:F77" si="26">E78</f>
        <v>1038.95</v>
      </c>
      <c r="F77" s="67">
        <f t="shared" si="26"/>
        <v>967.89101000000005</v>
      </c>
      <c r="G77" s="246">
        <f t="shared" si="24"/>
        <v>93.160499542807642</v>
      </c>
      <c r="H77" s="246">
        <f t="shared" si="25"/>
        <v>100</v>
      </c>
    </row>
    <row r="78" spans="1:9" ht="26.25" x14ac:dyDescent="0.25">
      <c r="A78" s="6"/>
      <c r="B78" s="6" t="s">
        <v>449</v>
      </c>
      <c r="C78" s="3" t="s">
        <v>450</v>
      </c>
      <c r="D78" s="67">
        <f>1170.3-131.35</f>
        <v>1038.95</v>
      </c>
      <c r="E78" s="67">
        <v>1038.95</v>
      </c>
      <c r="F78" s="67">
        <v>967.89101000000005</v>
      </c>
      <c r="G78" s="246">
        <f t="shared" si="24"/>
        <v>93.160499542807642</v>
      </c>
      <c r="H78" s="246">
        <f t="shared" si="25"/>
        <v>100</v>
      </c>
    </row>
    <row r="79" spans="1:9" ht="39" x14ac:dyDescent="0.25">
      <c r="A79" s="16" t="s">
        <v>69</v>
      </c>
      <c r="B79" s="6"/>
      <c r="C79" s="3" t="s">
        <v>70</v>
      </c>
      <c r="D79" s="67">
        <f>D80</f>
        <v>123.9</v>
      </c>
      <c r="E79" s="67">
        <f t="shared" ref="E79:F79" si="27">E80</f>
        <v>123.9</v>
      </c>
      <c r="F79" s="67">
        <f t="shared" si="27"/>
        <v>111.41096</v>
      </c>
      <c r="G79" s="246">
        <f t="shared" si="24"/>
        <v>89.920064568200161</v>
      </c>
      <c r="H79" s="246">
        <f t="shared" si="25"/>
        <v>100</v>
      </c>
    </row>
    <row r="80" spans="1:9" ht="26.25" x14ac:dyDescent="0.25">
      <c r="A80" s="16"/>
      <c r="B80" s="6" t="s">
        <v>449</v>
      </c>
      <c r="C80" s="3" t="s">
        <v>450</v>
      </c>
      <c r="D80" s="67">
        <v>123.9</v>
      </c>
      <c r="E80" s="67">
        <v>123.9</v>
      </c>
      <c r="F80" s="67">
        <v>111.41096</v>
      </c>
      <c r="G80" s="246">
        <f t="shared" si="24"/>
        <v>89.920064568200161</v>
      </c>
      <c r="H80" s="246">
        <f t="shared" si="25"/>
        <v>100</v>
      </c>
    </row>
    <row r="81" spans="1:9" ht="26.25" x14ac:dyDescent="0.25">
      <c r="A81" s="30" t="s">
        <v>71</v>
      </c>
      <c r="B81" s="30"/>
      <c r="C81" s="31" t="s">
        <v>72</v>
      </c>
      <c r="D81" s="72">
        <f>D82+D91+D118+D123</f>
        <v>322137.58796000003</v>
      </c>
      <c r="E81" s="72">
        <f>E82+E91+E118+E123</f>
        <v>395507.48434000002</v>
      </c>
      <c r="F81" s="72">
        <f>F82+F91+F118+F123</f>
        <v>386068.78631000005</v>
      </c>
      <c r="G81" s="244">
        <f t="shared" si="24"/>
        <v>97.613522271076434</v>
      </c>
      <c r="H81" s="244">
        <f t="shared" si="25"/>
        <v>122.77595012883451</v>
      </c>
    </row>
    <row r="82" spans="1:9" ht="39" x14ac:dyDescent="0.25">
      <c r="A82" s="32" t="s">
        <v>73</v>
      </c>
      <c r="B82" s="32"/>
      <c r="C82" s="33" t="s">
        <v>74</v>
      </c>
      <c r="D82" s="68">
        <f t="shared" ref="D82:F82" si="28">D83+D85+D87</f>
        <v>234637.11620000002</v>
      </c>
      <c r="E82" s="68">
        <f t="shared" si="28"/>
        <v>290053.98190000001</v>
      </c>
      <c r="F82" s="68">
        <f t="shared" si="28"/>
        <v>285036.64782000001</v>
      </c>
      <c r="G82" s="245">
        <f t="shared" si="24"/>
        <v>98.270206791462073</v>
      </c>
      <c r="H82" s="245">
        <f t="shared" si="25"/>
        <v>123.61811575145842</v>
      </c>
    </row>
    <row r="83" spans="1:9" ht="26.25" x14ac:dyDescent="0.25">
      <c r="A83" s="6" t="s">
        <v>75</v>
      </c>
      <c r="B83" s="12"/>
      <c r="C83" s="3" t="s">
        <v>76</v>
      </c>
      <c r="D83" s="67">
        <f>D84</f>
        <v>33164.1</v>
      </c>
      <c r="E83" s="67">
        <f t="shared" ref="E83:F83" si="29">E84</f>
        <v>33164.065699999999</v>
      </c>
      <c r="F83" s="67">
        <f t="shared" si="29"/>
        <v>33164.065699999999</v>
      </c>
      <c r="G83" s="246">
        <f t="shared" si="24"/>
        <v>100</v>
      </c>
      <c r="H83" s="246">
        <f t="shared" si="25"/>
        <v>99.999896574910835</v>
      </c>
    </row>
    <row r="84" spans="1:9" ht="26.25" x14ac:dyDescent="0.25">
      <c r="A84" s="6"/>
      <c r="B84" s="6" t="s">
        <v>449</v>
      </c>
      <c r="C84" s="3" t="s">
        <v>450</v>
      </c>
      <c r="D84" s="67">
        <f>34653.7-598-891.6</f>
        <v>33164.1</v>
      </c>
      <c r="E84" s="67">
        <v>33164.065699999999</v>
      </c>
      <c r="F84" s="67">
        <v>33164.065699999999</v>
      </c>
      <c r="G84" s="246">
        <f t="shared" si="24"/>
        <v>100</v>
      </c>
      <c r="H84" s="246">
        <f t="shared" si="25"/>
        <v>99.999896574910835</v>
      </c>
    </row>
    <row r="85" spans="1:9" ht="51.75" x14ac:dyDescent="0.25">
      <c r="A85" s="6" t="s">
        <v>77</v>
      </c>
      <c r="B85" s="6"/>
      <c r="C85" s="3" t="s">
        <v>78</v>
      </c>
      <c r="D85" s="67">
        <f t="shared" ref="D85:F85" si="30">D86</f>
        <v>193754.41620000001</v>
      </c>
      <c r="E85" s="67">
        <f t="shared" si="30"/>
        <v>247736.51620000001</v>
      </c>
      <c r="F85" s="67">
        <f t="shared" si="30"/>
        <v>242719.18212000001</v>
      </c>
      <c r="G85" s="246">
        <f t="shared" si="24"/>
        <v>97.974729701959049</v>
      </c>
      <c r="H85" s="246">
        <f t="shared" si="25"/>
        <v>127.86109398625413</v>
      </c>
      <c r="I85" s="482">
        <f>SUM(E85-F85)</f>
        <v>5017.3340800000005</v>
      </c>
    </row>
    <row r="86" spans="1:9" ht="26.25" x14ac:dyDescent="0.25">
      <c r="A86" s="6"/>
      <c r="B86" s="6" t="s">
        <v>449</v>
      </c>
      <c r="C86" s="3" t="s">
        <v>450</v>
      </c>
      <c r="D86" s="77">
        <v>193754.41620000001</v>
      </c>
      <c r="E86" s="77">
        <v>247736.51620000001</v>
      </c>
      <c r="F86" s="77">
        <v>242719.18212000001</v>
      </c>
      <c r="G86" s="248">
        <f t="shared" si="24"/>
        <v>97.974729701959049</v>
      </c>
      <c r="H86" s="248">
        <f t="shared" si="25"/>
        <v>127.86109398625413</v>
      </c>
    </row>
    <row r="87" spans="1:9" ht="77.25" x14ac:dyDescent="0.25">
      <c r="A87" s="6" t="s">
        <v>79</v>
      </c>
      <c r="B87" s="6"/>
      <c r="C87" s="3" t="s">
        <v>80</v>
      </c>
      <c r="D87" s="76">
        <f>D89+D90</f>
        <v>7718.6</v>
      </c>
      <c r="E87" s="76">
        <f t="shared" ref="E87:F87" si="31">E89+E90</f>
        <v>9153.4</v>
      </c>
      <c r="F87" s="76">
        <f t="shared" si="31"/>
        <v>9153.4</v>
      </c>
      <c r="G87" s="240">
        <f t="shared" si="24"/>
        <v>100</v>
      </c>
      <c r="H87" s="240">
        <f t="shared" si="25"/>
        <v>118.588863265359</v>
      </c>
    </row>
    <row r="88" spans="1:9" ht="26.25" x14ac:dyDescent="0.25">
      <c r="A88" s="6"/>
      <c r="B88" s="6" t="s">
        <v>449</v>
      </c>
      <c r="C88" s="3" t="s">
        <v>450</v>
      </c>
      <c r="D88" s="76">
        <f>SUM(D89:D90)</f>
        <v>7718.6</v>
      </c>
      <c r="E88" s="76">
        <f t="shared" ref="E88:F88" si="32">SUM(E89:E90)</f>
        <v>9153.4</v>
      </c>
      <c r="F88" s="76">
        <f t="shared" si="32"/>
        <v>9153.4</v>
      </c>
      <c r="G88" s="240">
        <f t="shared" si="24"/>
        <v>100</v>
      </c>
      <c r="H88" s="240">
        <f t="shared" si="25"/>
        <v>118.588863265359</v>
      </c>
    </row>
    <row r="89" spans="1:9" x14ac:dyDescent="0.25">
      <c r="A89" s="6"/>
      <c r="B89" s="6"/>
      <c r="C89" s="3" t="s">
        <v>81</v>
      </c>
      <c r="D89" s="67">
        <v>7032.1</v>
      </c>
      <c r="E89" s="67">
        <v>8466.9</v>
      </c>
      <c r="F89" s="67">
        <v>8466.9</v>
      </c>
      <c r="G89" s="246">
        <f t="shared" si="24"/>
        <v>100</v>
      </c>
      <c r="H89" s="246">
        <f t="shared" si="25"/>
        <v>120.40357787858534</v>
      </c>
    </row>
    <row r="90" spans="1:9" x14ac:dyDescent="0.25">
      <c r="A90" s="6"/>
      <c r="B90" s="6"/>
      <c r="C90" s="3" t="s">
        <v>82</v>
      </c>
      <c r="D90" s="77">
        <f>570.2+116.3</f>
        <v>686.5</v>
      </c>
      <c r="E90" s="77">
        <f t="shared" ref="E90:F90" si="33">570.2+116.3</f>
        <v>686.5</v>
      </c>
      <c r="F90" s="77">
        <f t="shared" si="33"/>
        <v>686.5</v>
      </c>
      <c r="G90" s="248">
        <f t="shared" si="24"/>
        <v>100</v>
      </c>
      <c r="H90" s="248">
        <f t="shared" si="25"/>
        <v>100</v>
      </c>
    </row>
    <row r="91" spans="1:9" ht="39" x14ac:dyDescent="0.25">
      <c r="A91" s="32" t="s">
        <v>83</v>
      </c>
      <c r="B91" s="32"/>
      <c r="C91" s="33" t="s">
        <v>84</v>
      </c>
      <c r="D91" s="68">
        <f>D92+D94+D96+D98+D104+D108+D100+D102+D110</f>
        <v>46402.395270000001</v>
      </c>
      <c r="E91" s="68">
        <f>E92+E94+E96+E98+E104+E108+E100+E102+E110+E114+E106+E116</f>
        <v>49228.295270000002</v>
      </c>
      <c r="F91" s="68">
        <f>F92+F94+F96+F98+F104+F108+F100+F102+F110+F114+F106+F116</f>
        <v>46737.293900000004</v>
      </c>
      <c r="G91" s="245">
        <f t="shared" si="24"/>
        <v>94.939899185341019</v>
      </c>
      <c r="H91" s="245">
        <f t="shared" si="25"/>
        <v>106.08998734560369</v>
      </c>
    </row>
    <row r="92" spans="1:9" ht="26.25" x14ac:dyDescent="0.25">
      <c r="A92" s="6" t="s">
        <v>85</v>
      </c>
      <c r="B92" s="6"/>
      <c r="C92" s="3" t="s">
        <v>86</v>
      </c>
      <c r="D92" s="67">
        <f>D93</f>
        <v>6825.8</v>
      </c>
      <c r="E92" s="67">
        <f t="shared" ref="E92:F92" si="34">E93</f>
        <v>6825.8</v>
      </c>
      <c r="F92" s="67">
        <f t="shared" si="34"/>
        <v>6453.82636</v>
      </c>
      <c r="G92" s="246">
        <f t="shared" si="24"/>
        <v>94.550475548653637</v>
      </c>
      <c r="H92" s="246">
        <f t="shared" si="25"/>
        <v>100</v>
      </c>
    </row>
    <row r="93" spans="1:9" ht="26.25" x14ac:dyDescent="0.25">
      <c r="A93" s="6"/>
      <c r="B93" s="6" t="s">
        <v>449</v>
      </c>
      <c r="C93" s="3" t="s">
        <v>450</v>
      </c>
      <c r="D93" s="77">
        <v>6825.8</v>
      </c>
      <c r="E93" s="77">
        <v>6825.8</v>
      </c>
      <c r="F93" s="77">
        <v>6453.82636</v>
      </c>
      <c r="G93" s="248">
        <f t="shared" si="24"/>
        <v>94.550475548653637</v>
      </c>
      <c r="H93" s="248">
        <f t="shared" si="25"/>
        <v>100</v>
      </c>
    </row>
    <row r="94" spans="1:9" ht="39" x14ac:dyDescent="0.25">
      <c r="A94" s="6" t="s">
        <v>87</v>
      </c>
      <c r="B94" s="6"/>
      <c r="C94" s="3" t="s">
        <v>70</v>
      </c>
      <c r="D94" s="67">
        <f>D95</f>
        <v>1550.4952699999999</v>
      </c>
      <c r="E94" s="67">
        <f t="shared" ref="E94:F94" si="35">E95</f>
        <v>1550.4952699999999</v>
      </c>
      <c r="F94" s="67">
        <f t="shared" si="35"/>
        <v>1401.4942000000001</v>
      </c>
      <c r="G94" s="246">
        <f t="shared" si="24"/>
        <v>90.390098384498799</v>
      </c>
      <c r="H94" s="246">
        <f t="shared" si="25"/>
        <v>100</v>
      </c>
    </row>
    <row r="95" spans="1:9" ht="26.25" x14ac:dyDescent="0.25">
      <c r="A95" s="6"/>
      <c r="B95" s="6" t="s">
        <v>449</v>
      </c>
      <c r="C95" s="3" t="s">
        <v>450</v>
      </c>
      <c r="D95" s="67">
        <v>1550.4952699999999</v>
      </c>
      <c r="E95" s="67">
        <v>1550.4952699999999</v>
      </c>
      <c r="F95" s="67">
        <v>1401.4942000000001</v>
      </c>
      <c r="G95" s="246">
        <f t="shared" si="24"/>
        <v>90.390098384498799</v>
      </c>
      <c r="H95" s="246">
        <f t="shared" si="25"/>
        <v>100</v>
      </c>
    </row>
    <row r="96" spans="1:9" ht="39" x14ac:dyDescent="0.25">
      <c r="A96" s="6" t="s">
        <v>88</v>
      </c>
      <c r="B96" s="6"/>
      <c r="C96" s="3" t="s">
        <v>89</v>
      </c>
      <c r="D96" s="67">
        <f>D97</f>
        <v>188.6</v>
      </c>
      <c r="E96" s="67">
        <f t="shared" ref="E96:F96" si="36">E97</f>
        <v>188.6</v>
      </c>
      <c r="F96" s="67">
        <f t="shared" si="36"/>
        <v>188.6</v>
      </c>
      <c r="G96" s="246">
        <f t="shared" si="24"/>
        <v>100</v>
      </c>
      <c r="H96" s="246">
        <f t="shared" si="25"/>
        <v>100</v>
      </c>
    </row>
    <row r="97" spans="1:9" ht="26.25" x14ac:dyDescent="0.25">
      <c r="A97" s="6"/>
      <c r="B97" s="6" t="s">
        <v>449</v>
      </c>
      <c r="C97" s="3" t="s">
        <v>450</v>
      </c>
      <c r="D97" s="67">
        <v>188.6</v>
      </c>
      <c r="E97" s="67">
        <v>188.6</v>
      </c>
      <c r="F97" s="67">
        <v>188.6</v>
      </c>
      <c r="G97" s="246">
        <f t="shared" si="24"/>
        <v>100</v>
      </c>
      <c r="H97" s="246">
        <f t="shared" si="25"/>
        <v>100</v>
      </c>
    </row>
    <row r="98" spans="1:9" ht="26.25" x14ac:dyDescent="0.25">
      <c r="A98" s="6" t="s">
        <v>90</v>
      </c>
      <c r="B98" s="6"/>
      <c r="C98" s="3" t="s">
        <v>91</v>
      </c>
      <c r="D98" s="67">
        <f>D99</f>
        <v>185.60000000000002</v>
      </c>
      <c r="E98" s="67">
        <f t="shared" ref="E98:F98" si="37">E99</f>
        <v>185.60000000000002</v>
      </c>
      <c r="F98" s="67">
        <f t="shared" si="37"/>
        <v>185.60000000000002</v>
      </c>
      <c r="G98" s="246">
        <f t="shared" si="24"/>
        <v>100</v>
      </c>
      <c r="H98" s="246">
        <f t="shared" si="25"/>
        <v>100</v>
      </c>
    </row>
    <row r="99" spans="1:9" ht="26.25" x14ac:dyDescent="0.25">
      <c r="A99" s="6"/>
      <c r="B99" s="6" t="s">
        <v>449</v>
      </c>
      <c r="C99" s="3" t="s">
        <v>450</v>
      </c>
      <c r="D99" s="67">
        <f>271.3-85.7</f>
        <v>185.60000000000002</v>
      </c>
      <c r="E99" s="67">
        <f t="shared" ref="E99:F99" si="38">271.3-85.7</f>
        <v>185.60000000000002</v>
      </c>
      <c r="F99" s="67">
        <f t="shared" si="38"/>
        <v>185.60000000000002</v>
      </c>
      <c r="G99" s="246">
        <f t="shared" si="24"/>
        <v>100</v>
      </c>
      <c r="H99" s="246">
        <f t="shared" si="25"/>
        <v>100</v>
      </c>
    </row>
    <row r="100" spans="1:9" ht="25.5" x14ac:dyDescent="0.25">
      <c r="A100" s="37" t="s">
        <v>92</v>
      </c>
      <c r="B100" s="6"/>
      <c r="C100" s="1" t="s">
        <v>637</v>
      </c>
      <c r="D100" s="67">
        <f>D101</f>
        <v>3993</v>
      </c>
      <c r="E100" s="67">
        <f t="shared" ref="E100:F100" si="39">E101</f>
        <v>3326.5105400000002</v>
      </c>
      <c r="F100" s="67">
        <f t="shared" si="39"/>
        <v>3000.6069699999998</v>
      </c>
      <c r="G100" s="246">
        <f t="shared" si="24"/>
        <v>90.202839700005867</v>
      </c>
      <c r="H100" s="246">
        <f t="shared" si="25"/>
        <v>83.308553468569997</v>
      </c>
      <c r="I100" s="482">
        <f>SUM(E100-F100)</f>
        <v>325.9035700000004</v>
      </c>
    </row>
    <row r="101" spans="1:9" ht="26.25" x14ac:dyDescent="0.25">
      <c r="A101" s="37"/>
      <c r="B101" s="6" t="s">
        <v>449</v>
      </c>
      <c r="C101" s="3" t="s">
        <v>450</v>
      </c>
      <c r="D101" s="67">
        <v>3993</v>
      </c>
      <c r="E101" s="67">
        <v>3326.5105400000002</v>
      </c>
      <c r="F101" s="67">
        <v>3000.6069699999998</v>
      </c>
      <c r="G101" s="246">
        <f t="shared" si="24"/>
        <v>90.202839700005867</v>
      </c>
      <c r="H101" s="246">
        <f t="shared" si="25"/>
        <v>83.308553468569997</v>
      </c>
    </row>
    <row r="102" spans="1:9" ht="26.25" x14ac:dyDescent="0.25">
      <c r="A102" s="37" t="s">
        <v>93</v>
      </c>
      <c r="B102" s="6"/>
      <c r="C102" s="3" t="s">
        <v>638</v>
      </c>
      <c r="D102" s="67">
        <f>D103</f>
        <v>5123.5</v>
      </c>
      <c r="E102" s="67">
        <f t="shared" ref="E102:F102" si="40">E103</f>
        <v>2453.1894600000001</v>
      </c>
      <c r="F102" s="67">
        <f t="shared" si="40"/>
        <v>2173.5312699999999</v>
      </c>
      <c r="G102" s="246">
        <f t="shared" si="24"/>
        <v>88.600220465646387</v>
      </c>
      <c r="H102" s="246">
        <f t="shared" si="25"/>
        <v>47.881125402556847</v>
      </c>
      <c r="I102" s="482">
        <f>SUM(E102-F102)</f>
        <v>279.6581900000001</v>
      </c>
    </row>
    <row r="103" spans="1:9" ht="26.25" x14ac:dyDescent="0.25">
      <c r="A103" s="37"/>
      <c r="B103" s="6" t="s">
        <v>449</v>
      </c>
      <c r="C103" s="3" t="s">
        <v>450</v>
      </c>
      <c r="D103" s="67">
        <v>5123.5</v>
      </c>
      <c r="E103" s="67">
        <v>2453.1894600000001</v>
      </c>
      <c r="F103" s="67">
        <v>2173.5312699999999</v>
      </c>
      <c r="G103" s="246">
        <f t="shared" si="24"/>
        <v>88.600220465646387</v>
      </c>
      <c r="H103" s="246">
        <f t="shared" si="25"/>
        <v>47.881125402556847</v>
      </c>
    </row>
    <row r="104" spans="1:9" ht="39" x14ac:dyDescent="0.25">
      <c r="A104" s="6" t="s">
        <v>94</v>
      </c>
      <c r="B104" s="6"/>
      <c r="C104" s="3" t="s">
        <v>95</v>
      </c>
      <c r="D104" s="67">
        <f>D105</f>
        <v>12128.1</v>
      </c>
      <c r="E104" s="67"/>
      <c r="F104" s="67"/>
      <c r="G104" s="246" t="e">
        <f t="shared" si="24"/>
        <v>#DIV/0!</v>
      </c>
      <c r="H104" s="246">
        <f t="shared" si="25"/>
        <v>0</v>
      </c>
    </row>
    <row r="105" spans="1:9" ht="26.25" x14ac:dyDescent="0.25">
      <c r="A105" s="6"/>
      <c r="B105" s="6" t="s">
        <v>449</v>
      </c>
      <c r="C105" s="3" t="s">
        <v>450</v>
      </c>
      <c r="D105" s="67">
        <v>12128.1</v>
      </c>
      <c r="E105" s="67"/>
      <c r="F105" s="67"/>
      <c r="G105" s="246"/>
      <c r="H105" s="246">
        <f t="shared" si="25"/>
        <v>0</v>
      </c>
    </row>
    <row r="106" spans="1:9" ht="39" x14ac:dyDescent="0.25">
      <c r="A106" s="6" t="s">
        <v>854</v>
      </c>
      <c r="B106" s="6"/>
      <c r="C106" s="3" t="s">
        <v>95</v>
      </c>
      <c r="D106" s="67"/>
      <c r="E106" s="67">
        <f t="shared" ref="E106" si="41">E107</f>
        <v>19819.400000000001</v>
      </c>
      <c r="F106" s="67">
        <f t="shared" ref="F106" si="42">F107</f>
        <v>19723.25879</v>
      </c>
      <c r="G106" s="246">
        <f t="shared" si="24"/>
        <v>99.514913619988491</v>
      </c>
      <c r="H106" s="246"/>
      <c r="I106" s="482">
        <f>SUM(E106-F106)</f>
        <v>96.141210000001593</v>
      </c>
    </row>
    <row r="107" spans="1:9" ht="26.25" x14ac:dyDescent="0.25">
      <c r="A107" s="6"/>
      <c r="B107" s="6" t="s">
        <v>449</v>
      </c>
      <c r="C107" s="3" t="s">
        <v>450</v>
      </c>
      <c r="D107" s="67"/>
      <c r="E107" s="67">
        <v>19819.400000000001</v>
      </c>
      <c r="F107" s="67">
        <v>19723.25879</v>
      </c>
      <c r="G107" s="246">
        <f t="shared" si="24"/>
        <v>99.514913619988491</v>
      </c>
      <c r="H107" s="246"/>
    </row>
    <row r="108" spans="1:9" ht="39" x14ac:dyDescent="0.25">
      <c r="A108" s="6" t="s">
        <v>96</v>
      </c>
      <c r="B108" s="6"/>
      <c r="C108" s="3" t="s">
        <v>416</v>
      </c>
      <c r="D108" s="67">
        <f>D109</f>
        <v>13563.3</v>
      </c>
      <c r="E108" s="67">
        <f t="shared" ref="E108:F108" si="43">E109</f>
        <v>11620.9</v>
      </c>
      <c r="F108" s="67">
        <f t="shared" si="43"/>
        <v>10426.138000000001</v>
      </c>
      <c r="G108" s="246">
        <f t="shared" si="24"/>
        <v>89.718851379841496</v>
      </c>
      <c r="H108" s="246">
        <f t="shared" si="25"/>
        <v>85.679001422957541</v>
      </c>
      <c r="I108" s="482">
        <f>SUM(E108-F108)</f>
        <v>1194.7619999999988</v>
      </c>
    </row>
    <row r="109" spans="1:9" ht="26.25" x14ac:dyDescent="0.25">
      <c r="A109" s="6"/>
      <c r="B109" s="6" t="s">
        <v>449</v>
      </c>
      <c r="C109" s="3" t="s">
        <v>450</v>
      </c>
      <c r="D109" s="67">
        <v>13563.3</v>
      </c>
      <c r="E109" s="67">
        <v>11620.9</v>
      </c>
      <c r="F109" s="67">
        <v>10426.138000000001</v>
      </c>
      <c r="G109" s="246">
        <f t="shared" si="24"/>
        <v>89.718851379841496</v>
      </c>
      <c r="H109" s="246">
        <f t="shared" si="25"/>
        <v>85.679001422957541</v>
      </c>
    </row>
    <row r="110" spans="1:9" ht="26.25" x14ac:dyDescent="0.25">
      <c r="A110" s="6" t="s">
        <v>478</v>
      </c>
      <c r="B110" s="6"/>
      <c r="C110" s="3" t="s">
        <v>462</v>
      </c>
      <c r="D110" s="67">
        <f>D111</f>
        <v>2844</v>
      </c>
      <c r="E110" s="67">
        <f t="shared" ref="E110:F110" si="44">E111</f>
        <v>2844</v>
      </c>
      <c r="F110" s="67">
        <f t="shared" si="44"/>
        <v>2844</v>
      </c>
      <c r="G110" s="246">
        <f t="shared" si="24"/>
        <v>100</v>
      </c>
      <c r="H110" s="246">
        <f t="shared" si="25"/>
        <v>100</v>
      </c>
    </row>
    <row r="111" spans="1:9" ht="26.25" x14ac:dyDescent="0.25">
      <c r="A111" s="6"/>
      <c r="B111" s="6" t="s">
        <v>449</v>
      </c>
      <c r="C111" s="3" t="s">
        <v>450</v>
      </c>
      <c r="D111" s="67">
        <v>2844</v>
      </c>
      <c r="E111" s="67">
        <v>2844</v>
      </c>
      <c r="F111" s="67">
        <v>2844</v>
      </c>
      <c r="G111" s="246">
        <f t="shared" si="24"/>
        <v>100</v>
      </c>
      <c r="H111" s="246">
        <f t="shared" si="25"/>
        <v>100</v>
      </c>
    </row>
    <row r="112" spans="1:9" x14ac:dyDescent="0.25">
      <c r="A112" s="6"/>
      <c r="B112" s="6"/>
      <c r="C112" s="3" t="s">
        <v>81</v>
      </c>
      <c r="D112" s="67">
        <v>2133</v>
      </c>
      <c r="E112" s="67">
        <v>2133</v>
      </c>
      <c r="F112" s="67">
        <v>2133</v>
      </c>
      <c r="G112" s="246">
        <f t="shared" si="24"/>
        <v>100</v>
      </c>
      <c r="H112" s="246">
        <f t="shared" si="25"/>
        <v>100</v>
      </c>
    </row>
    <row r="113" spans="1:9" x14ac:dyDescent="0.25">
      <c r="A113" s="6"/>
      <c r="B113" s="6"/>
      <c r="C113" s="3" t="s">
        <v>82</v>
      </c>
      <c r="D113" s="67">
        <v>711</v>
      </c>
      <c r="E113" s="67">
        <v>711</v>
      </c>
      <c r="F113" s="67">
        <v>711</v>
      </c>
      <c r="G113" s="246">
        <f t="shared" si="24"/>
        <v>100</v>
      </c>
      <c r="H113" s="246">
        <f t="shared" si="25"/>
        <v>100</v>
      </c>
    </row>
    <row r="114" spans="1:9" ht="39" x14ac:dyDescent="0.25">
      <c r="A114" s="6" t="s">
        <v>850</v>
      </c>
      <c r="B114" s="12"/>
      <c r="C114" s="3" t="s">
        <v>851</v>
      </c>
      <c r="D114" s="71"/>
      <c r="E114" s="67">
        <f>E115</f>
        <v>324</v>
      </c>
      <c r="F114" s="67">
        <f>F115</f>
        <v>256.22582</v>
      </c>
      <c r="G114" s="246">
        <f t="shared" si="24"/>
        <v>79.082043209876545</v>
      </c>
      <c r="H114" s="246"/>
    </row>
    <row r="115" spans="1:9" ht="26.25" x14ac:dyDescent="0.25">
      <c r="A115" s="6"/>
      <c r="B115" s="6" t="s">
        <v>449</v>
      </c>
      <c r="C115" s="3" t="s">
        <v>450</v>
      </c>
      <c r="D115" s="67"/>
      <c r="E115" s="67">
        <v>324</v>
      </c>
      <c r="F115" s="67">
        <v>256.22582</v>
      </c>
      <c r="G115" s="246">
        <f t="shared" si="24"/>
        <v>79.082043209876545</v>
      </c>
      <c r="H115" s="246"/>
      <c r="I115" s="482">
        <f>SUM(E115-F115)</f>
        <v>67.774180000000001</v>
      </c>
    </row>
    <row r="116" spans="1:9" ht="51.75" x14ac:dyDescent="0.25">
      <c r="A116" s="6" t="s">
        <v>852</v>
      </c>
      <c r="B116" s="6"/>
      <c r="C116" s="3" t="s">
        <v>853</v>
      </c>
      <c r="D116" s="67"/>
      <c r="E116" s="67">
        <f>E117</f>
        <v>89.8</v>
      </c>
      <c r="F116" s="67">
        <f>F117</f>
        <v>84.01249</v>
      </c>
      <c r="G116" s="246">
        <f t="shared" si="24"/>
        <v>93.555111358574621</v>
      </c>
      <c r="H116" s="246"/>
      <c r="I116" s="482">
        <f>SUM(E116-F116)</f>
        <v>5.7875099999999975</v>
      </c>
    </row>
    <row r="117" spans="1:9" ht="26.25" x14ac:dyDescent="0.25">
      <c r="A117" s="6"/>
      <c r="B117" s="6" t="s">
        <v>449</v>
      </c>
      <c r="C117" s="3" t="s">
        <v>450</v>
      </c>
      <c r="D117" s="67"/>
      <c r="E117" s="67">
        <v>89.8</v>
      </c>
      <c r="F117" s="67">
        <v>84.01249</v>
      </c>
      <c r="G117" s="246">
        <f t="shared" si="24"/>
        <v>93.555111358574621</v>
      </c>
      <c r="H117" s="246"/>
    </row>
    <row r="118" spans="1:9" s="38" customFormat="1" ht="39" x14ac:dyDescent="0.25">
      <c r="A118" s="32" t="s">
        <v>97</v>
      </c>
      <c r="B118" s="32"/>
      <c r="C118" s="33" t="s">
        <v>98</v>
      </c>
      <c r="D118" s="68">
        <f>D119</f>
        <v>40669.593090000002</v>
      </c>
      <c r="E118" s="68">
        <f t="shared" ref="E118:F118" si="45">E119</f>
        <v>55796.723770000004</v>
      </c>
      <c r="F118" s="68">
        <f t="shared" si="45"/>
        <v>53866.361190000003</v>
      </c>
      <c r="G118" s="245">
        <f t="shared" si="24"/>
        <v>96.540365724774162</v>
      </c>
      <c r="H118" s="245">
        <f t="shared" si="25"/>
        <v>137.19518571657289</v>
      </c>
    </row>
    <row r="119" spans="1:9" s="38" customFormat="1" ht="25.5" x14ac:dyDescent="0.25">
      <c r="A119" s="6" t="s">
        <v>99</v>
      </c>
      <c r="B119" s="6"/>
      <c r="C119" s="2" t="s">
        <v>100</v>
      </c>
      <c r="D119" s="67">
        <f>D121+D122</f>
        <v>40669.593090000002</v>
      </c>
      <c r="E119" s="67">
        <f t="shared" ref="E119:F119" si="46">E121+E122</f>
        <v>55796.723770000004</v>
      </c>
      <c r="F119" s="67">
        <f t="shared" si="46"/>
        <v>53866.361190000003</v>
      </c>
      <c r="G119" s="246">
        <f t="shared" si="24"/>
        <v>96.540365724774162</v>
      </c>
      <c r="H119" s="246">
        <f t="shared" si="25"/>
        <v>137.19518571657289</v>
      </c>
    </row>
    <row r="120" spans="1:9" s="38" customFormat="1" ht="26.25" x14ac:dyDescent="0.25">
      <c r="A120" s="6"/>
      <c r="B120" s="22" t="s">
        <v>290</v>
      </c>
      <c r="C120" s="3" t="s">
        <v>291</v>
      </c>
      <c r="D120" s="67">
        <f>D121+D122</f>
        <v>40669.593090000002</v>
      </c>
      <c r="E120" s="67">
        <f t="shared" ref="E120:F120" si="47">E121+E122</f>
        <v>55796.723770000004</v>
      </c>
      <c r="F120" s="67">
        <f t="shared" si="47"/>
        <v>53866.361190000003</v>
      </c>
      <c r="G120" s="246">
        <f t="shared" si="24"/>
        <v>96.540365724774162</v>
      </c>
      <c r="H120" s="246">
        <f t="shared" si="25"/>
        <v>137.19518571657289</v>
      </c>
    </row>
    <row r="121" spans="1:9" x14ac:dyDescent="0.25">
      <c r="A121" s="6"/>
      <c r="B121" s="6"/>
      <c r="C121" s="3" t="s">
        <v>101</v>
      </c>
      <c r="D121" s="67">
        <v>30121.14</v>
      </c>
      <c r="E121" s="67">
        <v>45248.270680000001</v>
      </c>
      <c r="F121" s="67">
        <v>43317.908100000001</v>
      </c>
      <c r="G121" s="246">
        <f t="shared" si="24"/>
        <v>95.733842308247091</v>
      </c>
      <c r="H121" s="246">
        <f t="shared" si="25"/>
        <v>150.22097662970259</v>
      </c>
      <c r="I121" s="482">
        <f>SUM(E121-F121)</f>
        <v>1930.3625800000009</v>
      </c>
    </row>
    <row r="122" spans="1:9" x14ac:dyDescent="0.25">
      <c r="A122" s="6"/>
      <c r="B122" s="6"/>
      <c r="C122" s="3" t="s">
        <v>102</v>
      </c>
      <c r="D122" s="67">
        <f>10478.86+69.59309</f>
        <v>10548.453090000001</v>
      </c>
      <c r="E122" s="67">
        <v>10548.453090000001</v>
      </c>
      <c r="F122" s="67">
        <v>10548.453090000001</v>
      </c>
      <c r="G122" s="246">
        <f t="shared" si="24"/>
        <v>100</v>
      </c>
      <c r="H122" s="246">
        <f t="shared" si="25"/>
        <v>100</v>
      </c>
    </row>
    <row r="123" spans="1:9" ht="51" x14ac:dyDescent="0.25">
      <c r="A123" s="86" t="s">
        <v>491</v>
      </c>
      <c r="B123" s="14"/>
      <c r="C123" s="87" t="s">
        <v>639</v>
      </c>
      <c r="D123" s="68">
        <f t="shared" ref="D123:F124" si="48">D124</f>
        <v>428.48340000000002</v>
      </c>
      <c r="E123" s="68">
        <f t="shared" si="48"/>
        <v>428.48340000000002</v>
      </c>
      <c r="F123" s="68">
        <f t="shared" si="48"/>
        <v>428.48340000000002</v>
      </c>
      <c r="G123" s="245">
        <f t="shared" si="24"/>
        <v>100</v>
      </c>
      <c r="H123" s="245">
        <f t="shared" si="25"/>
        <v>100</v>
      </c>
    </row>
    <row r="124" spans="1:9" ht="51.75" x14ac:dyDescent="0.25">
      <c r="A124" s="85" t="s">
        <v>492</v>
      </c>
      <c r="B124" s="85"/>
      <c r="C124" s="3" t="s">
        <v>493</v>
      </c>
      <c r="D124" s="67">
        <f t="shared" si="48"/>
        <v>428.48340000000002</v>
      </c>
      <c r="E124" s="67">
        <f t="shared" si="48"/>
        <v>428.48340000000002</v>
      </c>
      <c r="F124" s="67">
        <f t="shared" si="48"/>
        <v>428.48340000000002</v>
      </c>
      <c r="G124" s="246">
        <f t="shared" si="24"/>
        <v>100</v>
      </c>
      <c r="H124" s="246">
        <f t="shared" si="25"/>
        <v>100</v>
      </c>
    </row>
    <row r="125" spans="1:9" ht="26.25" x14ac:dyDescent="0.25">
      <c r="A125" s="85"/>
      <c r="B125" s="85" t="s">
        <v>449</v>
      </c>
      <c r="C125" s="83" t="s">
        <v>450</v>
      </c>
      <c r="D125" s="67">
        <v>428.48340000000002</v>
      </c>
      <c r="E125" s="67">
        <v>428.48340000000002</v>
      </c>
      <c r="F125" s="67">
        <v>428.48340000000002</v>
      </c>
      <c r="G125" s="246">
        <f t="shared" si="24"/>
        <v>100</v>
      </c>
      <c r="H125" s="246">
        <f t="shared" si="25"/>
        <v>100</v>
      </c>
    </row>
    <row r="126" spans="1:9" x14ac:dyDescent="0.25">
      <c r="A126" s="30" t="s">
        <v>103</v>
      </c>
      <c r="B126" s="30"/>
      <c r="C126" s="31" t="s">
        <v>104</v>
      </c>
      <c r="D126" s="72">
        <f>D127</f>
        <v>36659.299999999996</v>
      </c>
      <c r="E126" s="72">
        <f t="shared" ref="E126:F126" si="49">E127</f>
        <v>36659.340099999994</v>
      </c>
      <c r="F126" s="72">
        <f t="shared" si="49"/>
        <v>36649.310039999997</v>
      </c>
      <c r="G126" s="244">
        <f t="shared" si="24"/>
        <v>99.972639823923089</v>
      </c>
      <c r="H126" s="244">
        <f t="shared" si="25"/>
        <v>100.00010938561292</v>
      </c>
    </row>
    <row r="127" spans="1:9" ht="26.25" x14ac:dyDescent="0.25">
      <c r="A127" s="32" t="s">
        <v>105</v>
      </c>
      <c r="B127" s="35"/>
      <c r="C127" s="33" t="s">
        <v>106</v>
      </c>
      <c r="D127" s="68">
        <f>D128+D130+D132+D134+D136+D138+D140</f>
        <v>36659.299999999996</v>
      </c>
      <c r="E127" s="68">
        <f t="shared" ref="E127" si="50">E128+E130+E132+E134+E136+E138+E140</f>
        <v>36659.340099999994</v>
      </c>
      <c r="F127" s="68">
        <f>F128+F130+F132+F134+F136+F138+F140</f>
        <v>36649.310039999997</v>
      </c>
      <c r="G127" s="245">
        <f t="shared" si="24"/>
        <v>99.972639823923089</v>
      </c>
      <c r="H127" s="245">
        <f t="shared" si="25"/>
        <v>100.00010938561292</v>
      </c>
    </row>
    <row r="128" spans="1:9" ht="39" x14ac:dyDescent="0.25">
      <c r="A128" s="6" t="s">
        <v>107</v>
      </c>
      <c r="B128" s="12"/>
      <c r="C128" s="3" t="s">
        <v>640</v>
      </c>
      <c r="D128" s="67">
        <f>D129</f>
        <v>22569.8</v>
      </c>
      <c r="E128" s="67">
        <f t="shared" ref="E128:F128" si="51">E129</f>
        <v>22569.840100000001</v>
      </c>
      <c r="F128" s="67">
        <f t="shared" si="51"/>
        <v>22569.840100000001</v>
      </c>
      <c r="G128" s="246">
        <f t="shared" si="24"/>
        <v>100</v>
      </c>
      <c r="H128" s="246">
        <f t="shared" si="25"/>
        <v>100.00017767104717</v>
      </c>
    </row>
    <row r="129" spans="1:8" ht="26.25" x14ac:dyDescent="0.25">
      <c r="A129" s="6"/>
      <c r="B129" s="6" t="s">
        <v>449</v>
      </c>
      <c r="C129" s="3" t="s">
        <v>450</v>
      </c>
      <c r="D129" s="67">
        <f>22651.1-70.8-10.5</f>
        <v>22569.8</v>
      </c>
      <c r="E129" s="67">
        <v>22569.840100000001</v>
      </c>
      <c r="F129" s="67">
        <v>22569.840100000001</v>
      </c>
      <c r="G129" s="246">
        <f t="shared" si="24"/>
        <v>100</v>
      </c>
      <c r="H129" s="246">
        <f t="shared" si="25"/>
        <v>100.00017767104717</v>
      </c>
    </row>
    <row r="130" spans="1:8" ht="39" x14ac:dyDescent="0.25">
      <c r="A130" s="6" t="s">
        <v>108</v>
      </c>
      <c r="B130" s="12"/>
      <c r="C130" s="3" t="s">
        <v>641</v>
      </c>
      <c r="D130" s="67">
        <f>D131</f>
        <v>13392.5</v>
      </c>
      <c r="E130" s="67">
        <f t="shared" ref="E130:F130" si="52">E131</f>
        <v>13392.5</v>
      </c>
      <c r="F130" s="67">
        <f t="shared" si="52"/>
        <v>13392.5</v>
      </c>
      <c r="G130" s="246">
        <f t="shared" si="24"/>
        <v>100</v>
      </c>
      <c r="H130" s="246">
        <f t="shared" si="25"/>
        <v>100</v>
      </c>
    </row>
    <row r="131" spans="1:8" ht="26.25" x14ac:dyDescent="0.25">
      <c r="A131" s="6"/>
      <c r="B131" s="6" t="s">
        <v>449</v>
      </c>
      <c r="C131" s="3" t="s">
        <v>450</v>
      </c>
      <c r="D131" s="67">
        <f>13452.3-59.8</f>
        <v>13392.5</v>
      </c>
      <c r="E131" s="67">
        <v>13392.5</v>
      </c>
      <c r="F131" s="67">
        <v>13392.5</v>
      </c>
      <c r="G131" s="246">
        <f t="shared" si="24"/>
        <v>100</v>
      </c>
      <c r="H131" s="246">
        <f t="shared" si="25"/>
        <v>100</v>
      </c>
    </row>
    <row r="132" spans="1:8" ht="26.25" x14ac:dyDescent="0.25">
      <c r="A132" s="6" t="s">
        <v>109</v>
      </c>
      <c r="B132" s="6"/>
      <c r="C132" s="3" t="s">
        <v>110</v>
      </c>
      <c r="D132" s="67">
        <f>D133</f>
        <v>274.2</v>
      </c>
      <c r="E132" s="67">
        <f t="shared" ref="E132:F132" si="53">E133</f>
        <v>274.2</v>
      </c>
      <c r="F132" s="67">
        <f t="shared" si="53"/>
        <v>274.2</v>
      </c>
      <c r="G132" s="246">
        <f t="shared" si="24"/>
        <v>100</v>
      </c>
      <c r="H132" s="246">
        <f t="shared" si="25"/>
        <v>100</v>
      </c>
    </row>
    <row r="133" spans="1:8" ht="26.25" x14ac:dyDescent="0.25">
      <c r="A133" s="6"/>
      <c r="B133" s="6" t="s">
        <v>449</v>
      </c>
      <c r="C133" s="3" t="s">
        <v>450</v>
      </c>
      <c r="D133" s="67">
        <v>274.2</v>
      </c>
      <c r="E133" s="67">
        <v>274.2</v>
      </c>
      <c r="F133" s="67">
        <v>274.2</v>
      </c>
      <c r="G133" s="246">
        <f t="shared" si="24"/>
        <v>100</v>
      </c>
      <c r="H133" s="246">
        <f t="shared" si="25"/>
        <v>100</v>
      </c>
    </row>
    <row r="134" spans="1:8" ht="26.25" x14ac:dyDescent="0.25">
      <c r="A134" s="6" t="s">
        <v>111</v>
      </c>
      <c r="B134" s="6"/>
      <c r="C134" s="3" t="s">
        <v>112</v>
      </c>
      <c r="D134" s="67">
        <f>D135</f>
        <v>108.9</v>
      </c>
      <c r="E134" s="67">
        <f t="shared" ref="E134:F134" si="54">E135</f>
        <v>108.9</v>
      </c>
      <c r="F134" s="67">
        <f t="shared" si="54"/>
        <v>100.26902</v>
      </c>
      <c r="G134" s="246">
        <f t="shared" si="24"/>
        <v>92.074398530762153</v>
      </c>
      <c r="H134" s="246">
        <f t="shared" si="25"/>
        <v>100</v>
      </c>
    </row>
    <row r="135" spans="1:8" ht="26.25" x14ac:dyDescent="0.25">
      <c r="A135" s="6"/>
      <c r="B135" s="6" t="s">
        <v>449</v>
      </c>
      <c r="C135" s="3" t="s">
        <v>450</v>
      </c>
      <c r="D135" s="67">
        <v>108.9</v>
      </c>
      <c r="E135" s="67">
        <v>108.9</v>
      </c>
      <c r="F135" s="67">
        <v>100.26902</v>
      </c>
      <c r="G135" s="246">
        <f t="shared" si="24"/>
        <v>92.074398530762153</v>
      </c>
      <c r="H135" s="246">
        <f t="shared" si="25"/>
        <v>100</v>
      </c>
    </row>
    <row r="136" spans="1:8" ht="26.25" x14ac:dyDescent="0.25">
      <c r="A136" s="6" t="s">
        <v>113</v>
      </c>
      <c r="B136" s="6"/>
      <c r="C136" s="3" t="s">
        <v>114</v>
      </c>
      <c r="D136" s="67">
        <v>74.599999999999994</v>
      </c>
      <c r="E136" s="67">
        <v>74.599999999999994</v>
      </c>
      <c r="F136" s="67">
        <f>F137</f>
        <v>73.201319999999996</v>
      </c>
      <c r="G136" s="246">
        <f t="shared" si="24"/>
        <v>98.12509383378017</v>
      </c>
      <c r="H136" s="246">
        <f t="shared" si="25"/>
        <v>100</v>
      </c>
    </row>
    <row r="137" spans="1:8" ht="26.25" x14ac:dyDescent="0.25">
      <c r="A137" s="6"/>
      <c r="B137" s="6" t="s">
        <v>449</v>
      </c>
      <c r="C137" s="3" t="s">
        <v>450</v>
      </c>
      <c r="D137" s="67">
        <v>74.599999999999994</v>
      </c>
      <c r="E137" s="67">
        <v>74.599999999999994</v>
      </c>
      <c r="F137" s="67">
        <v>73.201319999999996</v>
      </c>
      <c r="G137" s="246">
        <f t="shared" si="24"/>
        <v>98.12509383378017</v>
      </c>
      <c r="H137" s="246">
        <f t="shared" si="25"/>
        <v>100</v>
      </c>
    </row>
    <row r="138" spans="1:8" ht="39" x14ac:dyDescent="0.25">
      <c r="A138" s="6" t="s">
        <v>115</v>
      </c>
      <c r="B138" s="6"/>
      <c r="C138" s="3" t="s">
        <v>116</v>
      </c>
      <c r="D138" s="67">
        <v>83.7</v>
      </c>
      <c r="E138" s="67">
        <v>83.7</v>
      </c>
      <c r="F138" s="67">
        <v>83.7</v>
      </c>
      <c r="G138" s="246">
        <f t="shared" si="24"/>
        <v>100</v>
      </c>
      <c r="H138" s="246">
        <f t="shared" si="25"/>
        <v>100</v>
      </c>
    </row>
    <row r="139" spans="1:8" ht="26.25" x14ac:dyDescent="0.25">
      <c r="A139" s="6"/>
      <c r="B139" s="6" t="s">
        <v>449</v>
      </c>
      <c r="C139" s="3" t="s">
        <v>450</v>
      </c>
      <c r="D139" s="67">
        <v>83.7</v>
      </c>
      <c r="E139" s="67">
        <v>83.7</v>
      </c>
      <c r="F139" s="67">
        <v>83.7</v>
      </c>
      <c r="G139" s="246">
        <f t="shared" ref="G139:G202" si="55">F139/E139*100</f>
        <v>100</v>
      </c>
      <c r="H139" s="246">
        <f t="shared" ref="H139:H202" si="56">E139/D139*100</f>
        <v>100</v>
      </c>
    </row>
    <row r="140" spans="1:8" ht="26.25" x14ac:dyDescent="0.25">
      <c r="A140" s="6" t="s">
        <v>417</v>
      </c>
      <c r="B140" s="6"/>
      <c r="C140" s="3" t="s">
        <v>117</v>
      </c>
      <c r="D140" s="67">
        <f>D141</f>
        <v>155.6</v>
      </c>
      <c r="E140" s="67">
        <f t="shared" ref="E140:F140" si="57">E141</f>
        <v>155.6</v>
      </c>
      <c r="F140" s="67">
        <f t="shared" si="57"/>
        <v>155.59960000000001</v>
      </c>
      <c r="G140" s="246">
        <f t="shared" si="55"/>
        <v>99.999742930591268</v>
      </c>
      <c r="H140" s="246">
        <f t="shared" si="56"/>
        <v>100</v>
      </c>
    </row>
    <row r="141" spans="1:8" ht="26.25" x14ac:dyDescent="0.25">
      <c r="A141" s="6"/>
      <c r="B141" s="6" t="s">
        <v>449</v>
      </c>
      <c r="C141" s="3" t="s">
        <v>450</v>
      </c>
      <c r="D141" s="67">
        <v>155.6</v>
      </c>
      <c r="E141" s="67">
        <v>155.6</v>
      </c>
      <c r="F141" s="67">
        <v>155.59960000000001</v>
      </c>
      <c r="G141" s="246">
        <f t="shared" si="55"/>
        <v>99.999742930591268</v>
      </c>
      <c r="H141" s="246">
        <f t="shared" si="56"/>
        <v>100</v>
      </c>
    </row>
    <row r="142" spans="1:8" ht="26.25" x14ac:dyDescent="0.25">
      <c r="A142" s="30" t="s">
        <v>118</v>
      </c>
      <c r="B142" s="30"/>
      <c r="C142" s="31" t="s">
        <v>119</v>
      </c>
      <c r="D142" s="72">
        <f>D143</f>
        <v>6469</v>
      </c>
      <c r="E142" s="72">
        <f t="shared" ref="E142:F142" si="58">E143</f>
        <v>6469.0000000000009</v>
      </c>
      <c r="F142" s="72">
        <f t="shared" si="58"/>
        <v>6306.0378900000005</v>
      </c>
      <c r="G142" s="244">
        <f t="shared" si="55"/>
        <v>97.480876333281799</v>
      </c>
      <c r="H142" s="244">
        <f t="shared" si="56"/>
        <v>100.00000000000003</v>
      </c>
    </row>
    <row r="143" spans="1:8" ht="26.25" x14ac:dyDescent="0.25">
      <c r="A143" s="32" t="s">
        <v>120</v>
      </c>
      <c r="B143" s="32"/>
      <c r="C143" s="33" t="s">
        <v>121</v>
      </c>
      <c r="D143" s="68">
        <f>D148+D144+D146</f>
        <v>6469</v>
      </c>
      <c r="E143" s="68">
        <f t="shared" ref="E143:F143" si="59">E148+E144+E146</f>
        <v>6469.0000000000009</v>
      </c>
      <c r="F143" s="68">
        <f t="shared" si="59"/>
        <v>6306.0378900000005</v>
      </c>
      <c r="G143" s="245">
        <f t="shared" si="55"/>
        <v>97.480876333281799</v>
      </c>
      <c r="H143" s="245">
        <f t="shared" si="56"/>
        <v>100.00000000000003</v>
      </c>
    </row>
    <row r="144" spans="1:8" ht="26.25" x14ac:dyDescent="0.25">
      <c r="A144" s="6" t="s">
        <v>122</v>
      </c>
      <c r="B144" s="6"/>
      <c r="C144" s="3" t="s">
        <v>123</v>
      </c>
      <c r="D144" s="67">
        <f>D145</f>
        <v>109.3</v>
      </c>
      <c r="E144" s="67">
        <f t="shared" ref="E144:F144" si="60">E145</f>
        <v>32.574399999999997</v>
      </c>
      <c r="F144" s="67">
        <f t="shared" si="60"/>
        <v>32.574399999999997</v>
      </c>
      <c r="G144" s="246">
        <f t="shared" si="55"/>
        <v>100</v>
      </c>
      <c r="H144" s="246">
        <f t="shared" si="56"/>
        <v>29.802744739249771</v>
      </c>
    </row>
    <row r="145" spans="1:9" ht="26.25" x14ac:dyDescent="0.25">
      <c r="A145" s="6"/>
      <c r="B145" s="6" t="s">
        <v>449</v>
      </c>
      <c r="C145" s="3" t="s">
        <v>450</v>
      </c>
      <c r="D145" s="67">
        <v>109.3</v>
      </c>
      <c r="E145" s="67">
        <v>32.574399999999997</v>
      </c>
      <c r="F145" s="67">
        <v>32.574399999999997</v>
      </c>
      <c r="G145" s="246">
        <f t="shared" si="55"/>
        <v>100</v>
      </c>
      <c r="H145" s="246">
        <f t="shared" si="56"/>
        <v>29.802744739249771</v>
      </c>
    </row>
    <row r="146" spans="1:9" ht="39" x14ac:dyDescent="0.25">
      <c r="A146" s="6" t="s">
        <v>124</v>
      </c>
      <c r="B146" s="6"/>
      <c r="C146" s="3" t="s">
        <v>125</v>
      </c>
      <c r="D146" s="67">
        <f>D147</f>
        <v>1684.5000000000002</v>
      </c>
      <c r="E146" s="67">
        <f t="shared" ref="E146:F146" si="61">E147</f>
        <v>1761.2256</v>
      </c>
      <c r="F146" s="67">
        <f t="shared" si="61"/>
        <v>1735.8426400000001</v>
      </c>
      <c r="G146" s="246">
        <f t="shared" si="55"/>
        <v>98.558789969893695</v>
      </c>
      <c r="H146" s="246">
        <f t="shared" si="56"/>
        <v>104.55479964381121</v>
      </c>
    </row>
    <row r="147" spans="1:9" ht="26.25" x14ac:dyDescent="0.25">
      <c r="A147" s="6"/>
      <c r="B147" s="6" t="s">
        <v>449</v>
      </c>
      <c r="C147" s="3" t="s">
        <v>450</v>
      </c>
      <c r="D147" s="77">
        <f>2019.4-216.8-118.1</f>
        <v>1684.5000000000002</v>
      </c>
      <c r="E147" s="77">
        <v>1761.2256</v>
      </c>
      <c r="F147" s="77">
        <v>1735.8426400000001</v>
      </c>
      <c r="G147" s="248">
        <f t="shared" si="55"/>
        <v>98.558789969893695</v>
      </c>
      <c r="H147" s="248">
        <f t="shared" si="56"/>
        <v>104.55479964381121</v>
      </c>
    </row>
    <row r="148" spans="1:9" ht="39" x14ac:dyDescent="0.25">
      <c r="A148" s="6" t="s">
        <v>126</v>
      </c>
      <c r="B148" s="6"/>
      <c r="C148" s="3" t="s">
        <v>127</v>
      </c>
      <c r="D148" s="67">
        <f>D150</f>
        <v>4675.2</v>
      </c>
      <c r="E148" s="67">
        <v>4675.2000000000007</v>
      </c>
      <c r="F148" s="67">
        <v>4537.6208500000002</v>
      </c>
      <c r="G148" s="246">
        <f t="shared" si="55"/>
        <v>97.057256374058852</v>
      </c>
      <c r="H148" s="246">
        <f t="shared" si="56"/>
        <v>100.00000000000003</v>
      </c>
      <c r="I148" s="482">
        <f>SUM(E148-F148)</f>
        <v>137.57915000000048</v>
      </c>
    </row>
    <row r="149" spans="1:9" x14ac:dyDescent="0.25">
      <c r="A149" s="6"/>
      <c r="B149" s="6" t="s">
        <v>408</v>
      </c>
      <c r="C149" s="3" t="s">
        <v>409</v>
      </c>
      <c r="D149" s="67"/>
      <c r="E149" s="264">
        <v>235.79971</v>
      </c>
      <c r="F149" s="264">
        <v>235.79971</v>
      </c>
      <c r="G149" s="246"/>
      <c r="H149" s="246"/>
      <c r="I149" s="482"/>
    </row>
    <row r="150" spans="1:9" ht="26.25" x14ac:dyDescent="0.25">
      <c r="A150" s="6"/>
      <c r="B150" s="6" t="s">
        <v>449</v>
      </c>
      <c r="C150" s="3" t="s">
        <v>450</v>
      </c>
      <c r="D150" s="67">
        <v>4675.2</v>
      </c>
      <c r="E150" s="67">
        <f>E148-E151-E149</f>
        <v>4330.4384700000001</v>
      </c>
      <c r="F150" s="67">
        <f>F148-F151-F149</f>
        <v>4248.22379</v>
      </c>
      <c r="G150" s="246">
        <f t="shared" si="55"/>
        <v>98.101469849541587</v>
      </c>
      <c r="H150" s="246">
        <f t="shared" si="56"/>
        <v>92.625737294661192</v>
      </c>
    </row>
    <row r="151" spans="1:9" x14ac:dyDescent="0.25">
      <c r="A151" s="6"/>
      <c r="B151" s="16" t="s">
        <v>390</v>
      </c>
      <c r="C151" s="7" t="s">
        <v>391</v>
      </c>
      <c r="D151" s="67"/>
      <c r="E151" s="67">
        <v>108.96182</v>
      </c>
      <c r="F151" s="67">
        <v>53.597349999999999</v>
      </c>
      <c r="G151" s="246">
        <f t="shared" si="55"/>
        <v>49.189110460893545</v>
      </c>
      <c r="H151" s="246"/>
    </row>
    <row r="152" spans="1:9" x14ac:dyDescent="0.25">
      <c r="A152" s="30" t="s">
        <v>128</v>
      </c>
      <c r="B152" s="30"/>
      <c r="C152" s="31" t="s">
        <v>129</v>
      </c>
      <c r="D152" s="72">
        <f>D153+D158</f>
        <v>19907.915499999999</v>
      </c>
      <c r="E152" s="72">
        <f t="shared" ref="E152:F152" si="62">E153+E158</f>
        <v>21126.506000000001</v>
      </c>
      <c r="F152" s="72">
        <f t="shared" si="62"/>
        <v>20612.23688</v>
      </c>
      <c r="G152" s="244">
        <f t="shared" si="55"/>
        <v>97.565763501073008</v>
      </c>
      <c r="H152" s="244">
        <f t="shared" si="56"/>
        <v>106.12113558549112</v>
      </c>
    </row>
    <row r="153" spans="1:9" ht="26.25" x14ac:dyDescent="0.25">
      <c r="A153" s="32" t="s">
        <v>130</v>
      </c>
      <c r="B153" s="32"/>
      <c r="C153" s="33" t="s">
        <v>131</v>
      </c>
      <c r="D153" s="68">
        <f>D156+D154</f>
        <v>276.7</v>
      </c>
      <c r="E153" s="68">
        <f t="shared" ref="E153:F153" si="63">E156+E154</f>
        <v>276.7</v>
      </c>
      <c r="F153" s="68">
        <f t="shared" si="63"/>
        <v>276.7</v>
      </c>
      <c r="G153" s="245">
        <f t="shared" si="55"/>
        <v>100</v>
      </c>
      <c r="H153" s="245">
        <f t="shared" si="56"/>
        <v>100</v>
      </c>
    </row>
    <row r="154" spans="1:9" ht="26.25" x14ac:dyDescent="0.25">
      <c r="A154" s="39" t="s">
        <v>132</v>
      </c>
      <c r="B154" s="39"/>
      <c r="C154" s="40" t="s">
        <v>133</v>
      </c>
      <c r="D154" s="67">
        <f>D155</f>
        <v>175</v>
      </c>
      <c r="E154" s="67">
        <f t="shared" ref="E154:F154" si="64">E155</f>
        <v>175</v>
      </c>
      <c r="F154" s="67">
        <f t="shared" si="64"/>
        <v>175</v>
      </c>
      <c r="G154" s="246">
        <f t="shared" si="55"/>
        <v>100</v>
      </c>
      <c r="H154" s="246">
        <f t="shared" si="56"/>
        <v>100</v>
      </c>
    </row>
    <row r="155" spans="1:9" ht="26.25" x14ac:dyDescent="0.25">
      <c r="A155" s="39"/>
      <c r="B155" s="39" t="s">
        <v>449</v>
      </c>
      <c r="C155" s="40" t="s">
        <v>450</v>
      </c>
      <c r="D155" s="67">
        <v>175</v>
      </c>
      <c r="E155" s="67">
        <v>175</v>
      </c>
      <c r="F155" s="67">
        <v>175</v>
      </c>
      <c r="G155" s="246">
        <f t="shared" si="55"/>
        <v>100</v>
      </c>
      <c r="H155" s="246">
        <f t="shared" si="56"/>
        <v>100</v>
      </c>
    </row>
    <row r="156" spans="1:9" ht="39" x14ac:dyDescent="0.25">
      <c r="A156" s="6" t="s">
        <v>134</v>
      </c>
      <c r="B156" s="6"/>
      <c r="C156" s="3" t="s">
        <v>135</v>
      </c>
      <c r="D156" s="67">
        <f>D157</f>
        <v>101.7</v>
      </c>
      <c r="E156" s="67">
        <f t="shared" ref="E156:F156" si="65">E157</f>
        <v>101.7</v>
      </c>
      <c r="F156" s="67">
        <f t="shared" si="65"/>
        <v>101.7</v>
      </c>
      <c r="G156" s="246">
        <f t="shared" si="55"/>
        <v>100</v>
      </c>
      <c r="H156" s="246">
        <f t="shared" si="56"/>
        <v>100</v>
      </c>
    </row>
    <row r="157" spans="1:9" ht="26.25" x14ac:dyDescent="0.25">
      <c r="A157" s="6"/>
      <c r="B157" s="39" t="s">
        <v>449</v>
      </c>
      <c r="C157" s="40" t="s">
        <v>450</v>
      </c>
      <c r="D157" s="67">
        <v>101.7</v>
      </c>
      <c r="E157" s="67">
        <v>101.7</v>
      </c>
      <c r="F157" s="67">
        <v>101.7</v>
      </c>
      <c r="G157" s="246">
        <f t="shared" si="55"/>
        <v>100</v>
      </c>
      <c r="H157" s="246">
        <f t="shared" si="56"/>
        <v>100</v>
      </c>
    </row>
    <row r="158" spans="1:9" ht="26.25" x14ac:dyDescent="0.25">
      <c r="A158" s="32" t="s">
        <v>136</v>
      </c>
      <c r="B158" s="32"/>
      <c r="C158" s="33" t="s">
        <v>137</v>
      </c>
      <c r="D158" s="68">
        <f>D159+D162+D165</f>
        <v>19631.215499999998</v>
      </c>
      <c r="E158" s="68">
        <f t="shared" ref="E158:F158" si="66">E159+E162+E165</f>
        <v>20849.806</v>
      </c>
      <c r="F158" s="68">
        <f t="shared" si="66"/>
        <v>20335.53688</v>
      </c>
      <c r="G158" s="245">
        <f t="shared" si="55"/>
        <v>97.533458488774428</v>
      </c>
      <c r="H158" s="245">
        <f t="shared" si="56"/>
        <v>106.20741237342131</v>
      </c>
    </row>
    <row r="159" spans="1:9" ht="26.25" x14ac:dyDescent="0.25">
      <c r="A159" s="6" t="s">
        <v>138</v>
      </c>
      <c r="B159" s="6"/>
      <c r="C159" s="3" t="s">
        <v>139</v>
      </c>
      <c r="D159" s="67">
        <f>D161+D160</f>
        <v>6548.0999999999995</v>
      </c>
      <c r="E159" s="67">
        <v>5610.1504999999997</v>
      </c>
      <c r="F159" s="67">
        <v>5098.7133800000001</v>
      </c>
      <c r="G159" s="246">
        <f t="shared" si="55"/>
        <v>90.88371836014025</v>
      </c>
      <c r="H159" s="246">
        <f t="shared" si="56"/>
        <v>85.676005253432294</v>
      </c>
      <c r="I159" s="482">
        <f>SUM(E159-F159)</f>
        <v>511.4371199999996</v>
      </c>
    </row>
    <row r="160" spans="1:9" x14ac:dyDescent="0.25">
      <c r="A160" s="6"/>
      <c r="B160" s="6" t="s">
        <v>408</v>
      </c>
      <c r="C160" s="3" t="s">
        <v>409</v>
      </c>
      <c r="D160" s="67">
        <v>599.4</v>
      </c>
      <c r="E160" s="67">
        <v>0</v>
      </c>
      <c r="F160" s="67">
        <v>0</v>
      </c>
      <c r="G160" s="246"/>
      <c r="H160" s="246">
        <f t="shared" si="56"/>
        <v>0</v>
      </c>
    </row>
    <row r="161" spans="1:9" ht="26.25" x14ac:dyDescent="0.25">
      <c r="A161" s="6"/>
      <c r="B161" s="39" t="s">
        <v>449</v>
      </c>
      <c r="C161" s="40" t="s">
        <v>450</v>
      </c>
      <c r="D161" s="67">
        <v>5948.7</v>
      </c>
      <c r="E161" s="67">
        <f>5547.6505+62.5</f>
        <v>5610.1504999999997</v>
      </c>
      <c r="F161" s="67">
        <f>5036.21338+62.5</f>
        <v>5098.7133800000001</v>
      </c>
      <c r="G161" s="246">
        <f t="shared" si="55"/>
        <v>90.88371836014025</v>
      </c>
      <c r="H161" s="246">
        <f t="shared" si="56"/>
        <v>94.308848992216781</v>
      </c>
    </row>
    <row r="162" spans="1:9" ht="64.5" x14ac:dyDescent="0.25">
      <c r="A162" s="6" t="s">
        <v>140</v>
      </c>
      <c r="B162" s="6"/>
      <c r="C162" s="3" t="s">
        <v>141</v>
      </c>
      <c r="D162" s="67">
        <f t="shared" ref="D162" si="67">D163+D164</f>
        <v>13033.815500000001</v>
      </c>
      <c r="E162" s="67">
        <v>15133.2155</v>
      </c>
      <c r="F162" s="67">
        <v>15133.2155</v>
      </c>
      <c r="G162" s="246">
        <f t="shared" si="55"/>
        <v>100</v>
      </c>
      <c r="H162" s="246">
        <f t="shared" si="56"/>
        <v>116.10733249983475</v>
      </c>
    </row>
    <row r="163" spans="1:9" x14ac:dyDescent="0.25">
      <c r="A163" s="6"/>
      <c r="B163" s="6" t="s">
        <v>408</v>
      </c>
      <c r="C163" s="3" t="s">
        <v>409</v>
      </c>
      <c r="D163" s="67">
        <f>6021+128.31296</f>
        <v>6149.3129600000002</v>
      </c>
      <c r="E163" s="67">
        <v>7011.8879100000004</v>
      </c>
      <c r="F163" s="67">
        <v>7011.8879100000004</v>
      </c>
      <c r="G163" s="246">
        <f t="shared" si="55"/>
        <v>100</v>
      </c>
      <c r="H163" s="246">
        <f t="shared" si="56"/>
        <v>114.0271759725171</v>
      </c>
    </row>
    <row r="164" spans="1:9" ht="26.25" x14ac:dyDescent="0.25">
      <c r="A164" s="6"/>
      <c r="B164" s="6" t="s">
        <v>449</v>
      </c>
      <c r="C164" s="3" t="s">
        <v>450</v>
      </c>
      <c r="D164" s="67">
        <f>7211.3-326.79746</f>
        <v>6884.5025400000004</v>
      </c>
      <c r="E164" s="67">
        <v>8121.3275899999999</v>
      </c>
      <c r="F164" s="67">
        <v>8121.3275899999999</v>
      </c>
      <c r="G164" s="246">
        <f t="shared" si="55"/>
        <v>100</v>
      </c>
      <c r="H164" s="246">
        <f t="shared" si="56"/>
        <v>117.96535105933739</v>
      </c>
    </row>
    <row r="165" spans="1:9" ht="26.25" x14ac:dyDescent="0.25">
      <c r="A165" s="6" t="s">
        <v>800</v>
      </c>
      <c r="B165" s="6"/>
      <c r="C165" s="3" t="s">
        <v>801</v>
      </c>
      <c r="D165" s="67">
        <v>49.3</v>
      </c>
      <c r="E165" s="67">
        <v>106.44</v>
      </c>
      <c r="F165" s="67">
        <v>103.608</v>
      </c>
      <c r="G165" s="246">
        <f t="shared" si="55"/>
        <v>97.339346110484783</v>
      </c>
      <c r="H165" s="246">
        <f t="shared" si="56"/>
        <v>215.90263691683572</v>
      </c>
      <c r="I165" s="482"/>
    </row>
    <row r="166" spans="1:9" ht="26.25" x14ac:dyDescent="0.25">
      <c r="A166" s="6"/>
      <c r="B166" s="6" t="s">
        <v>272</v>
      </c>
      <c r="C166" s="3" t="s">
        <v>273</v>
      </c>
      <c r="D166" s="67">
        <v>49.3</v>
      </c>
      <c r="E166" s="67">
        <f>E167+E168</f>
        <v>106.44</v>
      </c>
      <c r="F166" s="67">
        <f>F167+F168</f>
        <v>103.608</v>
      </c>
      <c r="G166" s="246">
        <f t="shared" si="55"/>
        <v>97.339346110484783</v>
      </c>
      <c r="H166" s="246">
        <f t="shared" si="56"/>
        <v>215.90263691683572</v>
      </c>
      <c r="I166" s="482"/>
    </row>
    <row r="167" spans="1:9" x14ac:dyDescent="0.25">
      <c r="A167" s="6"/>
      <c r="B167" s="6"/>
      <c r="C167" s="3" t="s">
        <v>1232</v>
      </c>
      <c r="D167" s="67"/>
      <c r="E167" s="67">
        <v>57.14</v>
      </c>
      <c r="F167" s="67">
        <v>55.619700000000002</v>
      </c>
      <c r="G167" s="246">
        <f t="shared" si="55"/>
        <v>97.339341967098363</v>
      </c>
      <c r="H167" s="246"/>
      <c r="I167" s="482">
        <f>SUM(E167-F167)</f>
        <v>1.5202999999999989</v>
      </c>
    </row>
    <row r="168" spans="1:9" x14ac:dyDescent="0.25">
      <c r="A168" s="6"/>
      <c r="B168" s="6"/>
      <c r="C168" s="3" t="s">
        <v>82</v>
      </c>
      <c r="D168" s="67">
        <v>49.3</v>
      </c>
      <c r="E168" s="67">
        <v>49.3</v>
      </c>
      <c r="F168" s="67">
        <v>47.988300000000002</v>
      </c>
      <c r="G168" s="246">
        <f t="shared" si="55"/>
        <v>97.339350912778912</v>
      </c>
      <c r="H168" s="246">
        <f t="shared" si="56"/>
        <v>100</v>
      </c>
      <c r="I168" s="482"/>
    </row>
    <row r="169" spans="1:9" ht="26.25" x14ac:dyDescent="0.25">
      <c r="A169" s="30" t="s">
        <v>142</v>
      </c>
      <c r="B169" s="30"/>
      <c r="C169" s="31" t="s">
        <v>143</v>
      </c>
      <c r="D169" s="72">
        <f t="shared" ref="D169:F171" si="68">D170</f>
        <v>22689.354729999999</v>
      </c>
      <c r="E169" s="72">
        <f t="shared" si="68"/>
        <v>22689.354729999999</v>
      </c>
      <c r="F169" s="72">
        <f t="shared" si="68"/>
        <v>22689.317229999997</v>
      </c>
      <c r="G169" s="244">
        <f t="shared" si="55"/>
        <v>99.99983472425528</v>
      </c>
      <c r="H169" s="244">
        <f t="shared" si="56"/>
        <v>100</v>
      </c>
    </row>
    <row r="170" spans="1:9" ht="39" x14ac:dyDescent="0.25">
      <c r="A170" s="35" t="s">
        <v>144</v>
      </c>
      <c r="B170" s="35"/>
      <c r="C170" s="33" t="s">
        <v>145</v>
      </c>
      <c r="D170" s="68">
        <f>D171+D175+D177+D179</f>
        <v>22689.354729999999</v>
      </c>
      <c r="E170" s="68">
        <f t="shared" ref="E170" si="69">E171+E175+E177+E179</f>
        <v>22689.354729999999</v>
      </c>
      <c r="F170" s="68">
        <f>F171+F175+F177+F179</f>
        <v>22689.317229999997</v>
      </c>
      <c r="G170" s="245">
        <f t="shared" si="55"/>
        <v>99.99983472425528</v>
      </c>
      <c r="H170" s="245">
        <f t="shared" si="56"/>
        <v>100</v>
      </c>
    </row>
    <row r="171" spans="1:9" ht="38.25" x14ac:dyDescent="0.25">
      <c r="A171" s="6" t="s">
        <v>465</v>
      </c>
      <c r="B171" s="6"/>
      <c r="C171" s="1" t="s">
        <v>642</v>
      </c>
      <c r="D171" s="67">
        <f t="shared" si="68"/>
        <v>17700</v>
      </c>
      <c r="E171" s="67">
        <f t="shared" si="68"/>
        <v>17700</v>
      </c>
      <c r="F171" s="67">
        <f t="shared" si="68"/>
        <v>17700</v>
      </c>
      <c r="G171" s="246">
        <f t="shared" si="55"/>
        <v>100</v>
      </c>
      <c r="H171" s="246">
        <f t="shared" si="56"/>
        <v>100</v>
      </c>
    </row>
    <row r="172" spans="1:9" ht="26.25" x14ac:dyDescent="0.25">
      <c r="A172" s="6"/>
      <c r="B172" s="6" t="s">
        <v>449</v>
      </c>
      <c r="C172" s="3" t="s">
        <v>450</v>
      </c>
      <c r="D172" s="67">
        <f>D174+D173</f>
        <v>17700</v>
      </c>
      <c r="E172" s="67">
        <f t="shared" ref="E172:F172" si="70">E174+E173</f>
        <v>17700</v>
      </c>
      <c r="F172" s="67">
        <f t="shared" si="70"/>
        <v>17700</v>
      </c>
      <c r="G172" s="246">
        <f t="shared" si="55"/>
        <v>100</v>
      </c>
      <c r="H172" s="246">
        <f t="shared" si="56"/>
        <v>100</v>
      </c>
    </row>
    <row r="173" spans="1:9" x14ac:dyDescent="0.25">
      <c r="A173" s="6"/>
      <c r="B173" s="6"/>
      <c r="C173" s="3" t="s">
        <v>149</v>
      </c>
      <c r="D173" s="67">
        <v>15930</v>
      </c>
      <c r="E173" s="67">
        <v>15930</v>
      </c>
      <c r="F173" s="67">
        <v>15930</v>
      </c>
      <c r="G173" s="246">
        <f t="shared" si="55"/>
        <v>100</v>
      </c>
      <c r="H173" s="246">
        <f t="shared" si="56"/>
        <v>100</v>
      </c>
    </row>
    <row r="174" spans="1:9" x14ac:dyDescent="0.25">
      <c r="A174" s="88"/>
      <c r="B174" s="88"/>
      <c r="C174" s="3" t="s">
        <v>102</v>
      </c>
      <c r="D174" s="67">
        <v>1770</v>
      </c>
      <c r="E174" s="67">
        <v>1770</v>
      </c>
      <c r="F174" s="67">
        <v>1770</v>
      </c>
      <c r="G174" s="246">
        <f t="shared" si="55"/>
        <v>100</v>
      </c>
      <c r="H174" s="246">
        <f t="shared" si="56"/>
        <v>100</v>
      </c>
    </row>
    <row r="175" spans="1:9" ht="26.25" x14ac:dyDescent="0.25">
      <c r="A175" s="22" t="s">
        <v>729</v>
      </c>
      <c r="B175" s="89"/>
      <c r="C175" s="53" t="s">
        <v>728</v>
      </c>
      <c r="D175" s="67">
        <f>D176</f>
        <v>2639.5</v>
      </c>
      <c r="E175" s="67">
        <f t="shared" ref="E175:F175" si="71">E176</f>
        <v>3056.39473</v>
      </c>
      <c r="F175" s="67">
        <f t="shared" si="71"/>
        <v>3056.39473</v>
      </c>
      <c r="G175" s="246">
        <f t="shared" si="55"/>
        <v>100</v>
      </c>
      <c r="H175" s="246">
        <f t="shared" si="56"/>
        <v>115.79445842015532</v>
      </c>
    </row>
    <row r="176" spans="1:9" ht="26.25" x14ac:dyDescent="0.25">
      <c r="A176" s="88"/>
      <c r="B176" s="6" t="s">
        <v>449</v>
      </c>
      <c r="C176" s="3" t="s">
        <v>450</v>
      </c>
      <c r="D176" s="67">
        <v>2639.5</v>
      </c>
      <c r="E176" s="67">
        <f>2598.94+457.45473</f>
        <v>3056.39473</v>
      </c>
      <c r="F176" s="67">
        <f>2598.94+457.45473</f>
        <v>3056.39473</v>
      </c>
      <c r="G176" s="246">
        <f t="shared" si="55"/>
        <v>100</v>
      </c>
      <c r="H176" s="246">
        <f t="shared" si="56"/>
        <v>115.79445842015532</v>
      </c>
    </row>
    <row r="177" spans="1:8" ht="39" x14ac:dyDescent="0.25">
      <c r="A177" s="22" t="s">
        <v>811</v>
      </c>
      <c r="B177" s="6"/>
      <c r="C177" s="3" t="s">
        <v>810</v>
      </c>
      <c r="D177" s="67">
        <f>D178</f>
        <v>713.3</v>
      </c>
      <c r="E177" s="67">
        <f t="shared" ref="E177:F177" si="72">E178</f>
        <v>753.86</v>
      </c>
      <c r="F177" s="67">
        <f t="shared" si="72"/>
        <v>753.82249999999999</v>
      </c>
      <c r="G177" s="246">
        <f t="shared" si="55"/>
        <v>99.995025601570575</v>
      </c>
      <c r="H177" s="246">
        <f t="shared" si="56"/>
        <v>105.68624702088884</v>
      </c>
    </row>
    <row r="178" spans="1:8" ht="26.25" x14ac:dyDescent="0.25">
      <c r="A178" s="88"/>
      <c r="B178" s="6" t="s">
        <v>449</v>
      </c>
      <c r="C178" s="3" t="s">
        <v>450</v>
      </c>
      <c r="D178" s="67">
        <f>260.4+452.9</f>
        <v>713.3</v>
      </c>
      <c r="E178" s="67">
        <v>753.86</v>
      </c>
      <c r="F178" s="67">
        <v>753.82249999999999</v>
      </c>
      <c r="G178" s="246">
        <f t="shared" si="55"/>
        <v>99.995025601570575</v>
      </c>
      <c r="H178" s="246">
        <f t="shared" si="56"/>
        <v>105.68624702088884</v>
      </c>
    </row>
    <row r="179" spans="1:8" ht="63.75" x14ac:dyDescent="0.25">
      <c r="A179" s="4" t="s">
        <v>816</v>
      </c>
      <c r="B179" s="4"/>
      <c r="C179" s="5" t="s">
        <v>815</v>
      </c>
      <c r="D179" s="67">
        <f>D180</f>
        <v>1636.5547299999998</v>
      </c>
      <c r="E179" s="67">
        <f t="shared" ref="E179:F179" si="73">E180</f>
        <v>1179.0999999999999</v>
      </c>
      <c r="F179" s="67">
        <f t="shared" si="73"/>
        <v>1179.0999999999999</v>
      </c>
      <c r="G179" s="246">
        <f t="shared" si="55"/>
        <v>100</v>
      </c>
      <c r="H179" s="246">
        <f t="shared" si="56"/>
        <v>72.04769742103278</v>
      </c>
    </row>
    <row r="180" spans="1:8" ht="26.25" x14ac:dyDescent="0.25">
      <c r="A180" s="6"/>
      <c r="B180" s="6" t="s">
        <v>449</v>
      </c>
      <c r="C180" s="3" t="s">
        <v>450</v>
      </c>
      <c r="D180" s="67">
        <f>457.45473+1179.1</f>
        <v>1636.5547299999998</v>
      </c>
      <c r="E180" s="67">
        <f>457.45473+1179.1-457.45473</f>
        <v>1179.0999999999999</v>
      </c>
      <c r="F180" s="67">
        <f>457.45473+1179.1-457.45473</f>
        <v>1179.0999999999999</v>
      </c>
      <c r="G180" s="246">
        <f t="shared" si="55"/>
        <v>100</v>
      </c>
      <c r="H180" s="246">
        <f t="shared" si="56"/>
        <v>72.04769742103278</v>
      </c>
    </row>
    <row r="181" spans="1:8" ht="26.25" x14ac:dyDescent="0.25">
      <c r="A181" s="30" t="s">
        <v>150</v>
      </c>
      <c r="B181" s="30"/>
      <c r="C181" s="31" t="s">
        <v>504</v>
      </c>
      <c r="D181" s="72">
        <f t="shared" ref="D181:F187" si="74">D182</f>
        <v>43</v>
      </c>
      <c r="E181" s="72">
        <f t="shared" si="74"/>
        <v>43</v>
      </c>
      <c r="F181" s="72">
        <f t="shared" si="74"/>
        <v>43</v>
      </c>
      <c r="G181" s="244">
        <f t="shared" si="55"/>
        <v>100</v>
      </c>
      <c r="H181" s="244">
        <f t="shared" si="56"/>
        <v>100</v>
      </c>
    </row>
    <row r="182" spans="1:8" ht="26.25" x14ac:dyDescent="0.25">
      <c r="A182" s="32" t="s">
        <v>152</v>
      </c>
      <c r="B182" s="32"/>
      <c r="C182" s="33" t="s">
        <v>153</v>
      </c>
      <c r="D182" s="68">
        <f t="shared" si="74"/>
        <v>43</v>
      </c>
      <c r="E182" s="68">
        <f t="shared" si="74"/>
        <v>43</v>
      </c>
      <c r="F182" s="68">
        <f t="shared" si="74"/>
        <v>43</v>
      </c>
      <c r="G182" s="245">
        <f t="shared" si="55"/>
        <v>100</v>
      </c>
      <c r="H182" s="245">
        <f t="shared" si="56"/>
        <v>100</v>
      </c>
    </row>
    <row r="183" spans="1:8" ht="39" x14ac:dyDescent="0.25">
      <c r="A183" s="6" t="s">
        <v>154</v>
      </c>
      <c r="B183" s="6"/>
      <c r="C183" s="3" t="s">
        <v>155</v>
      </c>
      <c r="D183" s="67">
        <f>D184</f>
        <v>43</v>
      </c>
      <c r="E183" s="67">
        <f t="shared" si="74"/>
        <v>43</v>
      </c>
      <c r="F183" s="67">
        <f t="shared" si="74"/>
        <v>43</v>
      </c>
      <c r="G183" s="246">
        <f t="shared" si="55"/>
        <v>100</v>
      </c>
      <c r="H183" s="246">
        <f t="shared" si="56"/>
        <v>100</v>
      </c>
    </row>
    <row r="184" spans="1:8" ht="26.25" x14ac:dyDescent="0.25">
      <c r="A184" s="6"/>
      <c r="B184" s="6" t="s">
        <v>449</v>
      </c>
      <c r="C184" s="3" t="s">
        <v>450</v>
      </c>
      <c r="D184" s="67">
        <v>43</v>
      </c>
      <c r="E184" s="67">
        <v>43</v>
      </c>
      <c r="F184" s="67">
        <v>43</v>
      </c>
      <c r="G184" s="246">
        <f t="shared" si="55"/>
        <v>100</v>
      </c>
      <c r="H184" s="246">
        <f t="shared" si="56"/>
        <v>100</v>
      </c>
    </row>
    <row r="185" spans="1:8" ht="25.5" x14ac:dyDescent="0.25">
      <c r="A185" s="30" t="s">
        <v>855</v>
      </c>
      <c r="B185" s="30"/>
      <c r="C185" s="238" t="s">
        <v>856</v>
      </c>
      <c r="D185" s="72">
        <f t="shared" si="74"/>
        <v>0</v>
      </c>
      <c r="E185" s="72">
        <f t="shared" si="74"/>
        <v>15</v>
      </c>
      <c r="F185" s="72">
        <f t="shared" si="74"/>
        <v>15</v>
      </c>
      <c r="G185" s="244">
        <f t="shared" si="55"/>
        <v>100</v>
      </c>
      <c r="H185" s="244"/>
    </row>
    <row r="186" spans="1:8" ht="26.25" x14ac:dyDescent="0.25">
      <c r="A186" s="32" t="s">
        <v>857</v>
      </c>
      <c r="B186" s="32"/>
      <c r="C186" s="33" t="s">
        <v>858</v>
      </c>
      <c r="D186" s="68">
        <f t="shared" si="74"/>
        <v>0</v>
      </c>
      <c r="E186" s="68">
        <f t="shared" si="74"/>
        <v>15</v>
      </c>
      <c r="F186" s="68">
        <f t="shared" si="74"/>
        <v>15</v>
      </c>
      <c r="G186" s="245">
        <f t="shared" si="55"/>
        <v>100</v>
      </c>
      <c r="H186" s="245"/>
    </row>
    <row r="187" spans="1:8" ht="26.25" x14ac:dyDescent="0.25">
      <c r="A187" s="6" t="s">
        <v>859</v>
      </c>
      <c r="B187" s="6"/>
      <c r="C187" s="3" t="s">
        <v>858</v>
      </c>
      <c r="D187" s="67">
        <f>D188</f>
        <v>0</v>
      </c>
      <c r="E187" s="67">
        <f t="shared" si="74"/>
        <v>15</v>
      </c>
      <c r="F187" s="67">
        <f t="shared" si="74"/>
        <v>15</v>
      </c>
      <c r="G187" s="246">
        <f t="shared" si="55"/>
        <v>100</v>
      </c>
      <c r="H187" s="246"/>
    </row>
    <row r="188" spans="1:8" ht="26.25" x14ac:dyDescent="0.25">
      <c r="A188" s="6"/>
      <c r="B188" s="6" t="s">
        <v>449</v>
      </c>
      <c r="C188" s="3" t="s">
        <v>450</v>
      </c>
      <c r="D188" s="67"/>
      <c r="E188" s="67">
        <v>15</v>
      </c>
      <c r="F188" s="67">
        <v>15</v>
      </c>
      <c r="G188" s="246">
        <f t="shared" si="55"/>
        <v>100</v>
      </c>
      <c r="H188" s="246"/>
    </row>
    <row r="189" spans="1:8" ht="26.25" x14ac:dyDescent="0.25">
      <c r="A189" s="28" t="s">
        <v>156</v>
      </c>
      <c r="B189" s="28"/>
      <c r="C189" s="36" t="s">
        <v>157</v>
      </c>
      <c r="D189" s="69">
        <f>D190+D194+D198+D202</f>
        <v>405.5</v>
      </c>
      <c r="E189" s="69">
        <f t="shared" ref="E189:F189" si="75">E190+E194+E198+E202</f>
        <v>405.5</v>
      </c>
      <c r="F189" s="69">
        <f t="shared" si="75"/>
        <v>405.5</v>
      </c>
      <c r="G189" s="477">
        <f t="shared" si="55"/>
        <v>100</v>
      </c>
      <c r="H189" s="477">
        <f t="shared" si="56"/>
        <v>100</v>
      </c>
    </row>
    <row r="190" spans="1:8" ht="26.25" x14ac:dyDescent="0.25">
      <c r="A190" s="42" t="s">
        <v>158</v>
      </c>
      <c r="B190" s="42"/>
      <c r="C190" s="43" t="s">
        <v>159</v>
      </c>
      <c r="D190" s="72">
        <f t="shared" ref="D190:F191" si="76">D191</f>
        <v>300</v>
      </c>
      <c r="E190" s="72">
        <f t="shared" si="76"/>
        <v>300</v>
      </c>
      <c r="F190" s="72">
        <f t="shared" si="76"/>
        <v>300</v>
      </c>
      <c r="G190" s="244">
        <f t="shared" si="55"/>
        <v>100</v>
      </c>
      <c r="H190" s="244">
        <f t="shared" si="56"/>
        <v>100</v>
      </c>
    </row>
    <row r="191" spans="1:8" ht="26.25" x14ac:dyDescent="0.25">
      <c r="A191" s="32" t="s">
        <v>160</v>
      </c>
      <c r="B191" s="32"/>
      <c r="C191" s="33" t="s">
        <v>161</v>
      </c>
      <c r="D191" s="68">
        <f t="shared" si="76"/>
        <v>300</v>
      </c>
      <c r="E191" s="68">
        <f t="shared" si="76"/>
        <v>300</v>
      </c>
      <c r="F191" s="68">
        <f t="shared" si="76"/>
        <v>300</v>
      </c>
      <c r="G191" s="245">
        <f t="shared" si="55"/>
        <v>100</v>
      </c>
      <c r="H191" s="245">
        <f t="shared" si="56"/>
        <v>100</v>
      </c>
    </row>
    <row r="192" spans="1:8" ht="26.25" x14ac:dyDescent="0.25">
      <c r="A192" s="6" t="s">
        <v>162</v>
      </c>
      <c r="B192" s="6"/>
      <c r="C192" s="44" t="s">
        <v>163</v>
      </c>
      <c r="D192" s="67">
        <v>300</v>
      </c>
      <c r="E192" s="67">
        <v>300</v>
      </c>
      <c r="F192" s="67">
        <v>300</v>
      </c>
      <c r="G192" s="246">
        <f t="shared" si="55"/>
        <v>100</v>
      </c>
      <c r="H192" s="246">
        <f t="shared" si="56"/>
        <v>100</v>
      </c>
    </row>
    <row r="193" spans="1:8" ht="26.25" x14ac:dyDescent="0.25">
      <c r="A193" s="6"/>
      <c r="B193" s="6" t="s">
        <v>449</v>
      </c>
      <c r="C193" s="3" t="s">
        <v>450</v>
      </c>
      <c r="D193" s="67">
        <v>300</v>
      </c>
      <c r="E193" s="67">
        <v>300</v>
      </c>
      <c r="F193" s="67">
        <v>300</v>
      </c>
      <c r="G193" s="246">
        <f t="shared" si="55"/>
        <v>100</v>
      </c>
      <c r="H193" s="246">
        <f t="shared" si="56"/>
        <v>100</v>
      </c>
    </row>
    <row r="194" spans="1:8" ht="26.25" x14ac:dyDescent="0.25">
      <c r="A194" s="30" t="s">
        <v>164</v>
      </c>
      <c r="B194" s="30"/>
      <c r="C194" s="31" t="s">
        <v>165</v>
      </c>
      <c r="D194" s="72">
        <f t="shared" ref="D194:F195" si="77">D195</f>
        <v>19</v>
      </c>
      <c r="E194" s="72">
        <f t="shared" si="77"/>
        <v>19</v>
      </c>
      <c r="F194" s="72">
        <f t="shared" si="77"/>
        <v>19</v>
      </c>
      <c r="G194" s="244">
        <f t="shared" si="55"/>
        <v>100</v>
      </c>
      <c r="H194" s="244">
        <f t="shared" si="56"/>
        <v>100</v>
      </c>
    </row>
    <row r="195" spans="1:8" ht="26.25" x14ac:dyDescent="0.25">
      <c r="A195" s="32" t="s">
        <v>166</v>
      </c>
      <c r="B195" s="32"/>
      <c r="C195" s="33" t="s">
        <v>167</v>
      </c>
      <c r="D195" s="68">
        <f t="shared" si="77"/>
        <v>19</v>
      </c>
      <c r="E195" s="68">
        <f t="shared" si="77"/>
        <v>19</v>
      </c>
      <c r="F195" s="68">
        <f t="shared" si="77"/>
        <v>19</v>
      </c>
      <c r="G195" s="245">
        <f t="shared" si="55"/>
        <v>100</v>
      </c>
      <c r="H195" s="245">
        <f t="shared" si="56"/>
        <v>100</v>
      </c>
    </row>
    <row r="196" spans="1:8" ht="26.25" x14ac:dyDescent="0.25">
      <c r="A196" s="6" t="s">
        <v>168</v>
      </c>
      <c r="B196" s="6"/>
      <c r="C196" s="3" t="s">
        <v>505</v>
      </c>
      <c r="D196" s="67">
        <v>19</v>
      </c>
      <c r="E196" s="67">
        <v>19</v>
      </c>
      <c r="F196" s="67">
        <v>19</v>
      </c>
      <c r="G196" s="246">
        <f t="shared" si="55"/>
        <v>100</v>
      </c>
      <c r="H196" s="246">
        <f t="shared" si="56"/>
        <v>100</v>
      </c>
    </row>
    <row r="197" spans="1:8" ht="26.25" x14ac:dyDescent="0.25">
      <c r="A197" s="6"/>
      <c r="B197" s="6" t="s">
        <v>449</v>
      </c>
      <c r="C197" s="3" t="s">
        <v>450</v>
      </c>
      <c r="D197" s="67">
        <v>19</v>
      </c>
      <c r="E197" s="67">
        <v>19</v>
      </c>
      <c r="F197" s="67">
        <v>19</v>
      </c>
      <c r="G197" s="246">
        <f t="shared" si="55"/>
        <v>100</v>
      </c>
      <c r="H197" s="246">
        <f t="shared" si="56"/>
        <v>100</v>
      </c>
    </row>
    <row r="198" spans="1:8" ht="26.25" x14ac:dyDescent="0.25">
      <c r="A198" s="30" t="s">
        <v>169</v>
      </c>
      <c r="B198" s="30"/>
      <c r="C198" s="31" t="s">
        <v>170</v>
      </c>
      <c r="D198" s="72">
        <f t="shared" ref="D198:F199" si="78">D199</f>
        <v>26.5</v>
      </c>
      <c r="E198" s="72">
        <f t="shared" si="78"/>
        <v>26.5</v>
      </c>
      <c r="F198" s="72">
        <f t="shared" si="78"/>
        <v>26.5</v>
      </c>
      <c r="G198" s="244">
        <f t="shared" si="55"/>
        <v>100</v>
      </c>
      <c r="H198" s="244">
        <f t="shared" si="56"/>
        <v>100</v>
      </c>
    </row>
    <row r="199" spans="1:8" ht="26.25" x14ac:dyDescent="0.25">
      <c r="A199" s="32" t="s">
        <v>171</v>
      </c>
      <c r="B199" s="32"/>
      <c r="C199" s="33" t="s">
        <v>172</v>
      </c>
      <c r="D199" s="68">
        <f t="shared" si="78"/>
        <v>26.5</v>
      </c>
      <c r="E199" s="68">
        <f t="shared" si="78"/>
        <v>26.5</v>
      </c>
      <c r="F199" s="68">
        <f t="shared" si="78"/>
        <v>26.5</v>
      </c>
      <c r="G199" s="245">
        <f t="shared" si="55"/>
        <v>100</v>
      </c>
      <c r="H199" s="245">
        <f t="shared" si="56"/>
        <v>100</v>
      </c>
    </row>
    <row r="200" spans="1:8" x14ac:dyDescent="0.25">
      <c r="A200" s="6" t="s">
        <v>173</v>
      </c>
      <c r="B200" s="6"/>
      <c r="C200" s="3" t="s">
        <v>506</v>
      </c>
      <c r="D200" s="77">
        <v>26.5</v>
      </c>
      <c r="E200" s="77">
        <v>26.5</v>
      </c>
      <c r="F200" s="77">
        <v>26.5</v>
      </c>
      <c r="G200" s="248">
        <f t="shared" si="55"/>
        <v>100</v>
      </c>
      <c r="H200" s="248">
        <f t="shared" si="56"/>
        <v>100</v>
      </c>
    </row>
    <row r="201" spans="1:8" ht="26.25" x14ac:dyDescent="0.25">
      <c r="A201" s="6"/>
      <c r="B201" s="6" t="s">
        <v>449</v>
      </c>
      <c r="C201" s="3" t="s">
        <v>450</v>
      </c>
      <c r="D201" s="77">
        <v>26.5</v>
      </c>
      <c r="E201" s="77">
        <v>26.5</v>
      </c>
      <c r="F201" s="77">
        <v>26.5</v>
      </c>
      <c r="G201" s="248">
        <f t="shared" si="55"/>
        <v>100</v>
      </c>
      <c r="H201" s="248">
        <f t="shared" si="56"/>
        <v>100</v>
      </c>
    </row>
    <row r="202" spans="1:8" x14ac:dyDescent="0.25">
      <c r="A202" s="30" t="s">
        <v>418</v>
      </c>
      <c r="B202" s="30"/>
      <c r="C202" s="31" t="s">
        <v>175</v>
      </c>
      <c r="D202" s="72">
        <f t="shared" ref="D202:F203" si="79">D203</f>
        <v>60</v>
      </c>
      <c r="E202" s="72">
        <f t="shared" si="79"/>
        <v>60</v>
      </c>
      <c r="F202" s="72">
        <f t="shared" si="79"/>
        <v>60</v>
      </c>
      <c r="G202" s="244">
        <f t="shared" si="55"/>
        <v>100</v>
      </c>
      <c r="H202" s="244">
        <f t="shared" si="56"/>
        <v>100</v>
      </c>
    </row>
    <row r="203" spans="1:8" ht="26.25" x14ac:dyDescent="0.25">
      <c r="A203" s="32" t="s">
        <v>419</v>
      </c>
      <c r="B203" s="32"/>
      <c r="C203" s="33" t="s">
        <v>176</v>
      </c>
      <c r="D203" s="68">
        <f t="shared" si="79"/>
        <v>60</v>
      </c>
      <c r="E203" s="68">
        <f t="shared" si="79"/>
        <v>60</v>
      </c>
      <c r="F203" s="68">
        <f t="shared" si="79"/>
        <v>60</v>
      </c>
      <c r="G203" s="245">
        <f t="shared" ref="G203:G263" si="80">F203/E203*100</f>
        <v>100</v>
      </c>
      <c r="H203" s="245">
        <f t="shared" ref="H203:H263" si="81">E203/D203*100</f>
        <v>100</v>
      </c>
    </row>
    <row r="204" spans="1:8" ht="26.25" x14ac:dyDescent="0.25">
      <c r="A204" s="6" t="s">
        <v>461</v>
      </c>
      <c r="B204" s="6"/>
      <c r="C204" s="3" t="s">
        <v>652</v>
      </c>
      <c r="D204" s="67">
        <v>60</v>
      </c>
      <c r="E204" s="67">
        <v>60</v>
      </c>
      <c r="F204" s="67">
        <v>60</v>
      </c>
      <c r="G204" s="246">
        <f t="shared" si="80"/>
        <v>100</v>
      </c>
      <c r="H204" s="246">
        <f t="shared" si="81"/>
        <v>100</v>
      </c>
    </row>
    <row r="205" spans="1:8" ht="26.25" x14ac:dyDescent="0.25">
      <c r="A205" s="6"/>
      <c r="B205" s="6" t="s">
        <v>449</v>
      </c>
      <c r="C205" s="3" t="s">
        <v>450</v>
      </c>
      <c r="D205" s="67">
        <v>60</v>
      </c>
      <c r="E205" s="67">
        <v>60</v>
      </c>
      <c r="F205" s="67">
        <v>60</v>
      </c>
      <c r="G205" s="246">
        <f t="shared" si="80"/>
        <v>100</v>
      </c>
      <c r="H205" s="246">
        <f t="shared" si="81"/>
        <v>100</v>
      </c>
    </row>
    <row r="206" spans="1:8" ht="39.75" customHeight="1" x14ac:dyDescent="0.25">
      <c r="A206" s="28" t="s">
        <v>177</v>
      </c>
      <c r="B206" s="28"/>
      <c r="C206" s="36" t="s">
        <v>178</v>
      </c>
      <c r="D206" s="69">
        <f t="shared" ref="D206:F206" si="82">D207+D215</f>
        <v>11853.91179</v>
      </c>
      <c r="E206" s="69">
        <f t="shared" si="82"/>
        <v>10429.2654</v>
      </c>
      <c r="F206" s="69">
        <f t="shared" si="82"/>
        <v>10413.907940000001</v>
      </c>
      <c r="G206" s="477">
        <f t="shared" si="80"/>
        <v>99.852746483947001</v>
      </c>
      <c r="H206" s="477">
        <f t="shared" si="81"/>
        <v>87.981634963727032</v>
      </c>
    </row>
    <row r="207" spans="1:8" x14ac:dyDescent="0.25">
      <c r="A207" s="32" t="s">
        <v>179</v>
      </c>
      <c r="B207" s="32"/>
      <c r="C207" s="33" t="s">
        <v>180</v>
      </c>
      <c r="D207" s="68">
        <f t="shared" ref="D207:F207" si="83">D210+D208</f>
        <v>8569.2489999999998</v>
      </c>
      <c r="E207" s="68">
        <f t="shared" si="83"/>
        <v>7407.1409999999996</v>
      </c>
      <c r="F207" s="68">
        <f t="shared" si="83"/>
        <v>7393.9305600000007</v>
      </c>
      <c r="G207" s="245">
        <f t="shared" si="80"/>
        <v>99.821652645737416</v>
      </c>
      <c r="H207" s="245">
        <f t="shared" si="81"/>
        <v>86.438624901668746</v>
      </c>
    </row>
    <row r="208" spans="1:8" ht="77.25" x14ac:dyDescent="0.25">
      <c r="A208" s="6" t="s">
        <v>181</v>
      </c>
      <c r="B208" s="6"/>
      <c r="C208" s="3" t="s">
        <v>507</v>
      </c>
      <c r="D208" s="67">
        <f>D209</f>
        <v>7398.1419999999998</v>
      </c>
      <c r="E208" s="67">
        <f t="shared" ref="E208:F208" si="84">E209</f>
        <v>4610.76</v>
      </c>
      <c r="F208" s="67">
        <f t="shared" si="84"/>
        <v>4610.76</v>
      </c>
      <c r="G208" s="246">
        <f t="shared" si="80"/>
        <v>100</v>
      </c>
      <c r="H208" s="246">
        <f t="shared" si="81"/>
        <v>62.323215747954016</v>
      </c>
    </row>
    <row r="209" spans="1:9" x14ac:dyDescent="0.25">
      <c r="A209" s="6"/>
      <c r="B209" s="6" t="s">
        <v>408</v>
      </c>
      <c r="C209" s="3" t="s">
        <v>409</v>
      </c>
      <c r="D209" s="67">
        <v>7398.1419999999998</v>
      </c>
      <c r="E209" s="67">
        <v>4610.76</v>
      </c>
      <c r="F209" s="67">
        <v>4610.76</v>
      </c>
      <c r="G209" s="246">
        <f t="shared" si="80"/>
        <v>100</v>
      </c>
      <c r="H209" s="246">
        <f t="shared" si="81"/>
        <v>62.323215747954016</v>
      </c>
    </row>
    <row r="210" spans="1:9" ht="51.75" x14ac:dyDescent="0.25">
      <c r="A210" s="6" t="s">
        <v>183</v>
      </c>
      <c r="B210" s="6"/>
      <c r="C210" s="53" t="s">
        <v>726</v>
      </c>
      <c r="D210" s="67">
        <f>SUM(D211)</f>
        <v>1171.107</v>
      </c>
      <c r="E210" s="67">
        <f t="shared" ref="E210:F210" si="85">SUM(E211)</f>
        <v>2796.3809999999999</v>
      </c>
      <c r="F210" s="67">
        <f t="shared" si="85"/>
        <v>2783.17056</v>
      </c>
      <c r="G210" s="246">
        <f t="shared" si="80"/>
        <v>99.52758797889129</v>
      </c>
      <c r="H210" s="246">
        <f t="shared" si="81"/>
        <v>238.78099951584269</v>
      </c>
    </row>
    <row r="211" spans="1:9" x14ac:dyDescent="0.25">
      <c r="A211" s="6"/>
      <c r="B211" s="6" t="s">
        <v>408</v>
      </c>
      <c r="C211" s="3" t="s">
        <v>409</v>
      </c>
      <c r="D211" s="67">
        <f>D214</f>
        <v>1171.107</v>
      </c>
      <c r="E211" s="67">
        <f>E214+E213+E212</f>
        <v>2796.3809999999999</v>
      </c>
      <c r="F211" s="67">
        <f>F214+F213+F212</f>
        <v>2783.17056</v>
      </c>
      <c r="G211" s="246">
        <f t="shared" si="80"/>
        <v>99.52758797889129</v>
      </c>
      <c r="H211" s="246">
        <f t="shared" si="81"/>
        <v>238.78099951584269</v>
      </c>
    </row>
    <row r="212" spans="1:9" x14ac:dyDescent="0.25">
      <c r="A212" s="6"/>
      <c r="B212" s="6"/>
      <c r="C212" s="3" t="s">
        <v>184</v>
      </c>
      <c r="D212" s="67">
        <v>0</v>
      </c>
      <c r="E212" s="67">
        <v>1218.9559999999999</v>
      </c>
      <c r="F212" s="67">
        <v>1213.1973</v>
      </c>
      <c r="G212" s="246">
        <f t="shared" si="80"/>
        <v>99.527571134643097</v>
      </c>
      <c r="H212" s="246" t="e">
        <f t="shared" si="81"/>
        <v>#DIV/0!</v>
      </c>
      <c r="I212" s="482">
        <f t="shared" ref="I212:I213" si="86">SUM(E212-F212)</f>
        <v>5.7586999999998625</v>
      </c>
    </row>
    <row r="213" spans="1:9" x14ac:dyDescent="0.25">
      <c r="A213" s="6"/>
      <c r="B213" s="6"/>
      <c r="C213" s="3" t="s">
        <v>182</v>
      </c>
      <c r="D213" s="67">
        <v>0</v>
      </c>
      <c r="E213" s="67">
        <v>406.31799999999998</v>
      </c>
      <c r="F213" s="67">
        <v>404.39870999999999</v>
      </c>
      <c r="G213" s="246">
        <f t="shared" si="80"/>
        <v>99.527638450671645</v>
      </c>
      <c r="H213" s="246" t="e">
        <f t="shared" si="81"/>
        <v>#DIV/0!</v>
      </c>
      <c r="I213" s="482">
        <f t="shared" si="86"/>
        <v>1.9192899999999895</v>
      </c>
    </row>
    <row r="214" spans="1:9" x14ac:dyDescent="0.25">
      <c r="A214" s="6"/>
      <c r="B214" s="6"/>
      <c r="C214" s="3" t="s">
        <v>146</v>
      </c>
      <c r="D214" s="67">
        <v>1171.107</v>
      </c>
      <c r="E214" s="67">
        <v>1171.107</v>
      </c>
      <c r="F214" s="67">
        <v>1165.57455</v>
      </c>
      <c r="G214" s="246">
        <f t="shared" si="80"/>
        <v>99.527588000071731</v>
      </c>
      <c r="H214" s="246">
        <f t="shared" si="81"/>
        <v>100</v>
      </c>
      <c r="I214" s="482"/>
    </row>
    <row r="215" spans="1:9" ht="39" x14ac:dyDescent="0.25">
      <c r="A215" s="32" t="s">
        <v>185</v>
      </c>
      <c r="B215" s="32"/>
      <c r="C215" s="33" t="s">
        <v>186</v>
      </c>
      <c r="D215" s="68">
        <f t="shared" ref="D215:F215" si="87">D216+D218+D220</f>
        <v>3284.6627899999999</v>
      </c>
      <c r="E215" s="68">
        <f t="shared" si="87"/>
        <v>3022.1244000000002</v>
      </c>
      <c r="F215" s="68">
        <f t="shared" si="87"/>
        <v>3019.9773800000003</v>
      </c>
      <c r="G215" s="245">
        <f t="shared" si="80"/>
        <v>99.92895659755105</v>
      </c>
      <c r="H215" s="245">
        <f t="shared" si="81"/>
        <v>92.007143296435629</v>
      </c>
    </row>
    <row r="216" spans="1:9" ht="39" x14ac:dyDescent="0.25">
      <c r="A216" s="6" t="s">
        <v>187</v>
      </c>
      <c r="B216" s="6"/>
      <c r="C216" s="3" t="s">
        <v>188</v>
      </c>
      <c r="D216" s="67">
        <f t="shared" ref="D216:F216" si="88">D217</f>
        <v>98.75779</v>
      </c>
      <c r="E216" s="67">
        <f t="shared" si="88"/>
        <v>98.75779</v>
      </c>
      <c r="F216" s="67">
        <f t="shared" si="88"/>
        <v>96.610770000000002</v>
      </c>
      <c r="G216" s="246">
        <f t="shared" si="80"/>
        <v>97.825974032023197</v>
      </c>
      <c r="H216" s="246">
        <f t="shared" si="81"/>
        <v>100</v>
      </c>
      <c r="I216" s="482">
        <f>SUM(E216-F216)</f>
        <v>2.1470199999999977</v>
      </c>
    </row>
    <row r="217" spans="1:9" ht="26.25" x14ac:dyDescent="0.25">
      <c r="A217" s="6"/>
      <c r="B217" s="6" t="s">
        <v>272</v>
      </c>
      <c r="C217" s="3" t="s">
        <v>273</v>
      </c>
      <c r="D217" s="67">
        <v>98.75779</v>
      </c>
      <c r="E217" s="67">
        <v>98.75779</v>
      </c>
      <c r="F217" s="67">
        <v>96.610770000000002</v>
      </c>
      <c r="G217" s="246">
        <f t="shared" si="80"/>
        <v>97.825974032023197</v>
      </c>
      <c r="H217" s="246">
        <f t="shared" si="81"/>
        <v>100</v>
      </c>
    </row>
    <row r="218" spans="1:9" ht="77.25" x14ac:dyDescent="0.25">
      <c r="A218" s="6" t="s">
        <v>189</v>
      </c>
      <c r="B218" s="6"/>
      <c r="C218" s="45" t="s">
        <v>190</v>
      </c>
      <c r="D218" s="67">
        <f t="shared" ref="D218:F218" si="89">D219</f>
        <v>3114.7049999999999</v>
      </c>
      <c r="E218" s="67">
        <f t="shared" si="89"/>
        <v>2849.1666100000002</v>
      </c>
      <c r="F218" s="67">
        <f t="shared" si="89"/>
        <v>2849.1666100000002</v>
      </c>
      <c r="G218" s="246">
        <f t="shared" si="80"/>
        <v>100</v>
      </c>
      <c r="H218" s="246">
        <f t="shared" si="81"/>
        <v>91.474685724651309</v>
      </c>
    </row>
    <row r="219" spans="1:9" ht="26.25" x14ac:dyDescent="0.25">
      <c r="A219" s="6"/>
      <c r="B219" s="22" t="s">
        <v>290</v>
      </c>
      <c r="C219" s="3" t="s">
        <v>291</v>
      </c>
      <c r="D219" s="67">
        <v>3114.7049999999999</v>
      </c>
      <c r="E219" s="67">
        <v>2849.1666100000002</v>
      </c>
      <c r="F219" s="67">
        <v>2849.1666100000002</v>
      </c>
      <c r="G219" s="246">
        <f t="shared" si="80"/>
        <v>100</v>
      </c>
      <c r="H219" s="246">
        <f t="shared" si="81"/>
        <v>91.474685724651309</v>
      </c>
    </row>
    <row r="220" spans="1:9" ht="51" x14ac:dyDescent="0.25">
      <c r="A220" s="6" t="s">
        <v>191</v>
      </c>
      <c r="B220" s="6"/>
      <c r="C220" s="1" t="s">
        <v>192</v>
      </c>
      <c r="D220" s="67">
        <v>71.2</v>
      </c>
      <c r="E220" s="67">
        <v>74.2</v>
      </c>
      <c r="F220" s="67">
        <v>74.2</v>
      </c>
      <c r="G220" s="246">
        <f t="shared" si="80"/>
        <v>100</v>
      </c>
      <c r="H220" s="246">
        <f t="shared" si="81"/>
        <v>104.21348314606742</v>
      </c>
    </row>
    <row r="221" spans="1:9" ht="51.75" x14ac:dyDescent="0.25">
      <c r="A221" s="6"/>
      <c r="B221" s="6" t="s">
        <v>383</v>
      </c>
      <c r="C221" s="3" t="s">
        <v>384</v>
      </c>
      <c r="D221" s="67">
        <v>51.7</v>
      </c>
      <c r="E221" s="264">
        <v>54.7</v>
      </c>
      <c r="F221" s="264">
        <v>54.7</v>
      </c>
      <c r="G221" s="246">
        <f t="shared" si="80"/>
        <v>100</v>
      </c>
      <c r="H221" s="246">
        <f t="shared" si="81"/>
        <v>105.8027079303675</v>
      </c>
    </row>
    <row r="222" spans="1:9" ht="26.25" x14ac:dyDescent="0.25">
      <c r="A222" s="6"/>
      <c r="B222" s="6" t="s">
        <v>272</v>
      </c>
      <c r="C222" s="3" t="s">
        <v>273</v>
      </c>
      <c r="D222" s="67">
        <v>19.5</v>
      </c>
      <c r="E222" s="67">
        <v>19.5</v>
      </c>
      <c r="F222" s="67">
        <v>19.5</v>
      </c>
      <c r="G222" s="246">
        <f t="shared" si="80"/>
        <v>100</v>
      </c>
      <c r="H222" s="246">
        <f t="shared" si="81"/>
        <v>100</v>
      </c>
    </row>
    <row r="223" spans="1:9" s="46" customFormat="1" ht="39" x14ac:dyDescent="0.25">
      <c r="A223" s="28" t="s">
        <v>193</v>
      </c>
      <c r="B223" s="28"/>
      <c r="C223" s="36" t="s">
        <v>194</v>
      </c>
      <c r="D223" s="69">
        <f>D224</f>
        <v>5263.2775499999998</v>
      </c>
      <c r="E223" s="69">
        <f>E224</f>
        <v>4781.1062500000007</v>
      </c>
      <c r="F223" s="69">
        <f>F224</f>
        <v>4618.3203300000005</v>
      </c>
      <c r="G223" s="477">
        <f t="shared" si="80"/>
        <v>96.595224797608296</v>
      </c>
      <c r="H223" s="477">
        <f t="shared" si="81"/>
        <v>90.838953571810038</v>
      </c>
    </row>
    <row r="224" spans="1:9" ht="39" x14ac:dyDescent="0.25">
      <c r="A224" s="32" t="s">
        <v>195</v>
      </c>
      <c r="B224" s="32"/>
      <c r="C224" s="33" t="s">
        <v>789</v>
      </c>
      <c r="D224" s="68">
        <f>D225+D228+D230+D234+D236</f>
        <v>5263.2775499999998</v>
      </c>
      <c r="E224" s="68">
        <f t="shared" ref="E224:F224" si="90">E225+E228+E230+E234+E236</f>
        <v>4781.1062500000007</v>
      </c>
      <c r="F224" s="68">
        <f t="shared" si="90"/>
        <v>4618.3203300000005</v>
      </c>
      <c r="G224" s="245">
        <f t="shared" si="80"/>
        <v>96.595224797608296</v>
      </c>
      <c r="H224" s="245">
        <f t="shared" si="81"/>
        <v>90.838953571810038</v>
      </c>
    </row>
    <row r="225" spans="1:9" ht="38.25" x14ac:dyDescent="0.25">
      <c r="A225" s="6" t="s">
        <v>196</v>
      </c>
      <c r="B225" s="6"/>
      <c r="C225" s="5" t="s">
        <v>508</v>
      </c>
      <c r="D225" s="67">
        <f>D226</f>
        <v>1121.9000000000001</v>
      </c>
      <c r="E225" s="67">
        <v>1457.6082099999999</v>
      </c>
      <c r="F225" s="67">
        <v>1453.22909</v>
      </c>
      <c r="G225" s="246">
        <f t="shared" si="80"/>
        <v>99.69956810273456</v>
      </c>
      <c r="H225" s="246">
        <f t="shared" si="81"/>
        <v>129.92318477582668</v>
      </c>
    </row>
    <row r="226" spans="1:9" ht="26.25" x14ac:dyDescent="0.25">
      <c r="A226" s="6"/>
      <c r="B226" s="6" t="s">
        <v>272</v>
      </c>
      <c r="C226" s="3" t="s">
        <v>273</v>
      </c>
      <c r="D226" s="67">
        <f>864.2+257.7</f>
        <v>1121.9000000000001</v>
      </c>
      <c r="E226" s="67">
        <f>E225-E227</f>
        <v>1239.1922099999999</v>
      </c>
      <c r="F226" s="67">
        <f>F225-F227</f>
        <v>1234.8130900000001</v>
      </c>
      <c r="G226" s="246">
        <f t="shared" si="80"/>
        <v>99.646614950879979</v>
      </c>
      <c r="H226" s="246">
        <f t="shared" si="81"/>
        <v>110.45478295748283</v>
      </c>
    </row>
    <row r="227" spans="1:9" x14ac:dyDescent="0.25">
      <c r="A227" s="6"/>
      <c r="B227" s="16" t="s">
        <v>390</v>
      </c>
      <c r="C227" s="7" t="s">
        <v>391</v>
      </c>
      <c r="D227" s="67"/>
      <c r="E227" s="67">
        <v>218.416</v>
      </c>
      <c r="F227" s="67">
        <v>218.416</v>
      </c>
      <c r="G227" s="246"/>
      <c r="H227" s="246"/>
    </row>
    <row r="228" spans="1:9" ht="39" x14ac:dyDescent="0.25">
      <c r="A228" s="6" t="s">
        <v>197</v>
      </c>
      <c r="B228" s="6"/>
      <c r="C228" s="13" t="s">
        <v>198</v>
      </c>
      <c r="D228" s="67">
        <f>D229</f>
        <v>95.3</v>
      </c>
      <c r="E228" s="67">
        <f t="shared" ref="E228:F228" si="91">E229</f>
        <v>66.649839999999998</v>
      </c>
      <c r="F228" s="67">
        <f t="shared" si="91"/>
        <v>66.649839999999998</v>
      </c>
      <c r="G228" s="246">
        <f t="shared" si="80"/>
        <v>100</v>
      </c>
      <c r="H228" s="246">
        <f t="shared" si="81"/>
        <v>69.936873032528851</v>
      </c>
    </row>
    <row r="229" spans="1:9" ht="26.25" x14ac:dyDescent="0.25">
      <c r="A229" s="6"/>
      <c r="B229" s="6" t="s">
        <v>272</v>
      </c>
      <c r="C229" s="3" t="s">
        <v>273</v>
      </c>
      <c r="D229" s="67">
        <v>95.3</v>
      </c>
      <c r="E229" s="67">
        <v>66.649839999999998</v>
      </c>
      <c r="F229" s="67">
        <v>66.649839999999998</v>
      </c>
      <c r="G229" s="246">
        <f t="shared" si="80"/>
        <v>100</v>
      </c>
      <c r="H229" s="246">
        <f t="shared" si="81"/>
        <v>69.936873032528851</v>
      </c>
    </row>
    <row r="230" spans="1:9" s="90" customFormat="1" ht="26.25" x14ac:dyDescent="0.25">
      <c r="A230" s="6" t="s">
        <v>199</v>
      </c>
      <c r="B230" s="6"/>
      <c r="C230" s="13" t="s">
        <v>200</v>
      </c>
      <c r="D230" s="67">
        <f>SUM(D231:D232)</f>
        <v>2411.8000000000002</v>
      </c>
      <c r="E230" s="67">
        <f>E231+E232+E233</f>
        <v>2152.3787800000005</v>
      </c>
      <c r="F230" s="67">
        <f>F231+F232+F233</f>
        <v>1993.97198</v>
      </c>
      <c r="G230" s="246">
        <f t="shared" si="80"/>
        <v>92.64038460739701</v>
      </c>
      <c r="H230" s="246">
        <f t="shared" si="81"/>
        <v>89.243667799983427</v>
      </c>
    </row>
    <row r="231" spans="1:9" ht="26.25" x14ac:dyDescent="0.25">
      <c r="A231" s="6"/>
      <c r="B231" s="6" t="s">
        <v>272</v>
      </c>
      <c r="C231" s="3" t="s">
        <v>273</v>
      </c>
      <c r="D231" s="67">
        <f>5357.4-4285.9</f>
        <v>1071.5</v>
      </c>
      <c r="E231" s="67">
        <v>1083.5</v>
      </c>
      <c r="F231" s="67">
        <v>1082.85718</v>
      </c>
      <c r="G231" s="246">
        <f t="shared" si="80"/>
        <v>99.940671896631287</v>
      </c>
      <c r="H231" s="246">
        <f t="shared" si="81"/>
        <v>101.11992533831078</v>
      </c>
    </row>
    <row r="232" spans="1:9" x14ac:dyDescent="0.25">
      <c r="A232" s="6"/>
      <c r="B232" s="6" t="s">
        <v>408</v>
      </c>
      <c r="C232" s="3" t="s">
        <v>409</v>
      </c>
      <c r="D232" s="67">
        <v>1340.3</v>
      </c>
      <c r="E232" s="67">
        <v>1064.86815</v>
      </c>
      <c r="F232" s="67">
        <v>907.10416999999995</v>
      </c>
      <c r="G232" s="246">
        <f t="shared" si="80"/>
        <v>85.184646568685523</v>
      </c>
      <c r="H232" s="246">
        <f t="shared" si="81"/>
        <v>79.449985077967625</v>
      </c>
    </row>
    <row r="233" spans="1:9" x14ac:dyDescent="0.25">
      <c r="A233" s="6"/>
      <c r="B233" s="16" t="s">
        <v>390</v>
      </c>
      <c r="C233" s="7" t="s">
        <v>391</v>
      </c>
      <c r="D233" s="67"/>
      <c r="E233" s="67">
        <v>4.0106299999999999</v>
      </c>
      <c r="F233" s="67">
        <v>4.0106299999999999</v>
      </c>
      <c r="G233" s="246">
        <f t="shared" ref="G233" si="92">F233/E233*100</f>
        <v>100</v>
      </c>
      <c r="H233" s="246"/>
    </row>
    <row r="234" spans="1:9" ht="26.25" x14ac:dyDescent="0.25">
      <c r="A234" s="6" t="s">
        <v>201</v>
      </c>
      <c r="B234" s="6"/>
      <c r="C234" s="3" t="s">
        <v>509</v>
      </c>
      <c r="D234" s="67">
        <f>D235</f>
        <v>104.2</v>
      </c>
      <c r="E234" s="67">
        <f t="shared" ref="E234:F234" si="93">E235</f>
        <v>66.403390000000002</v>
      </c>
      <c r="F234" s="67">
        <f t="shared" si="93"/>
        <v>66.403390000000002</v>
      </c>
      <c r="G234" s="246">
        <f t="shared" si="80"/>
        <v>100</v>
      </c>
      <c r="H234" s="246">
        <f t="shared" si="81"/>
        <v>63.726861804222644</v>
      </c>
    </row>
    <row r="235" spans="1:9" ht="26.25" x14ac:dyDescent="0.25">
      <c r="A235" s="6"/>
      <c r="B235" s="6" t="s">
        <v>272</v>
      </c>
      <c r="C235" s="3" t="s">
        <v>273</v>
      </c>
      <c r="D235" s="67">
        <v>104.2</v>
      </c>
      <c r="E235" s="67">
        <v>66.403390000000002</v>
      </c>
      <c r="F235" s="67">
        <v>66.403390000000002</v>
      </c>
      <c r="G235" s="246">
        <f t="shared" si="80"/>
        <v>100</v>
      </c>
      <c r="H235" s="246">
        <f t="shared" si="81"/>
        <v>63.726861804222644</v>
      </c>
    </row>
    <row r="236" spans="1:9" ht="39" x14ac:dyDescent="0.25">
      <c r="A236" s="6" t="s">
        <v>468</v>
      </c>
      <c r="B236" s="6"/>
      <c r="C236" s="3" t="s">
        <v>469</v>
      </c>
      <c r="D236" s="67">
        <f>D237</f>
        <v>1530.0775500000002</v>
      </c>
      <c r="E236" s="67">
        <v>1038.06603</v>
      </c>
      <c r="F236" s="67">
        <v>1038.06603</v>
      </c>
      <c r="G236" s="246">
        <f t="shared" si="80"/>
        <v>100</v>
      </c>
      <c r="H236" s="246">
        <f t="shared" si="81"/>
        <v>67.84401418084984</v>
      </c>
    </row>
    <row r="237" spans="1:9" ht="26.25" x14ac:dyDescent="0.25">
      <c r="A237" s="6"/>
      <c r="B237" s="6" t="s">
        <v>272</v>
      </c>
      <c r="C237" s="3" t="s">
        <v>273</v>
      </c>
      <c r="D237" s="67">
        <f>D238+D239</f>
        <v>1530.0775500000002</v>
      </c>
      <c r="E237" s="67">
        <v>1038.06603</v>
      </c>
      <c r="F237" s="67">
        <v>1038.06603</v>
      </c>
      <c r="G237" s="246">
        <f t="shared" si="80"/>
        <v>100</v>
      </c>
      <c r="H237" s="246">
        <f t="shared" si="81"/>
        <v>67.84401418084984</v>
      </c>
    </row>
    <row r="238" spans="1:9" x14ac:dyDescent="0.25">
      <c r="A238" s="6"/>
      <c r="B238" s="6"/>
      <c r="C238" s="3" t="s">
        <v>182</v>
      </c>
      <c r="D238" s="67">
        <v>1499.4760000000001</v>
      </c>
      <c r="E238" s="67">
        <v>1017.3047</v>
      </c>
      <c r="F238" s="67">
        <v>1017.3047</v>
      </c>
      <c r="G238" s="246">
        <f t="shared" si="80"/>
        <v>100</v>
      </c>
      <c r="H238" s="246">
        <f t="shared" si="81"/>
        <v>67.844013508719044</v>
      </c>
    </row>
    <row r="239" spans="1:9" x14ac:dyDescent="0.25">
      <c r="A239" s="6"/>
      <c r="B239" s="6"/>
      <c r="C239" s="3" t="s">
        <v>146</v>
      </c>
      <c r="D239" s="67">
        <v>30.60155</v>
      </c>
      <c r="E239" s="67">
        <v>20.761330000000001</v>
      </c>
      <c r="F239" s="67">
        <v>20.761330000000001</v>
      </c>
      <c r="G239" s="246">
        <f t="shared" si="80"/>
        <v>100</v>
      </c>
      <c r="H239" s="246">
        <f t="shared" si="81"/>
        <v>67.844047115260508</v>
      </c>
    </row>
    <row r="240" spans="1:9" ht="39" x14ac:dyDescent="0.25">
      <c r="A240" s="28" t="s">
        <v>203</v>
      </c>
      <c r="B240" s="28"/>
      <c r="C240" s="36" t="s">
        <v>204</v>
      </c>
      <c r="D240" s="69">
        <f>D241+D284+D292</f>
        <v>143214.96000999998</v>
      </c>
      <c r="E240" s="69">
        <f>E241+E284+E292</f>
        <v>119579.75800000002</v>
      </c>
      <c r="F240" s="69">
        <f>F241+F284+F292</f>
        <v>98367.578190000015</v>
      </c>
      <c r="G240" s="477">
        <f t="shared" si="80"/>
        <v>82.261061433156598</v>
      </c>
      <c r="H240" s="477">
        <f t="shared" si="81"/>
        <v>83.496694752873836</v>
      </c>
      <c r="I240" s="482"/>
    </row>
    <row r="241" spans="1:8" ht="26.25" x14ac:dyDescent="0.25">
      <c r="A241" s="30" t="s">
        <v>205</v>
      </c>
      <c r="B241" s="30"/>
      <c r="C241" s="31" t="s">
        <v>206</v>
      </c>
      <c r="D241" s="72">
        <f>D242+D245+D250+D253+D256+D261+D264+D278</f>
        <v>141435.56000999999</v>
      </c>
      <c r="E241" s="72">
        <f>E242+E245+E250+E253+E256+E261+E264+E278</f>
        <v>117700.35800000001</v>
      </c>
      <c r="F241" s="72">
        <f>F242+F245+F250+F253+F256+F261+F264+F278</f>
        <v>96488.178190000006</v>
      </c>
      <c r="G241" s="244">
        <f t="shared" si="80"/>
        <v>81.977811987623696</v>
      </c>
      <c r="H241" s="244">
        <f t="shared" si="81"/>
        <v>83.21836318368463</v>
      </c>
    </row>
    <row r="242" spans="1:8" ht="39" x14ac:dyDescent="0.25">
      <c r="A242" s="32" t="s">
        <v>207</v>
      </c>
      <c r="B242" s="32"/>
      <c r="C242" s="33" t="s">
        <v>208</v>
      </c>
      <c r="D242" s="68">
        <f t="shared" ref="D242:F243" si="94">D243</f>
        <v>47452.899999999994</v>
      </c>
      <c r="E242" s="68">
        <f t="shared" si="94"/>
        <v>47452.899999999994</v>
      </c>
      <c r="F242" s="68">
        <f t="shared" si="94"/>
        <v>47452.899999999994</v>
      </c>
      <c r="G242" s="245">
        <f t="shared" si="80"/>
        <v>100</v>
      </c>
      <c r="H242" s="245">
        <f t="shared" si="81"/>
        <v>100</v>
      </c>
    </row>
    <row r="243" spans="1:8" ht="26.25" x14ac:dyDescent="0.25">
      <c r="A243" s="6" t="s">
        <v>209</v>
      </c>
      <c r="B243" s="6"/>
      <c r="C243" s="8" t="s">
        <v>420</v>
      </c>
      <c r="D243" s="67">
        <f t="shared" si="94"/>
        <v>47452.899999999994</v>
      </c>
      <c r="E243" s="67">
        <f t="shared" si="94"/>
        <v>47452.899999999994</v>
      </c>
      <c r="F243" s="67">
        <f t="shared" si="94"/>
        <v>47452.899999999994</v>
      </c>
      <c r="G243" s="246">
        <f t="shared" si="80"/>
        <v>100</v>
      </c>
      <c r="H243" s="246">
        <f t="shared" si="81"/>
        <v>100</v>
      </c>
    </row>
    <row r="244" spans="1:8" ht="26.25" x14ac:dyDescent="0.25">
      <c r="A244" s="6"/>
      <c r="B244" s="6" t="s">
        <v>449</v>
      </c>
      <c r="C244" s="3" t="s">
        <v>450</v>
      </c>
      <c r="D244" s="67">
        <f>46330.7+77+1045.2</f>
        <v>47452.899999999994</v>
      </c>
      <c r="E244" s="67">
        <f t="shared" ref="E244:F244" si="95">46330.7+77+1045.2</f>
        <v>47452.899999999994</v>
      </c>
      <c r="F244" s="67">
        <f t="shared" si="95"/>
        <v>47452.899999999994</v>
      </c>
      <c r="G244" s="246">
        <f t="shared" si="80"/>
        <v>100</v>
      </c>
      <c r="H244" s="246">
        <f t="shared" si="81"/>
        <v>100</v>
      </c>
    </row>
    <row r="245" spans="1:8" ht="26.25" customHeight="1" x14ac:dyDescent="0.25">
      <c r="A245" s="32" t="s">
        <v>210</v>
      </c>
      <c r="B245" s="32"/>
      <c r="C245" s="33" t="s">
        <v>211</v>
      </c>
      <c r="D245" s="68">
        <f>D246+D248</f>
        <v>21828.7</v>
      </c>
      <c r="E245" s="68">
        <f t="shared" ref="E245:F245" si="96">E246+E248</f>
        <v>21828.7</v>
      </c>
      <c r="F245" s="68">
        <f t="shared" si="96"/>
        <v>21828.686600000001</v>
      </c>
      <c r="G245" s="245">
        <f t="shared" si="80"/>
        <v>99.999938612927025</v>
      </c>
      <c r="H245" s="245">
        <f t="shared" si="81"/>
        <v>100</v>
      </c>
    </row>
    <row r="246" spans="1:8" ht="26.25" x14ac:dyDescent="0.25">
      <c r="A246" s="6" t="s">
        <v>212</v>
      </c>
      <c r="B246" s="6"/>
      <c r="C246" s="8" t="s">
        <v>421</v>
      </c>
      <c r="D246" s="67">
        <f>D247</f>
        <v>21328.7</v>
      </c>
      <c r="E246" s="67">
        <f t="shared" ref="E246:F246" si="97">E247</f>
        <v>21328.7</v>
      </c>
      <c r="F246" s="67">
        <f t="shared" si="97"/>
        <v>21328.7</v>
      </c>
      <c r="G246" s="246">
        <f t="shared" si="80"/>
        <v>100</v>
      </c>
      <c r="H246" s="246">
        <f t="shared" si="81"/>
        <v>100</v>
      </c>
    </row>
    <row r="247" spans="1:8" ht="26.25" x14ac:dyDescent="0.25">
      <c r="A247" s="6"/>
      <c r="B247" s="6" t="s">
        <v>449</v>
      </c>
      <c r="C247" s="3" t="s">
        <v>450</v>
      </c>
      <c r="D247" s="67">
        <f>18743-113.2+2698.9</f>
        <v>21328.7</v>
      </c>
      <c r="E247" s="67">
        <f t="shared" ref="E247:F247" si="98">18743-113.2+2698.9</f>
        <v>21328.7</v>
      </c>
      <c r="F247" s="67">
        <f t="shared" si="98"/>
        <v>21328.7</v>
      </c>
      <c r="G247" s="246">
        <f t="shared" si="80"/>
        <v>100</v>
      </c>
      <c r="H247" s="246">
        <f t="shared" si="81"/>
        <v>100</v>
      </c>
    </row>
    <row r="248" spans="1:8" ht="26.25" x14ac:dyDescent="0.25">
      <c r="A248" s="6" t="s">
        <v>213</v>
      </c>
      <c r="B248" s="6"/>
      <c r="C248" s="8" t="s">
        <v>214</v>
      </c>
      <c r="D248" s="67">
        <v>500</v>
      </c>
      <c r="E248" s="67">
        <v>500</v>
      </c>
      <c r="F248" s="67">
        <f>F249</f>
        <v>499.98660000000001</v>
      </c>
      <c r="G248" s="246">
        <f t="shared" si="80"/>
        <v>99.997320000000002</v>
      </c>
      <c r="H248" s="246">
        <f t="shared" si="81"/>
        <v>100</v>
      </c>
    </row>
    <row r="249" spans="1:8" ht="26.25" x14ac:dyDescent="0.25">
      <c r="A249" s="6"/>
      <c r="B249" s="6" t="s">
        <v>449</v>
      </c>
      <c r="C249" s="3" t="s">
        <v>450</v>
      </c>
      <c r="D249" s="67">
        <v>500</v>
      </c>
      <c r="E249" s="67">
        <v>500</v>
      </c>
      <c r="F249" s="67">
        <v>499.98660000000001</v>
      </c>
      <c r="G249" s="246">
        <f t="shared" si="80"/>
        <v>99.997320000000002</v>
      </c>
      <c r="H249" s="246">
        <f t="shared" si="81"/>
        <v>100</v>
      </c>
    </row>
    <row r="250" spans="1:8" ht="26.25" x14ac:dyDescent="0.25">
      <c r="A250" s="32" t="s">
        <v>215</v>
      </c>
      <c r="B250" s="32"/>
      <c r="C250" s="33" t="s">
        <v>216</v>
      </c>
      <c r="D250" s="68">
        <f t="shared" ref="D250:F251" si="99">D251</f>
        <v>1612.9</v>
      </c>
      <c r="E250" s="68">
        <f t="shared" si="99"/>
        <v>1612.9</v>
      </c>
      <c r="F250" s="68">
        <f t="shared" si="99"/>
        <v>1612.9</v>
      </c>
      <c r="G250" s="245">
        <f t="shared" si="80"/>
        <v>100</v>
      </c>
      <c r="H250" s="245">
        <f t="shared" si="81"/>
        <v>100</v>
      </c>
    </row>
    <row r="251" spans="1:8" x14ac:dyDescent="0.25">
      <c r="A251" s="6" t="s">
        <v>217</v>
      </c>
      <c r="B251" s="6"/>
      <c r="C251" s="8" t="s">
        <v>422</v>
      </c>
      <c r="D251" s="67">
        <f t="shared" si="99"/>
        <v>1612.9</v>
      </c>
      <c r="E251" s="67">
        <f t="shared" si="99"/>
        <v>1612.9</v>
      </c>
      <c r="F251" s="67">
        <f t="shared" si="99"/>
        <v>1612.9</v>
      </c>
      <c r="G251" s="246">
        <f t="shared" si="80"/>
        <v>100</v>
      </c>
      <c r="H251" s="246">
        <f t="shared" si="81"/>
        <v>100</v>
      </c>
    </row>
    <row r="252" spans="1:8" ht="26.25" x14ac:dyDescent="0.25">
      <c r="A252" s="6"/>
      <c r="B252" s="6" t="s">
        <v>449</v>
      </c>
      <c r="C252" s="3" t="s">
        <v>450</v>
      </c>
      <c r="D252" s="67">
        <f>1427.3-5.3+190.9</f>
        <v>1612.9</v>
      </c>
      <c r="E252" s="67">
        <f t="shared" ref="E252:F252" si="100">1427.3-5.3+190.9</f>
        <v>1612.9</v>
      </c>
      <c r="F252" s="67">
        <f t="shared" si="100"/>
        <v>1612.9</v>
      </c>
      <c r="G252" s="246">
        <f t="shared" si="80"/>
        <v>100</v>
      </c>
      <c r="H252" s="246">
        <f t="shared" si="81"/>
        <v>100</v>
      </c>
    </row>
    <row r="253" spans="1:8" ht="26.25" x14ac:dyDescent="0.25">
      <c r="A253" s="32" t="s">
        <v>218</v>
      </c>
      <c r="B253" s="32"/>
      <c r="C253" s="33" t="s">
        <v>219</v>
      </c>
      <c r="D253" s="68">
        <f t="shared" ref="D253:F254" si="101">D254</f>
        <v>19445.100000000002</v>
      </c>
      <c r="E253" s="68">
        <f t="shared" si="101"/>
        <v>19445.100000000002</v>
      </c>
      <c r="F253" s="68">
        <f t="shared" si="101"/>
        <v>19445.100000000002</v>
      </c>
      <c r="G253" s="245">
        <f t="shared" si="80"/>
        <v>100</v>
      </c>
      <c r="H253" s="245">
        <f t="shared" si="81"/>
        <v>100</v>
      </c>
    </row>
    <row r="254" spans="1:8" x14ac:dyDescent="0.25">
      <c r="A254" s="6" t="s">
        <v>220</v>
      </c>
      <c r="B254" s="6"/>
      <c r="C254" s="8" t="s">
        <v>423</v>
      </c>
      <c r="D254" s="67">
        <f t="shared" si="101"/>
        <v>19445.100000000002</v>
      </c>
      <c r="E254" s="67">
        <f t="shared" si="101"/>
        <v>19445.100000000002</v>
      </c>
      <c r="F254" s="67">
        <f t="shared" si="101"/>
        <v>19445.100000000002</v>
      </c>
      <c r="G254" s="246">
        <f t="shared" si="80"/>
        <v>100</v>
      </c>
      <c r="H254" s="246">
        <f t="shared" si="81"/>
        <v>100</v>
      </c>
    </row>
    <row r="255" spans="1:8" ht="26.25" x14ac:dyDescent="0.25">
      <c r="A255" s="6"/>
      <c r="B255" s="6" t="s">
        <v>449</v>
      </c>
      <c r="C255" s="3" t="s">
        <v>450</v>
      </c>
      <c r="D255" s="67">
        <f>19464.2-19.1</f>
        <v>19445.100000000002</v>
      </c>
      <c r="E255" s="67">
        <f t="shared" ref="E255:F255" si="102">19464.2-19.1</f>
        <v>19445.100000000002</v>
      </c>
      <c r="F255" s="67">
        <f t="shared" si="102"/>
        <v>19445.100000000002</v>
      </c>
      <c r="G255" s="246">
        <f t="shared" si="80"/>
        <v>100</v>
      </c>
      <c r="H255" s="246">
        <f t="shared" si="81"/>
        <v>100</v>
      </c>
    </row>
    <row r="256" spans="1:8" ht="26.25" x14ac:dyDescent="0.25">
      <c r="A256" s="32" t="s">
        <v>221</v>
      </c>
      <c r="B256" s="35"/>
      <c r="C256" s="33" t="s">
        <v>222</v>
      </c>
      <c r="D256" s="68">
        <f>D257+D259</f>
        <v>1607.5</v>
      </c>
      <c r="E256" s="68">
        <f t="shared" ref="E256:F256" si="103">E257+E259</f>
        <v>1607.5</v>
      </c>
      <c r="F256" s="68">
        <f t="shared" si="103"/>
        <v>1607.5</v>
      </c>
      <c r="G256" s="245">
        <f t="shared" si="80"/>
        <v>100</v>
      </c>
      <c r="H256" s="245">
        <f t="shared" si="81"/>
        <v>100</v>
      </c>
    </row>
    <row r="257" spans="1:8" ht="77.25" x14ac:dyDescent="0.25">
      <c r="A257" s="6" t="s">
        <v>223</v>
      </c>
      <c r="B257" s="6"/>
      <c r="C257" s="3" t="s">
        <v>454</v>
      </c>
      <c r="D257" s="67">
        <f>D258</f>
        <v>950</v>
      </c>
      <c r="E257" s="67">
        <f t="shared" ref="E257:F257" si="104">E258</f>
        <v>950</v>
      </c>
      <c r="F257" s="67">
        <f t="shared" si="104"/>
        <v>950</v>
      </c>
      <c r="G257" s="246">
        <f t="shared" si="80"/>
        <v>100</v>
      </c>
      <c r="H257" s="246">
        <f t="shared" si="81"/>
        <v>100</v>
      </c>
    </row>
    <row r="258" spans="1:8" ht="26.25" x14ac:dyDescent="0.25">
      <c r="A258" s="6"/>
      <c r="B258" s="6" t="s">
        <v>449</v>
      </c>
      <c r="C258" s="3" t="s">
        <v>450</v>
      </c>
      <c r="D258" s="67">
        <v>950</v>
      </c>
      <c r="E258" s="67">
        <v>950</v>
      </c>
      <c r="F258" s="67">
        <v>950</v>
      </c>
      <c r="G258" s="246">
        <f t="shared" si="80"/>
        <v>100</v>
      </c>
      <c r="H258" s="246">
        <f t="shared" si="81"/>
        <v>100</v>
      </c>
    </row>
    <row r="259" spans="1:8" ht="64.5" x14ac:dyDescent="0.25">
      <c r="A259" s="6" t="s">
        <v>224</v>
      </c>
      <c r="B259" s="6"/>
      <c r="C259" s="3" t="s">
        <v>225</v>
      </c>
      <c r="D259" s="67">
        <f>D260</f>
        <v>657.5</v>
      </c>
      <c r="E259" s="67">
        <f t="shared" ref="E259:F259" si="105">E260</f>
        <v>657.5</v>
      </c>
      <c r="F259" s="67">
        <f t="shared" si="105"/>
        <v>657.5</v>
      </c>
      <c r="G259" s="246">
        <f t="shared" si="80"/>
        <v>100</v>
      </c>
      <c r="H259" s="246">
        <f t="shared" si="81"/>
        <v>100</v>
      </c>
    </row>
    <row r="260" spans="1:8" ht="26.25" x14ac:dyDescent="0.25">
      <c r="A260" s="6"/>
      <c r="B260" s="6" t="s">
        <v>449</v>
      </c>
      <c r="C260" s="3" t="s">
        <v>450</v>
      </c>
      <c r="D260" s="67">
        <f>590-29.5+97</f>
        <v>657.5</v>
      </c>
      <c r="E260" s="67">
        <f t="shared" ref="E260:F260" si="106">590-29.5+97</f>
        <v>657.5</v>
      </c>
      <c r="F260" s="67">
        <f t="shared" si="106"/>
        <v>657.5</v>
      </c>
      <c r="G260" s="246">
        <f t="shared" si="80"/>
        <v>100</v>
      </c>
      <c r="H260" s="246">
        <f t="shared" si="81"/>
        <v>100</v>
      </c>
    </row>
    <row r="261" spans="1:8" x14ac:dyDescent="0.25">
      <c r="A261" s="32" t="s">
        <v>226</v>
      </c>
      <c r="B261" s="35"/>
      <c r="C261" s="33" t="s">
        <v>227</v>
      </c>
      <c r="D261" s="68">
        <f t="shared" ref="D261:F262" si="107">D262</f>
        <v>50</v>
      </c>
      <c r="E261" s="68">
        <f t="shared" si="107"/>
        <v>50</v>
      </c>
      <c r="F261" s="68">
        <f t="shared" si="107"/>
        <v>50</v>
      </c>
      <c r="G261" s="245">
        <f t="shared" si="80"/>
        <v>100</v>
      </c>
      <c r="H261" s="245">
        <f t="shared" si="81"/>
        <v>100</v>
      </c>
    </row>
    <row r="262" spans="1:8" x14ac:dyDescent="0.25">
      <c r="A262" s="6" t="s">
        <v>228</v>
      </c>
      <c r="B262" s="6"/>
      <c r="C262" s="3" t="s">
        <v>643</v>
      </c>
      <c r="D262" s="67">
        <f t="shared" si="107"/>
        <v>50</v>
      </c>
      <c r="E262" s="67">
        <f t="shared" si="107"/>
        <v>50</v>
      </c>
      <c r="F262" s="67">
        <f t="shared" si="107"/>
        <v>50</v>
      </c>
      <c r="G262" s="246">
        <f t="shared" si="80"/>
        <v>100</v>
      </c>
      <c r="H262" s="246">
        <f t="shared" si="81"/>
        <v>100</v>
      </c>
    </row>
    <row r="263" spans="1:8" ht="26.25" x14ac:dyDescent="0.25">
      <c r="A263" s="6"/>
      <c r="B263" s="6" t="s">
        <v>449</v>
      </c>
      <c r="C263" s="3" t="s">
        <v>450</v>
      </c>
      <c r="D263" s="67">
        <v>50</v>
      </c>
      <c r="E263" s="67">
        <v>50</v>
      </c>
      <c r="F263" s="67">
        <v>50</v>
      </c>
      <c r="G263" s="246">
        <f t="shared" si="80"/>
        <v>100</v>
      </c>
      <c r="H263" s="246">
        <f t="shared" si="81"/>
        <v>100</v>
      </c>
    </row>
    <row r="264" spans="1:8" ht="51.75" x14ac:dyDescent="0.25">
      <c r="A264" s="32" t="s">
        <v>229</v>
      </c>
      <c r="B264" s="32"/>
      <c r="C264" s="47" t="s">
        <v>230</v>
      </c>
      <c r="D264" s="68">
        <f>D268+D272+D276</f>
        <v>49438.407379999997</v>
      </c>
      <c r="E264" s="68">
        <f t="shared" ref="E264:F264" si="108">E268+E272+E276</f>
        <v>25650.573790000002</v>
      </c>
      <c r="F264" s="68">
        <f t="shared" si="108"/>
        <v>4438.4073800000006</v>
      </c>
      <c r="G264" s="245">
        <f t="shared" ref="G264:G326" si="109">F264/E264*100</f>
        <v>17.303345400134226</v>
      </c>
      <c r="H264" s="245">
        <f t="shared" ref="H264:H327" si="110">E264/D264*100</f>
        <v>51.883899885449758</v>
      </c>
    </row>
    <row r="265" spans="1:8" s="38" customFormat="1" ht="38.25" x14ac:dyDescent="0.25">
      <c r="A265" s="6" t="s">
        <v>803</v>
      </c>
      <c r="B265" s="17"/>
      <c r="C265" s="1" t="s">
        <v>804</v>
      </c>
      <c r="D265" s="81">
        <f>D266</f>
        <v>2013.2</v>
      </c>
      <c r="E265" s="81">
        <f t="shared" ref="E265:F265" si="111">E266</f>
        <v>2013.2</v>
      </c>
      <c r="F265" s="81">
        <f t="shared" si="111"/>
        <v>2013.2</v>
      </c>
      <c r="G265" s="478">
        <f t="shared" si="109"/>
        <v>100</v>
      </c>
      <c r="H265" s="478">
        <f t="shared" si="110"/>
        <v>100</v>
      </c>
    </row>
    <row r="266" spans="1:8" s="38" customFormat="1" ht="26.25" x14ac:dyDescent="0.25">
      <c r="A266" s="6"/>
      <c r="B266" s="6" t="s">
        <v>449</v>
      </c>
      <c r="C266" s="3" t="s">
        <v>450</v>
      </c>
      <c r="D266" s="81">
        <f>D268</f>
        <v>2013.2</v>
      </c>
      <c r="E266" s="81">
        <f t="shared" ref="E266:F266" si="112">E268</f>
        <v>2013.2</v>
      </c>
      <c r="F266" s="81">
        <f t="shared" si="112"/>
        <v>2013.2</v>
      </c>
      <c r="G266" s="478">
        <f t="shared" si="109"/>
        <v>100</v>
      </c>
      <c r="H266" s="478">
        <f t="shared" si="110"/>
        <v>100</v>
      </c>
    </row>
    <row r="267" spans="1:8" s="38" customFormat="1" x14ac:dyDescent="0.25">
      <c r="A267" s="6"/>
      <c r="B267" s="17"/>
      <c r="C267" s="3" t="s">
        <v>231</v>
      </c>
      <c r="D267" s="81">
        <v>0</v>
      </c>
      <c r="E267" s="81">
        <v>0</v>
      </c>
      <c r="F267" s="81">
        <v>0</v>
      </c>
      <c r="G267" s="478"/>
      <c r="H267" s="478"/>
    </row>
    <row r="268" spans="1:8" s="163" customFormat="1" ht="39" x14ac:dyDescent="0.25">
      <c r="A268" s="10"/>
      <c r="B268" s="10"/>
      <c r="C268" s="11" t="s">
        <v>232</v>
      </c>
      <c r="D268" s="74">
        <f>D269+D270</f>
        <v>2013.2</v>
      </c>
      <c r="E268" s="74">
        <f t="shared" ref="E268:F268" si="113">E269+E270</f>
        <v>2013.2</v>
      </c>
      <c r="F268" s="74">
        <f t="shared" si="113"/>
        <v>2013.2</v>
      </c>
      <c r="G268" s="260">
        <f t="shared" si="109"/>
        <v>100</v>
      </c>
      <c r="H268" s="260">
        <f t="shared" si="110"/>
        <v>100</v>
      </c>
    </row>
    <row r="269" spans="1:8" s="38" customFormat="1" x14ac:dyDescent="0.25">
      <c r="A269" s="12"/>
      <c r="B269" s="6"/>
      <c r="C269" s="1" t="s">
        <v>182</v>
      </c>
      <c r="D269" s="81">
        <v>1509.9</v>
      </c>
      <c r="E269" s="81">
        <v>1509.9</v>
      </c>
      <c r="F269" s="81">
        <v>1509.9</v>
      </c>
      <c r="G269" s="478">
        <f t="shared" si="109"/>
        <v>100</v>
      </c>
      <c r="H269" s="478">
        <f t="shared" si="110"/>
        <v>100</v>
      </c>
    </row>
    <row r="270" spans="1:8" s="38" customFormat="1" x14ac:dyDescent="0.25">
      <c r="A270" s="12"/>
      <c r="B270" s="6"/>
      <c r="C270" s="3" t="s">
        <v>146</v>
      </c>
      <c r="D270" s="81">
        <v>503.3</v>
      </c>
      <c r="E270" s="81">
        <v>503.3</v>
      </c>
      <c r="F270" s="81">
        <v>503.3</v>
      </c>
      <c r="G270" s="478">
        <f t="shared" si="109"/>
        <v>100</v>
      </c>
      <c r="H270" s="478">
        <f t="shared" si="110"/>
        <v>100</v>
      </c>
    </row>
    <row r="271" spans="1:8" s="38" customFormat="1" ht="25.5" x14ac:dyDescent="0.25">
      <c r="A271" s="65" t="s">
        <v>805</v>
      </c>
      <c r="B271" s="1"/>
      <c r="C271" s="1" t="s">
        <v>644</v>
      </c>
      <c r="D271" s="81">
        <f>D272</f>
        <v>47356.907379999997</v>
      </c>
      <c r="E271" s="81">
        <f t="shared" ref="E271:F271" si="114">E272</f>
        <v>23569.073790000002</v>
      </c>
      <c r="F271" s="81">
        <f t="shared" si="114"/>
        <v>2356.9073800000001</v>
      </c>
      <c r="G271" s="478">
        <f t="shared" si="109"/>
        <v>10.000000004242848</v>
      </c>
      <c r="H271" s="478">
        <f t="shared" si="110"/>
        <v>49.769030736905364</v>
      </c>
    </row>
    <row r="272" spans="1:8" s="163" customFormat="1" ht="26.25" x14ac:dyDescent="0.25">
      <c r="A272" s="10"/>
      <c r="B272" s="161"/>
      <c r="C272" s="162" t="s">
        <v>467</v>
      </c>
      <c r="D272" s="78">
        <f t="shared" ref="D272:F272" si="115">D273</f>
        <v>47356.907379999997</v>
      </c>
      <c r="E272" s="78">
        <f t="shared" si="115"/>
        <v>23569.073790000002</v>
      </c>
      <c r="F272" s="78">
        <f t="shared" si="115"/>
        <v>2356.9073800000001</v>
      </c>
      <c r="G272" s="479">
        <f t="shared" si="109"/>
        <v>10.000000004242848</v>
      </c>
      <c r="H272" s="479">
        <f t="shared" si="110"/>
        <v>49.769030736905364</v>
      </c>
    </row>
    <row r="273" spans="1:9" s="38" customFormat="1" ht="26.25" x14ac:dyDescent="0.25">
      <c r="A273" s="6"/>
      <c r="B273" s="22" t="s">
        <v>290</v>
      </c>
      <c r="C273" s="3" t="s">
        <v>291</v>
      </c>
      <c r="D273" s="81">
        <f>D274+D275</f>
        <v>47356.907379999997</v>
      </c>
      <c r="E273" s="81">
        <v>23569.073790000002</v>
      </c>
      <c r="F273" s="81">
        <v>2356.9073800000001</v>
      </c>
      <c r="G273" s="478">
        <f t="shared" si="109"/>
        <v>10.000000004242848</v>
      </c>
      <c r="H273" s="478">
        <f t="shared" si="110"/>
        <v>49.769030736905364</v>
      </c>
    </row>
    <row r="274" spans="1:9" s="38" customFormat="1" x14ac:dyDescent="0.25">
      <c r="A274" s="6"/>
      <c r="B274" s="22"/>
      <c r="C274" s="1" t="s">
        <v>182</v>
      </c>
      <c r="D274" s="81">
        <v>45000</v>
      </c>
      <c r="E274" s="81">
        <f>E273-E275</f>
        <v>21212.166410000002</v>
      </c>
      <c r="F274" s="81">
        <v>0</v>
      </c>
      <c r="G274" s="478">
        <f t="shared" si="109"/>
        <v>0</v>
      </c>
      <c r="H274" s="478">
        <f t="shared" si="110"/>
        <v>47.138147577777787</v>
      </c>
      <c r="I274" s="482">
        <f>SUM(E274-F274)</f>
        <v>21212.166410000002</v>
      </c>
    </row>
    <row r="275" spans="1:9" x14ac:dyDescent="0.25">
      <c r="A275" s="12"/>
      <c r="B275" s="6"/>
      <c r="C275" s="3" t="s">
        <v>146</v>
      </c>
      <c r="D275" s="70">
        <v>2356.9073800000001</v>
      </c>
      <c r="E275" s="70">
        <v>2356.9073800000001</v>
      </c>
      <c r="F275" s="70">
        <v>2356.9073800000001</v>
      </c>
      <c r="G275" s="480">
        <f t="shared" si="109"/>
        <v>100</v>
      </c>
      <c r="H275" s="480">
        <f t="shared" si="110"/>
        <v>100</v>
      </c>
    </row>
    <row r="276" spans="1:9" ht="26.25" x14ac:dyDescent="0.25">
      <c r="A276" s="6" t="s">
        <v>824</v>
      </c>
      <c r="B276" s="6"/>
      <c r="C276" s="3" t="s">
        <v>823</v>
      </c>
      <c r="D276" s="70">
        <f>D277</f>
        <v>68.3</v>
      </c>
      <c r="E276" s="70">
        <f t="shared" ref="E276:F276" si="116">E277</f>
        <v>68.3</v>
      </c>
      <c r="F276" s="70">
        <f t="shared" si="116"/>
        <v>68.3</v>
      </c>
      <c r="G276" s="480">
        <f t="shared" si="109"/>
        <v>100</v>
      </c>
      <c r="H276" s="480">
        <f t="shared" si="110"/>
        <v>100</v>
      </c>
    </row>
    <row r="277" spans="1:9" ht="26.25" x14ac:dyDescent="0.25">
      <c r="A277" s="12"/>
      <c r="B277" s="6" t="s">
        <v>449</v>
      </c>
      <c r="C277" s="3" t="s">
        <v>450</v>
      </c>
      <c r="D277" s="70">
        <v>68.3</v>
      </c>
      <c r="E277" s="70">
        <v>68.3</v>
      </c>
      <c r="F277" s="70">
        <v>68.3</v>
      </c>
      <c r="G277" s="480">
        <f t="shared" si="109"/>
        <v>100</v>
      </c>
      <c r="H277" s="480">
        <f t="shared" si="110"/>
        <v>100</v>
      </c>
    </row>
    <row r="278" spans="1:9" s="50" customFormat="1" ht="25.5" x14ac:dyDescent="0.25">
      <c r="A278" s="14" t="s">
        <v>233</v>
      </c>
      <c r="B278" s="14"/>
      <c r="C278" s="15" t="s">
        <v>234</v>
      </c>
      <c r="D278" s="73">
        <f>D279</f>
        <v>5.2630000000000003E-2</v>
      </c>
      <c r="E278" s="73">
        <f>E279</f>
        <v>52.68421</v>
      </c>
      <c r="F278" s="73">
        <f>F279</f>
        <v>52.68421</v>
      </c>
      <c r="G278" s="481">
        <f t="shared" si="109"/>
        <v>100</v>
      </c>
      <c r="H278" s="481">
        <f t="shared" si="110"/>
        <v>100103.0020900627</v>
      </c>
    </row>
    <row r="279" spans="1:9" ht="38.25" x14ac:dyDescent="0.25">
      <c r="A279" s="16" t="s">
        <v>466</v>
      </c>
      <c r="B279" s="16"/>
      <c r="C279" s="7" t="s">
        <v>510</v>
      </c>
      <c r="D279" s="70">
        <f t="shared" ref="D279:F279" si="117">D280</f>
        <v>5.2630000000000003E-2</v>
      </c>
      <c r="E279" s="70">
        <f t="shared" si="117"/>
        <v>52.68421</v>
      </c>
      <c r="F279" s="70">
        <f t="shared" si="117"/>
        <v>52.68421</v>
      </c>
      <c r="G279" s="480">
        <f t="shared" si="109"/>
        <v>100</v>
      </c>
      <c r="H279" s="480">
        <f t="shared" si="110"/>
        <v>100103.0020900627</v>
      </c>
    </row>
    <row r="280" spans="1:9" ht="25.5" x14ac:dyDescent="0.25">
      <c r="A280" s="17"/>
      <c r="B280" s="16" t="s">
        <v>449</v>
      </c>
      <c r="C280" s="1" t="s">
        <v>450</v>
      </c>
      <c r="D280" s="70">
        <f>D283</f>
        <v>5.2630000000000003E-2</v>
      </c>
      <c r="E280" s="70">
        <f>E283+E281+E282</f>
        <v>52.68421</v>
      </c>
      <c r="F280" s="70">
        <f>F283+F281+F282</f>
        <v>52.68421</v>
      </c>
      <c r="G280" s="480">
        <f t="shared" si="109"/>
        <v>100</v>
      </c>
      <c r="H280" s="480">
        <f t="shared" si="110"/>
        <v>100103.0020900627</v>
      </c>
    </row>
    <row r="281" spans="1:9" x14ac:dyDescent="0.25">
      <c r="A281" s="17"/>
      <c r="B281" s="16"/>
      <c r="C281" s="1" t="s">
        <v>184</v>
      </c>
      <c r="D281" s="70"/>
      <c r="E281" s="70">
        <v>50</v>
      </c>
      <c r="F281" s="70">
        <v>50</v>
      </c>
      <c r="G281" s="480">
        <f t="shared" si="109"/>
        <v>100</v>
      </c>
      <c r="H281" s="480"/>
    </row>
    <row r="282" spans="1:9" x14ac:dyDescent="0.25">
      <c r="A282" s="17"/>
      <c r="B282" s="16"/>
      <c r="C282" s="1" t="s">
        <v>182</v>
      </c>
      <c r="D282" s="70"/>
      <c r="E282" s="70">
        <v>2.63158</v>
      </c>
      <c r="F282" s="70">
        <v>2.63158</v>
      </c>
      <c r="G282" s="480">
        <f t="shared" si="109"/>
        <v>100</v>
      </c>
      <c r="H282" s="480"/>
    </row>
    <row r="283" spans="1:9" x14ac:dyDescent="0.25">
      <c r="A283" s="17"/>
      <c r="B283" s="16"/>
      <c r="C283" s="3" t="s">
        <v>146</v>
      </c>
      <c r="D283" s="70">
        <v>5.2630000000000003E-2</v>
      </c>
      <c r="E283" s="70">
        <v>5.2630000000000003E-2</v>
      </c>
      <c r="F283" s="70">
        <v>5.2630000000000003E-2</v>
      </c>
      <c r="G283" s="480">
        <f t="shared" si="109"/>
        <v>100</v>
      </c>
      <c r="H283" s="480">
        <f t="shared" si="110"/>
        <v>100</v>
      </c>
    </row>
    <row r="284" spans="1:9" x14ac:dyDescent="0.25">
      <c r="A284" s="30" t="s">
        <v>235</v>
      </c>
      <c r="B284" s="30"/>
      <c r="C284" s="31" t="s">
        <v>236</v>
      </c>
      <c r="D284" s="72">
        <f>D285</f>
        <v>291.60000000000002</v>
      </c>
      <c r="E284" s="72">
        <f t="shared" ref="E284:F284" si="118">E285</f>
        <v>391.6</v>
      </c>
      <c r="F284" s="72">
        <f t="shared" si="118"/>
        <v>391.6</v>
      </c>
      <c r="G284" s="244">
        <f t="shared" si="109"/>
        <v>100</v>
      </c>
      <c r="H284" s="244">
        <f t="shared" si="110"/>
        <v>134.29355281207134</v>
      </c>
    </row>
    <row r="285" spans="1:9" ht="26.25" x14ac:dyDescent="0.25">
      <c r="A285" s="32" t="s">
        <v>237</v>
      </c>
      <c r="B285" s="32"/>
      <c r="C285" s="33" t="s">
        <v>238</v>
      </c>
      <c r="D285" s="68">
        <f>D286+D288</f>
        <v>291.60000000000002</v>
      </c>
      <c r="E285" s="68">
        <f t="shared" ref="E285:F285" si="119">E286+E288</f>
        <v>391.6</v>
      </c>
      <c r="F285" s="68">
        <f t="shared" si="119"/>
        <v>391.6</v>
      </c>
      <c r="G285" s="245">
        <f t="shared" si="109"/>
        <v>100</v>
      </c>
      <c r="H285" s="245">
        <f t="shared" si="110"/>
        <v>134.29355281207134</v>
      </c>
    </row>
    <row r="286" spans="1:9" ht="90" x14ac:dyDescent="0.25">
      <c r="A286" s="6" t="s">
        <v>239</v>
      </c>
      <c r="B286" s="6"/>
      <c r="C286" s="3" t="s">
        <v>240</v>
      </c>
      <c r="D286" s="67">
        <f>D287</f>
        <v>225.1</v>
      </c>
      <c r="E286" s="67">
        <f t="shared" ref="E286:F286" si="120">E287</f>
        <v>225.1</v>
      </c>
      <c r="F286" s="67">
        <f t="shared" si="120"/>
        <v>225.1</v>
      </c>
      <c r="G286" s="246">
        <f t="shared" si="109"/>
        <v>100</v>
      </c>
      <c r="H286" s="246">
        <f t="shared" si="110"/>
        <v>100</v>
      </c>
    </row>
    <row r="287" spans="1:9" ht="26.25" x14ac:dyDescent="0.25">
      <c r="A287" s="6"/>
      <c r="B287" s="6" t="s">
        <v>449</v>
      </c>
      <c r="C287" s="3" t="s">
        <v>450</v>
      </c>
      <c r="D287" s="67">
        <f>237-11.9</f>
        <v>225.1</v>
      </c>
      <c r="E287" s="67">
        <f t="shared" ref="E287:F287" si="121">237-11.9</f>
        <v>225.1</v>
      </c>
      <c r="F287" s="67">
        <f t="shared" si="121"/>
        <v>225.1</v>
      </c>
      <c r="G287" s="246">
        <f t="shared" si="109"/>
        <v>100</v>
      </c>
      <c r="H287" s="246">
        <f t="shared" si="110"/>
        <v>100</v>
      </c>
    </row>
    <row r="288" spans="1:9" x14ac:dyDescent="0.25">
      <c r="A288" s="16" t="s">
        <v>241</v>
      </c>
      <c r="B288" s="16"/>
      <c r="C288" s="1" t="s">
        <v>242</v>
      </c>
      <c r="D288" s="67">
        <f>D289</f>
        <v>66.5</v>
      </c>
      <c r="E288" s="67">
        <f t="shared" ref="E288:F288" si="122">E289</f>
        <v>166.5</v>
      </c>
      <c r="F288" s="67">
        <f t="shared" si="122"/>
        <v>166.5</v>
      </c>
      <c r="G288" s="246">
        <f t="shared" si="109"/>
        <v>100</v>
      </c>
      <c r="H288" s="246">
        <f t="shared" si="110"/>
        <v>250.37593984962405</v>
      </c>
    </row>
    <row r="289" spans="1:9" ht="26.25" x14ac:dyDescent="0.25">
      <c r="A289" s="16"/>
      <c r="B289" s="6" t="s">
        <v>449</v>
      </c>
      <c r="C289" s="3" t="s">
        <v>450</v>
      </c>
      <c r="D289" s="67">
        <f>D291</f>
        <v>66.5</v>
      </c>
      <c r="E289" s="67">
        <f>E291+E290</f>
        <v>166.5</v>
      </c>
      <c r="F289" s="67">
        <f>F291+F290</f>
        <v>166.5</v>
      </c>
      <c r="G289" s="246">
        <f t="shared" si="109"/>
        <v>100</v>
      </c>
      <c r="H289" s="246">
        <f t="shared" si="110"/>
        <v>250.37593984962405</v>
      </c>
    </row>
    <row r="290" spans="1:9" x14ac:dyDescent="0.25">
      <c r="A290" s="6"/>
      <c r="B290" s="6"/>
      <c r="C290" s="1" t="s">
        <v>182</v>
      </c>
      <c r="D290" s="67">
        <v>0</v>
      </c>
      <c r="E290" s="67">
        <v>100</v>
      </c>
      <c r="F290" s="67">
        <v>100</v>
      </c>
      <c r="G290" s="246">
        <f t="shared" si="109"/>
        <v>100</v>
      </c>
      <c r="H290" s="246"/>
    </row>
    <row r="291" spans="1:9" x14ac:dyDescent="0.25">
      <c r="A291" s="6"/>
      <c r="B291" s="6"/>
      <c r="C291" s="1" t="s">
        <v>146</v>
      </c>
      <c r="D291" s="67">
        <f>70-3.5</f>
        <v>66.5</v>
      </c>
      <c r="E291" s="67">
        <f t="shared" ref="E291:F291" si="123">70-3.5</f>
        <v>66.5</v>
      </c>
      <c r="F291" s="67">
        <f t="shared" si="123"/>
        <v>66.5</v>
      </c>
      <c r="G291" s="246">
        <f t="shared" si="109"/>
        <v>100</v>
      </c>
      <c r="H291" s="246">
        <f t="shared" si="110"/>
        <v>100</v>
      </c>
    </row>
    <row r="292" spans="1:9" x14ac:dyDescent="0.25">
      <c r="A292" s="30" t="s">
        <v>243</v>
      </c>
      <c r="B292" s="30"/>
      <c r="C292" s="31" t="s">
        <v>244</v>
      </c>
      <c r="D292" s="72">
        <f t="shared" ref="D292:F294" si="124">D293</f>
        <v>1487.8</v>
      </c>
      <c r="E292" s="72">
        <f t="shared" si="124"/>
        <v>1487.8</v>
      </c>
      <c r="F292" s="72">
        <f t="shared" si="124"/>
        <v>1487.8</v>
      </c>
      <c r="G292" s="244">
        <f t="shared" si="109"/>
        <v>100</v>
      </c>
      <c r="H292" s="244">
        <f t="shared" si="110"/>
        <v>100</v>
      </c>
    </row>
    <row r="293" spans="1:9" ht="51.75" x14ac:dyDescent="0.25">
      <c r="A293" s="32" t="s">
        <v>245</v>
      </c>
      <c r="B293" s="32"/>
      <c r="C293" s="33" t="s">
        <v>246</v>
      </c>
      <c r="D293" s="68">
        <f t="shared" si="124"/>
        <v>1487.8</v>
      </c>
      <c r="E293" s="68">
        <f t="shared" si="124"/>
        <v>1487.8</v>
      </c>
      <c r="F293" s="68">
        <f t="shared" si="124"/>
        <v>1487.8</v>
      </c>
      <c r="G293" s="245">
        <f t="shared" si="109"/>
        <v>100</v>
      </c>
      <c r="H293" s="245">
        <f t="shared" si="110"/>
        <v>100</v>
      </c>
    </row>
    <row r="294" spans="1:9" ht="26.25" x14ac:dyDescent="0.25">
      <c r="A294" s="6" t="s">
        <v>247</v>
      </c>
      <c r="B294" s="6"/>
      <c r="C294" s="3" t="s">
        <v>455</v>
      </c>
      <c r="D294" s="67">
        <f>D295</f>
        <v>1487.8</v>
      </c>
      <c r="E294" s="67">
        <f t="shared" si="124"/>
        <v>1487.8</v>
      </c>
      <c r="F294" s="67">
        <f t="shared" si="124"/>
        <v>1487.8</v>
      </c>
      <c r="G294" s="246">
        <f t="shared" si="109"/>
        <v>100</v>
      </c>
      <c r="H294" s="246">
        <f t="shared" si="110"/>
        <v>100</v>
      </c>
    </row>
    <row r="295" spans="1:9" ht="26.25" x14ac:dyDescent="0.25">
      <c r="A295" s="6"/>
      <c r="B295" s="6" t="s">
        <v>449</v>
      </c>
      <c r="C295" s="3" t="s">
        <v>450</v>
      </c>
      <c r="D295" s="67">
        <v>1487.8</v>
      </c>
      <c r="E295" s="67">
        <v>1487.8</v>
      </c>
      <c r="F295" s="67">
        <v>1487.8</v>
      </c>
      <c r="G295" s="246">
        <f t="shared" si="109"/>
        <v>100</v>
      </c>
      <c r="H295" s="246">
        <f t="shared" si="110"/>
        <v>100</v>
      </c>
    </row>
    <row r="296" spans="1:9" ht="26.25" x14ac:dyDescent="0.25">
      <c r="A296" s="28" t="s">
        <v>248</v>
      </c>
      <c r="B296" s="28"/>
      <c r="C296" s="36" t="s">
        <v>249</v>
      </c>
      <c r="D296" s="69">
        <f>D297+D302</f>
        <v>5608.7</v>
      </c>
      <c r="E296" s="69">
        <f t="shared" ref="E296:F296" si="125">E297+E302</f>
        <v>5969.2541000000001</v>
      </c>
      <c r="F296" s="69">
        <f t="shared" si="125"/>
        <v>1969.2535499999999</v>
      </c>
      <c r="G296" s="477">
        <f t="shared" si="109"/>
        <v>32.989943416883527</v>
      </c>
      <c r="H296" s="477">
        <f t="shared" si="110"/>
        <v>106.42847897017134</v>
      </c>
      <c r="I296" s="482"/>
    </row>
    <row r="297" spans="1:9" ht="39" x14ac:dyDescent="0.25">
      <c r="A297" s="32" t="s">
        <v>250</v>
      </c>
      <c r="B297" s="35"/>
      <c r="C297" s="33" t="s">
        <v>645</v>
      </c>
      <c r="D297" s="68">
        <f>D298+D300</f>
        <v>1508.7</v>
      </c>
      <c r="E297" s="68">
        <f>E298+E300</f>
        <v>1869.2541000000001</v>
      </c>
      <c r="F297" s="68">
        <f t="shared" ref="F297" si="126">F298+F300</f>
        <v>1869.2535499999999</v>
      </c>
      <c r="G297" s="245">
        <f t="shared" si="109"/>
        <v>99.999970576498924</v>
      </c>
      <c r="H297" s="245">
        <f t="shared" si="110"/>
        <v>123.89832968781069</v>
      </c>
    </row>
    <row r="298" spans="1:9" ht="51.75" x14ac:dyDescent="0.25">
      <c r="A298" s="6" t="s">
        <v>252</v>
      </c>
      <c r="B298" s="6"/>
      <c r="C298" s="3" t="s">
        <v>511</v>
      </c>
      <c r="D298" s="67">
        <f t="shared" ref="D298:F298" si="127">D299</f>
        <v>1508.7</v>
      </c>
      <c r="E298" s="67">
        <f t="shared" si="127"/>
        <v>1508.7</v>
      </c>
      <c r="F298" s="67">
        <f t="shared" si="127"/>
        <v>1508.7</v>
      </c>
      <c r="G298" s="246">
        <f t="shared" si="109"/>
        <v>100</v>
      </c>
      <c r="H298" s="246">
        <f t="shared" si="110"/>
        <v>100</v>
      </c>
    </row>
    <row r="299" spans="1:9" ht="26.25" x14ac:dyDescent="0.25">
      <c r="A299" s="6"/>
      <c r="B299" s="6" t="s">
        <v>449</v>
      </c>
      <c r="C299" s="3" t="s">
        <v>450</v>
      </c>
      <c r="D299" s="67">
        <v>1508.7</v>
      </c>
      <c r="E299" s="67">
        <v>1508.7</v>
      </c>
      <c r="F299" s="67">
        <v>1508.7</v>
      </c>
      <c r="G299" s="246">
        <f t="shared" si="109"/>
        <v>100</v>
      </c>
      <c r="H299" s="246">
        <f t="shared" si="110"/>
        <v>100</v>
      </c>
    </row>
    <row r="300" spans="1:9" ht="25.5" x14ac:dyDescent="0.25">
      <c r="A300" s="6" t="s">
        <v>861</v>
      </c>
      <c r="B300" s="6"/>
      <c r="C300" s="1" t="s">
        <v>862</v>
      </c>
      <c r="D300" s="67">
        <f t="shared" ref="D300:F300" si="128">D301</f>
        <v>0</v>
      </c>
      <c r="E300" s="67">
        <f t="shared" si="128"/>
        <v>360.55410000000001</v>
      </c>
      <c r="F300" s="67">
        <f t="shared" si="128"/>
        <v>360.55354999999997</v>
      </c>
      <c r="G300" s="246">
        <f t="shared" si="109"/>
        <v>99.999847457011299</v>
      </c>
      <c r="H300" s="246"/>
      <c r="I300" s="482">
        <f>SUM(E300-F300)</f>
        <v>5.5000000003246896E-4</v>
      </c>
    </row>
    <row r="301" spans="1:9" ht="26.25" x14ac:dyDescent="0.25">
      <c r="A301" s="6"/>
      <c r="B301" s="6" t="s">
        <v>449</v>
      </c>
      <c r="C301" s="3" t="s">
        <v>450</v>
      </c>
      <c r="D301" s="67"/>
      <c r="E301" s="67">
        <v>360.55410000000001</v>
      </c>
      <c r="F301" s="67">
        <v>360.55354999999997</v>
      </c>
      <c r="G301" s="246">
        <f t="shared" si="109"/>
        <v>99.999847457011299</v>
      </c>
      <c r="H301" s="246"/>
    </row>
    <row r="302" spans="1:9" ht="39" x14ac:dyDescent="0.25">
      <c r="A302" s="32" t="s">
        <v>254</v>
      </c>
      <c r="B302" s="32"/>
      <c r="C302" s="33" t="s">
        <v>255</v>
      </c>
      <c r="D302" s="68">
        <f>D303+D307</f>
        <v>4100</v>
      </c>
      <c r="E302" s="68">
        <f t="shared" ref="E302:F302" si="129">E303+E307</f>
        <v>4100</v>
      </c>
      <c r="F302" s="68">
        <f t="shared" si="129"/>
        <v>100</v>
      </c>
      <c r="G302" s="245">
        <f t="shared" si="109"/>
        <v>2.4390243902439024</v>
      </c>
      <c r="H302" s="245">
        <f t="shared" si="110"/>
        <v>100</v>
      </c>
    </row>
    <row r="303" spans="1:9" ht="39" x14ac:dyDescent="0.25">
      <c r="A303" s="6" t="s">
        <v>256</v>
      </c>
      <c r="B303" s="6"/>
      <c r="C303" s="3" t="s">
        <v>257</v>
      </c>
      <c r="D303" s="67">
        <f t="shared" ref="D303:F303" si="130">D304</f>
        <v>4000</v>
      </c>
      <c r="E303" s="67">
        <f t="shared" si="130"/>
        <v>4000</v>
      </c>
      <c r="F303" s="67">
        <f t="shared" si="130"/>
        <v>0</v>
      </c>
      <c r="G303" s="246">
        <f t="shared" si="109"/>
        <v>0</v>
      </c>
      <c r="H303" s="246">
        <f t="shared" si="110"/>
        <v>100</v>
      </c>
    </row>
    <row r="304" spans="1:9" ht="26.25" x14ac:dyDescent="0.25">
      <c r="A304" s="6"/>
      <c r="B304" s="6" t="s">
        <v>449</v>
      </c>
      <c r="C304" s="3" t="s">
        <v>450</v>
      </c>
      <c r="D304" s="67">
        <f>D305+D306</f>
        <v>4000</v>
      </c>
      <c r="E304" s="67">
        <f t="shared" ref="E304:F304" si="131">E305+E306</f>
        <v>4000</v>
      </c>
      <c r="F304" s="67">
        <f t="shared" si="131"/>
        <v>0</v>
      </c>
      <c r="G304" s="246">
        <f t="shared" si="109"/>
        <v>0</v>
      </c>
      <c r="H304" s="246">
        <f t="shared" si="110"/>
        <v>100</v>
      </c>
    </row>
    <row r="305" spans="1:9" x14ac:dyDescent="0.25">
      <c r="A305" s="6"/>
      <c r="B305" s="6"/>
      <c r="C305" s="3" t="s">
        <v>149</v>
      </c>
      <c r="D305" s="77">
        <v>3000</v>
      </c>
      <c r="E305" s="77">
        <v>3000</v>
      </c>
      <c r="F305" s="77">
        <v>0</v>
      </c>
      <c r="G305" s="248">
        <f t="shared" si="109"/>
        <v>0</v>
      </c>
      <c r="H305" s="248">
        <f t="shared" si="110"/>
        <v>100</v>
      </c>
      <c r="I305" s="482">
        <f>SUM(E305-F305)</f>
        <v>3000</v>
      </c>
    </row>
    <row r="306" spans="1:9" s="90" customFormat="1" x14ac:dyDescent="0.25">
      <c r="A306" s="88"/>
      <c r="B306" s="88"/>
      <c r="C306" s="3" t="s">
        <v>102</v>
      </c>
      <c r="D306" s="67">
        <v>1000</v>
      </c>
      <c r="E306" s="67">
        <v>1000</v>
      </c>
      <c r="F306" s="67">
        <v>0</v>
      </c>
      <c r="G306" s="246">
        <f t="shared" si="109"/>
        <v>0</v>
      </c>
      <c r="H306" s="246">
        <f t="shared" si="110"/>
        <v>100</v>
      </c>
    </row>
    <row r="307" spans="1:9" s="90" customFormat="1" ht="51.75" x14ac:dyDescent="0.25">
      <c r="A307" s="6" t="s">
        <v>819</v>
      </c>
      <c r="B307" s="6"/>
      <c r="C307" s="3" t="s">
        <v>820</v>
      </c>
      <c r="D307" s="67">
        <f>D308</f>
        <v>100</v>
      </c>
      <c r="E307" s="67">
        <f t="shared" ref="E307:F307" si="132">E308</f>
        <v>100</v>
      </c>
      <c r="F307" s="67">
        <f t="shared" si="132"/>
        <v>100</v>
      </c>
      <c r="G307" s="246">
        <f t="shared" si="109"/>
        <v>100</v>
      </c>
      <c r="H307" s="246">
        <f t="shared" si="110"/>
        <v>100</v>
      </c>
    </row>
    <row r="308" spans="1:9" s="90" customFormat="1" ht="26.25" x14ac:dyDescent="0.25">
      <c r="A308" s="6"/>
      <c r="B308" s="6" t="s">
        <v>449</v>
      </c>
      <c r="C308" s="3" t="s">
        <v>450</v>
      </c>
      <c r="D308" s="67">
        <v>100</v>
      </c>
      <c r="E308" s="67">
        <v>100</v>
      </c>
      <c r="F308" s="67">
        <v>100</v>
      </c>
      <c r="G308" s="246">
        <f t="shared" si="109"/>
        <v>100</v>
      </c>
      <c r="H308" s="246">
        <f t="shared" si="110"/>
        <v>100</v>
      </c>
    </row>
    <row r="309" spans="1:9" ht="42" customHeight="1" x14ac:dyDescent="0.25">
      <c r="A309" s="28" t="s">
        <v>258</v>
      </c>
      <c r="B309" s="28"/>
      <c r="C309" s="36" t="s">
        <v>259</v>
      </c>
      <c r="D309" s="69">
        <f t="shared" ref="D309:F309" si="133">D310+D316</f>
        <v>905.59999999999991</v>
      </c>
      <c r="E309" s="69">
        <f t="shared" si="133"/>
        <v>905.59999999999991</v>
      </c>
      <c r="F309" s="69">
        <f t="shared" si="133"/>
        <v>894.58199999999999</v>
      </c>
      <c r="G309" s="477">
        <f t="shared" si="109"/>
        <v>98.783348056537108</v>
      </c>
      <c r="H309" s="477">
        <f t="shared" si="110"/>
        <v>100</v>
      </c>
      <c r="I309" s="482"/>
    </row>
    <row r="310" spans="1:9" ht="39" x14ac:dyDescent="0.25">
      <c r="A310" s="30" t="s">
        <v>260</v>
      </c>
      <c r="B310" s="30"/>
      <c r="C310" s="31" t="s">
        <v>261</v>
      </c>
      <c r="D310" s="72">
        <f>D311</f>
        <v>474.4</v>
      </c>
      <c r="E310" s="72">
        <f t="shared" ref="E310:F310" si="134">E311</f>
        <v>474.4</v>
      </c>
      <c r="F310" s="72">
        <f t="shared" si="134"/>
        <v>474.36399999999998</v>
      </c>
      <c r="G310" s="244">
        <f t="shared" si="109"/>
        <v>99.992411467116355</v>
      </c>
      <c r="H310" s="244">
        <f t="shared" si="110"/>
        <v>100</v>
      </c>
    </row>
    <row r="311" spans="1:9" ht="39" x14ac:dyDescent="0.25">
      <c r="A311" s="32" t="s">
        <v>262</v>
      </c>
      <c r="B311" s="35"/>
      <c r="C311" s="33" t="s">
        <v>263</v>
      </c>
      <c r="D311" s="68">
        <f>D312+D314</f>
        <v>474.4</v>
      </c>
      <c r="E311" s="68">
        <f t="shared" ref="E311:F311" si="135">E312+E314</f>
        <v>474.4</v>
      </c>
      <c r="F311" s="68">
        <f t="shared" si="135"/>
        <v>474.36399999999998</v>
      </c>
      <c r="G311" s="245">
        <f t="shared" si="109"/>
        <v>99.992411467116355</v>
      </c>
      <c r="H311" s="245">
        <f t="shared" si="110"/>
        <v>100</v>
      </c>
    </row>
    <row r="312" spans="1:9" ht="51.75" x14ac:dyDescent="0.25">
      <c r="A312" s="6" t="s">
        <v>264</v>
      </c>
      <c r="B312" s="6"/>
      <c r="C312" s="3" t="s">
        <v>265</v>
      </c>
      <c r="D312" s="67">
        <f>D313</f>
        <v>3.5</v>
      </c>
      <c r="E312" s="67">
        <f t="shared" ref="E312:F312" si="136">E313</f>
        <v>3.5</v>
      </c>
      <c r="F312" s="67">
        <f t="shared" si="136"/>
        <v>3.5</v>
      </c>
      <c r="G312" s="246">
        <f t="shared" si="109"/>
        <v>100</v>
      </c>
      <c r="H312" s="246">
        <f t="shared" si="110"/>
        <v>100</v>
      </c>
    </row>
    <row r="313" spans="1:9" ht="26.25" x14ac:dyDescent="0.25">
      <c r="A313" s="6"/>
      <c r="B313" s="6" t="s">
        <v>272</v>
      </c>
      <c r="C313" s="3" t="s">
        <v>273</v>
      </c>
      <c r="D313" s="67">
        <v>3.5</v>
      </c>
      <c r="E313" s="67">
        <v>3.5</v>
      </c>
      <c r="F313" s="67">
        <v>3.5</v>
      </c>
      <c r="G313" s="246">
        <f t="shared" si="109"/>
        <v>100</v>
      </c>
      <c r="H313" s="246">
        <f t="shared" si="110"/>
        <v>100</v>
      </c>
    </row>
    <row r="314" spans="1:9" ht="51.75" x14ac:dyDescent="0.25">
      <c r="A314" s="6" t="s">
        <v>266</v>
      </c>
      <c r="B314" s="6"/>
      <c r="C314" s="3" t="s">
        <v>267</v>
      </c>
      <c r="D314" s="67">
        <f>D315</f>
        <v>470.9</v>
      </c>
      <c r="E314" s="67">
        <f t="shared" ref="E314:F314" si="137">E315</f>
        <v>470.9</v>
      </c>
      <c r="F314" s="67">
        <f t="shared" si="137"/>
        <v>470.86399999999998</v>
      </c>
      <c r="G314" s="246">
        <f t="shared" si="109"/>
        <v>99.992355064769583</v>
      </c>
      <c r="H314" s="246">
        <f t="shared" si="110"/>
        <v>100</v>
      </c>
    </row>
    <row r="315" spans="1:9" ht="26.25" x14ac:dyDescent="0.25">
      <c r="A315" s="6"/>
      <c r="B315" s="6" t="s">
        <v>272</v>
      </c>
      <c r="C315" s="3" t="s">
        <v>273</v>
      </c>
      <c r="D315" s="67">
        <v>470.9</v>
      </c>
      <c r="E315" s="67">
        <v>470.9</v>
      </c>
      <c r="F315" s="67">
        <v>470.86399999999998</v>
      </c>
      <c r="G315" s="246">
        <f t="shared" si="109"/>
        <v>99.992355064769583</v>
      </c>
      <c r="H315" s="246">
        <f t="shared" si="110"/>
        <v>100</v>
      </c>
    </row>
    <row r="316" spans="1:9" ht="26.25" x14ac:dyDescent="0.25">
      <c r="A316" s="30" t="s">
        <v>268</v>
      </c>
      <c r="B316" s="30"/>
      <c r="C316" s="31" t="s">
        <v>269</v>
      </c>
      <c r="D316" s="72">
        <f t="shared" ref="D316:F316" si="138">D317</f>
        <v>431.2</v>
      </c>
      <c r="E316" s="72">
        <f t="shared" si="138"/>
        <v>431.2</v>
      </c>
      <c r="F316" s="72">
        <f t="shared" si="138"/>
        <v>420.21800000000002</v>
      </c>
      <c r="G316" s="244">
        <f t="shared" si="109"/>
        <v>97.45315398886828</v>
      </c>
      <c r="H316" s="244">
        <f t="shared" si="110"/>
        <v>100</v>
      </c>
    </row>
    <row r="317" spans="1:9" ht="39" x14ac:dyDescent="0.25">
      <c r="A317" s="32" t="s">
        <v>425</v>
      </c>
      <c r="B317" s="35"/>
      <c r="C317" s="33" t="s">
        <v>270</v>
      </c>
      <c r="D317" s="68">
        <f t="shared" ref="D317:F317" si="139">D318+D328+D325</f>
        <v>431.2</v>
      </c>
      <c r="E317" s="68">
        <f t="shared" si="139"/>
        <v>431.2</v>
      </c>
      <c r="F317" s="68">
        <f t="shared" si="139"/>
        <v>420.21800000000002</v>
      </c>
      <c r="G317" s="245">
        <f t="shared" si="109"/>
        <v>97.45315398886828</v>
      </c>
      <c r="H317" s="245">
        <f t="shared" si="110"/>
        <v>100</v>
      </c>
    </row>
    <row r="318" spans="1:9" ht="39" x14ac:dyDescent="0.25">
      <c r="A318" s="6" t="s">
        <v>424</v>
      </c>
      <c r="B318" s="6"/>
      <c r="C318" s="44" t="s">
        <v>271</v>
      </c>
      <c r="D318" s="67">
        <f>D324+D323</f>
        <v>342.9</v>
      </c>
      <c r="E318" s="67">
        <f>E319++E322</f>
        <v>342.9</v>
      </c>
      <c r="F318" s="67">
        <f>F319++F322</f>
        <v>331.95800000000003</v>
      </c>
      <c r="G318" s="246">
        <f t="shared" si="109"/>
        <v>96.808982210557019</v>
      </c>
      <c r="H318" s="246">
        <f t="shared" si="110"/>
        <v>100</v>
      </c>
    </row>
    <row r="319" spans="1:9" ht="51.75" x14ac:dyDescent="0.25">
      <c r="A319" s="6"/>
      <c r="B319" s="6" t="s">
        <v>383</v>
      </c>
      <c r="C319" s="3" t="s">
        <v>384</v>
      </c>
      <c r="D319" s="67"/>
      <c r="E319" s="67">
        <f>E320+E321</f>
        <v>322.89999999999998</v>
      </c>
      <c r="F319" s="67">
        <f>F320+F321</f>
        <v>312.22500000000002</v>
      </c>
      <c r="G319" s="246">
        <f t="shared" si="109"/>
        <v>96.694022917311869</v>
      </c>
      <c r="H319" s="246"/>
    </row>
    <row r="320" spans="1:9" x14ac:dyDescent="0.25">
      <c r="A320" s="6"/>
      <c r="B320" s="6"/>
      <c r="C320" s="3" t="s">
        <v>149</v>
      </c>
      <c r="D320" s="67"/>
      <c r="E320" s="67">
        <v>114.1</v>
      </c>
      <c r="F320" s="67">
        <v>111.855</v>
      </c>
      <c r="G320" s="246">
        <f t="shared" si="109"/>
        <v>98.032427695004387</v>
      </c>
      <c r="H320" s="246"/>
      <c r="I320" s="482">
        <f>SUM(E320-F320)</f>
        <v>2.2449999999999903</v>
      </c>
    </row>
    <row r="321" spans="1:9" x14ac:dyDescent="0.25">
      <c r="A321" s="6"/>
      <c r="B321" s="6"/>
      <c r="C321" s="3" t="s">
        <v>102</v>
      </c>
      <c r="D321" s="67"/>
      <c r="E321" s="67">
        <v>208.8</v>
      </c>
      <c r="F321" s="67">
        <v>200.37</v>
      </c>
      <c r="G321" s="246">
        <f t="shared" si="109"/>
        <v>95.962643678160916</v>
      </c>
      <c r="H321" s="246"/>
      <c r="I321" s="482"/>
    </row>
    <row r="322" spans="1:9" ht="26.25" x14ac:dyDescent="0.25">
      <c r="A322" s="6"/>
      <c r="B322" s="6" t="s">
        <v>272</v>
      </c>
      <c r="C322" s="3" t="s">
        <v>273</v>
      </c>
      <c r="D322" s="67">
        <f>SUM(D323:D324)</f>
        <v>342.9</v>
      </c>
      <c r="E322" s="67">
        <f t="shared" ref="E322:F322" si="140">SUM(E323:E324)</f>
        <v>20</v>
      </c>
      <c r="F322" s="67">
        <f t="shared" si="140"/>
        <v>19.733000000000001</v>
      </c>
      <c r="G322" s="246">
        <f t="shared" si="109"/>
        <v>98.665000000000006</v>
      </c>
      <c r="H322" s="246">
        <f t="shared" si="110"/>
        <v>5.8326042578011084</v>
      </c>
    </row>
    <row r="323" spans="1:9" x14ac:dyDescent="0.25">
      <c r="A323" s="6"/>
      <c r="B323" s="6"/>
      <c r="C323" s="3" t="s">
        <v>149</v>
      </c>
      <c r="D323" s="67">
        <v>114.1</v>
      </c>
      <c r="E323" s="67"/>
      <c r="F323" s="67"/>
      <c r="G323" s="246" t="e">
        <f t="shared" si="109"/>
        <v>#DIV/0!</v>
      </c>
      <c r="H323" s="246">
        <f t="shared" si="110"/>
        <v>0</v>
      </c>
    </row>
    <row r="324" spans="1:9" x14ac:dyDescent="0.25">
      <c r="A324" s="6"/>
      <c r="B324" s="6"/>
      <c r="C324" s="3" t="s">
        <v>102</v>
      </c>
      <c r="D324" s="67">
        <v>228.8</v>
      </c>
      <c r="E324" s="67">
        <v>20</v>
      </c>
      <c r="F324" s="67">
        <v>19.733000000000001</v>
      </c>
      <c r="G324" s="246">
        <f t="shared" si="109"/>
        <v>98.665000000000006</v>
      </c>
      <c r="H324" s="246">
        <f t="shared" si="110"/>
        <v>8.7412587412587417</v>
      </c>
      <c r="I324" s="482"/>
    </row>
    <row r="325" spans="1:9" ht="39" x14ac:dyDescent="0.25">
      <c r="A325" s="6" t="s">
        <v>426</v>
      </c>
      <c r="B325" s="6"/>
      <c r="C325" s="3" t="s">
        <v>456</v>
      </c>
      <c r="D325" s="77">
        <f>D326+D327</f>
        <v>68.3</v>
      </c>
      <c r="E325" s="77">
        <f t="shared" ref="E325" si="141">E326+E327</f>
        <v>68.3</v>
      </c>
      <c r="F325" s="77">
        <v>68.260000000000005</v>
      </c>
      <c r="G325" s="248">
        <f t="shared" si="109"/>
        <v>99.941434846266489</v>
      </c>
      <c r="H325" s="248">
        <f t="shared" si="110"/>
        <v>100</v>
      </c>
    </row>
    <row r="326" spans="1:9" ht="26.25" x14ac:dyDescent="0.25">
      <c r="A326" s="6"/>
      <c r="B326" s="6" t="s">
        <v>272</v>
      </c>
      <c r="C326" s="3" t="s">
        <v>273</v>
      </c>
      <c r="D326" s="77">
        <v>64.5</v>
      </c>
      <c r="E326" s="77">
        <v>68.3</v>
      </c>
      <c r="F326" s="77">
        <v>68.260000000000005</v>
      </c>
      <c r="G326" s="248">
        <f t="shared" si="109"/>
        <v>99.941434846266489</v>
      </c>
      <c r="H326" s="248">
        <f t="shared" si="110"/>
        <v>105.89147286821705</v>
      </c>
      <c r="I326" s="482"/>
    </row>
    <row r="327" spans="1:9" ht="26.25" x14ac:dyDescent="0.25">
      <c r="A327" s="6"/>
      <c r="B327" s="6" t="s">
        <v>449</v>
      </c>
      <c r="C327" s="3" t="s">
        <v>450</v>
      </c>
      <c r="D327" s="77">
        <v>3.8</v>
      </c>
      <c r="E327" s="77">
        <v>0</v>
      </c>
      <c r="F327" s="77">
        <v>0</v>
      </c>
      <c r="G327" s="248"/>
      <c r="H327" s="248">
        <f t="shared" si="110"/>
        <v>0</v>
      </c>
    </row>
    <row r="328" spans="1:9" x14ac:dyDescent="0.25">
      <c r="A328" s="6" t="s">
        <v>427</v>
      </c>
      <c r="B328" s="6"/>
      <c r="C328" s="3" t="s">
        <v>457</v>
      </c>
      <c r="D328" s="77">
        <f>D330</f>
        <v>20</v>
      </c>
      <c r="E328" s="77">
        <f>E329</f>
        <v>20</v>
      </c>
      <c r="F328" s="77">
        <f>F329</f>
        <v>20</v>
      </c>
      <c r="G328" s="248">
        <f t="shared" ref="G328:G392" si="142">F328/E328*100</f>
        <v>100</v>
      </c>
      <c r="H328" s="248">
        <f t="shared" ref="H328:H392" si="143">E328/D328*100</f>
        <v>100</v>
      </c>
    </row>
    <row r="329" spans="1:9" ht="26.25" x14ac:dyDescent="0.25">
      <c r="A329" s="6"/>
      <c r="B329" s="6" t="s">
        <v>272</v>
      </c>
      <c r="C329" s="3" t="s">
        <v>273</v>
      </c>
      <c r="D329" s="77"/>
      <c r="E329" s="77">
        <v>20</v>
      </c>
      <c r="F329" s="77">
        <v>20</v>
      </c>
      <c r="G329" s="248">
        <f t="shared" ref="G329" si="144">F329/E329*100</f>
        <v>100</v>
      </c>
      <c r="H329" s="248"/>
    </row>
    <row r="330" spans="1:9" ht="26.25" x14ac:dyDescent="0.25">
      <c r="A330" s="6"/>
      <c r="B330" s="6" t="s">
        <v>449</v>
      </c>
      <c r="C330" s="3" t="s">
        <v>450</v>
      </c>
      <c r="D330" s="77">
        <v>20</v>
      </c>
      <c r="E330" s="77"/>
      <c r="F330" s="77"/>
      <c r="G330" s="248"/>
      <c r="H330" s="248">
        <f t="shared" si="143"/>
        <v>0</v>
      </c>
    </row>
    <row r="331" spans="1:9" ht="26.25" x14ac:dyDescent="0.25">
      <c r="A331" s="28" t="s">
        <v>274</v>
      </c>
      <c r="B331" s="28"/>
      <c r="C331" s="36" t="s">
        <v>275</v>
      </c>
      <c r="D331" s="69">
        <f>D332+D336</f>
        <v>247.10000000000002</v>
      </c>
      <c r="E331" s="69">
        <f>E332+E336</f>
        <v>247.10000000000002</v>
      </c>
      <c r="F331" s="69">
        <f>F332+F336</f>
        <v>247.10000000000002</v>
      </c>
      <c r="G331" s="477">
        <f t="shared" si="142"/>
        <v>100</v>
      </c>
      <c r="H331" s="477">
        <f t="shared" si="143"/>
        <v>100</v>
      </c>
    </row>
    <row r="332" spans="1:9" ht="26.25" x14ac:dyDescent="0.25">
      <c r="A332" s="30" t="s">
        <v>428</v>
      </c>
      <c r="B332" s="30"/>
      <c r="C332" s="51" t="s">
        <v>429</v>
      </c>
      <c r="D332" s="72">
        <f>D333</f>
        <v>13.5</v>
      </c>
      <c r="E332" s="72">
        <f t="shared" ref="E332:F333" si="145">E333</f>
        <v>13.5</v>
      </c>
      <c r="F332" s="72">
        <f t="shared" si="145"/>
        <v>13.5</v>
      </c>
      <c r="G332" s="244">
        <f t="shared" si="142"/>
        <v>100</v>
      </c>
      <c r="H332" s="244">
        <f t="shared" si="143"/>
        <v>100</v>
      </c>
    </row>
    <row r="333" spans="1:9" ht="26.25" x14ac:dyDescent="0.25">
      <c r="A333" s="32" t="s">
        <v>479</v>
      </c>
      <c r="B333" s="35"/>
      <c r="C333" s="20" t="s">
        <v>474</v>
      </c>
      <c r="D333" s="68">
        <f>D334</f>
        <v>13.5</v>
      </c>
      <c r="E333" s="68">
        <f t="shared" si="145"/>
        <v>13.5</v>
      </c>
      <c r="F333" s="68">
        <f t="shared" si="145"/>
        <v>13.5</v>
      </c>
      <c r="G333" s="245">
        <f t="shared" si="142"/>
        <v>100</v>
      </c>
      <c r="H333" s="245">
        <f t="shared" si="143"/>
        <v>100</v>
      </c>
    </row>
    <row r="334" spans="1:9" ht="26.25" x14ac:dyDescent="0.25">
      <c r="A334" s="6" t="s">
        <v>480</v>
      </c>
      <c r="B334" s="6"/>
      <c r="C334" s="19" t="s">
        <v>475</v>
      </c>
      <c r="D334" s="77">
        <f>D335</f>
        <v>13.5</v>
      </c>
      <c r="E334" s="77">
        <f t="shared" ref="E334:F334" si="146">E335</f>
        <v>13.5</v>
      </c>
      <c r="F334" s="77">
        <f t="shared" si="146"/>
        <v>13.5</v>
      </c>
      <c r="G334" s="248">
        <f t="shared" si="142"/>
        <v>100</v>
      </c>
      <c r="H334" s="248">
        <f t="shared" si="143"/>
        <v>100</v>
      </c>
    </row>
    <row r="335" spans="1:9" ht="26.25" x14ac:dyDescent="0.25">
      <c r="A335" s="6"/>
      <c r="B335" s="6" t="s">
        <v>272</v>
      </c>
      <c r="C335" s="3" t="s">
        <v>273</v>
      </c>
      <c r="D335" s="77">
        <v>13.5</v>
      </c>
      <c r="E335" s="77">
        <v>13.5</v>
      </c>
      <c r="F335" s="77">
        <v>13.5</v>
      </c>
      <c r="G335" s="248">
        <f t="shared" si="142"/>
        <v>100</v>
      </c>
      <c r="H335" s="248">
        <f t="shared" si="143"/>
        <v>100</v>
      </c>
    </row>
    <row r="336" spans="1:9" ht="26.25" x14ac:dyDescent="0.25">
      <c r="A336" s="30" t="s">
        <v>430</v>
      </c>
      <c r="B336" s="30"/>
      <c r="C336" s="51" t="s">
        <v>431</v>
      </c>
      <c r="D336" s="72">
        <f>D337+D340</f>
        <v>233.60000000000002</v>
      </c>
      <c r="E336" s="72">
        <f t="shared" ref="E336:F336" si="147">E337+E340</f>
        <v>233.60000000000002</v>
      </c>
      <c r="F336" s="72">
        <f t="shared" si="147"/>
        <v>233.60000000000002</v>
      </c>
      <c r="G336" s="244">
        <f t="shared" si="142"/>
        <v>100</v>
      </c>
      <c r="H336" s="244">
        <f t="shared" si="143"/>
        <v>100</v>
      </c>
    </row>
    <row r="337" spans="1:9" ht="26.25" x14ac:dyDescent="0.25">
      <c r="A337" s="32" t="s">
        <v>432</v>
      </c>
      <c r="B337" s="32"/>
      <c r="C337" s="20" t="s">
        <v>343</v>
      </c>
      <c r="D337" s="68">
        <f t="shared" ref="D337:F338" si="148">D338</f>
        <v>112.7</v>
      </c>
      <c r="E337" s="68">
        <f t="shared" si="148"/>
        <v>112.7</v>
      </c>
      <c r="F337" s="68">
        <f t="shared" si="148"/>
        <v>112.7</v>
      </c>
      <c r="G337" s="245">
        <f t="shared" si="142"/>
        <v>100</v>
      </c>
      <c r="H337" s="245">
        <f t="shared" si="143"/>
        <v>100</v>
      </c>
    </row>
    <row r="338" spans="1:9" x14ac:dyDescent="0.25">
      <c r="A338" s="6" t="s">
        <v>433</v>
      </c>
      <c r="B338" s="6"/>
      <c r="C338" s="19" t="s">
        <v>276</v>
      </c>
      <c r="D338" s="77">
        <f t="shared" si="148"/>
        <v>112.7</v>
      </c>
      <c r="E338" s="77">
        <f t="shared" si="148"/>
        <v>112.7</v>
      </c>
      <c r="F338" s="77">
        <f t="shared" si="148"/>
        <v>112.7</v>
      </c>
      <c r="G338" s="248">
        <f t="shared" si="142"/>
        <v>100</v>
      </c>
      <c r="H338" s="248">
        <f t="shared" si="143"/>
        <v>100</v>
      </c>
    </row>
    <row r="339" spans="1:9" ht="26.25" x14ac:dyDescent="0.25">
      <c r="A339" s="6"/>
      <c r="B339" s="6" t="s">
        <v>272</v>
      </c>
      <c r="C339" s="3" t="s">
        <v>273</v>
      </c>
      <c r="D339" s="77">
        <v>112.7</v>
      </c>
      <c r="E339" s="77">
        <v>112.7</v>
      </c>
      <c r="F339" s="77">
        <v>112.7</v>
      </c>
      <c r="G339" s="248">
        <f t="shared" si="142"/>
        <v>100</v>
      </c>
      <c r="H339" s="248">
        <f t="shared" si="143"/>
        <v>100</v>
      </c>
    </row>
    <row r="340" spans="1:9" x14ac:dyDescent="0.25">
      <c r="A340" s="32" t="s">
        <v>434</v>
      </c>
      <c r="B340" s="32"/>
      <c r="C340" s="20" t="s">
        <v>344</v>
      </c>
      <c r="D340" s="68">
        <f>D341+D343+D345+D347</f>
        <v>120.9</v>
      </c>
      <c r="E340" s="68">
        <f t="shared" ref="E340:F340" si="149">E341+E343+E345+E347</f>
        <v>120.9</v>
      </c>
      <c r="F340" s="68">
        <f t="shared" si="149"/>
        <v>120.9</v>
      </c>
      <c r="G340" s="245">
        <f t="shared" si="142"/>
        <v>100</v>
      </c>
      <c r="H340" s="245">
        <f t="shared" si="143"/>
        <v>100</v>
      </c>
    </row>
    <row r="341" spans="1:9" ht="26.25" x14ac:dyDescent="0.25">
      <c r="A341" s="6" t="s">
        <v>435</v>
      </c>
      <c r="B341" s="6"/>
      <c r="C341" s="19" t="s">
        <v>277</v>
      </c>
      <c r="D341" s="77">
        <f>D342</f>
        <v>32.6</v>
      </c>
      <c r="E341" s="77">
        <f t="shared" ref="E341:F341" si="150">E342</f>
        <v>32.6</v>
      </c>
      <c r="F341" s="77">
        <f t="shared" si="150"/>
        <v>32.6</v>
      </c>
      <c r="G341" s="248">
        <f t="shared" si="142"/>
        <v>100</v>
      </c>
      <c r="H341" s="248">
        <f t="shared" si="143"/>
        <v>100</v>
      </c>
    </row>
    <row r="342" spans="1:9" ht="26.25" x14ac:dyDescent="0.25">
      <c r="A342" s="6"/>
      <c r="B342" s="6" t="s">
        <v>272</v>
      </c>
      <c r="C342" s="3" t="s">
        <v>273</v>
      </c>
      <c r="D342" s="77">
        <v>32.6</v>
      </c>
      <c r="E342" s="77">
        <v>32.6</v>
      </c>
      <c r="F342" s="77">
        <v>32.6</v>
      </c>
      <c r="G342" s="248">
        <f t="shared" si="142"/>
        <v>100</v>
      </c>
      <c r="H342" s="248">
        <f t="shared" si="143"/>
        <v>100</v>
      </c>
    </row>
    <row r="343" spans="1:9" ht="26.25" x14ac:dyDescent="0.25">
      <c r="A343" s="6" t="s">
        <v>436</v>
      </c>
      <c r="B343" s="6"/>
      <c r="C343" s="19" t="s">
        <v>278</v>
      </c>
      <c r="D343" s="77">
        <v>40</v>
      </c>
      <c r="E343" s="77">
        <v>40</v>
      </c>
      <c r="F343" s="77">
        <v>40</v>
      </c>
      <c r="G343" s="248">
        <f t="shared" si="142"/>
        <v>100</v>
      </c>
      <c r="H343" s="248">
        <f t="shared" si="143"/>
        <v>100</v>
      </c>
    </row>
    <row r="344" spans="1:9" ht="26.25" x14ac:dyDescent="0.25">
      <c r="A344" s="6"/>
      <c r="B344" s="6" t="s">
        <v>272</v>
      </c>
      <c r="C344" s="3" t="s">
        <v>273</v>
      </c>
      <c r="D344" s="77">
        <v>40</v>
      </c>
      <c r="E344" s="77">
        <v>40</v>
      </c>
      <c r="F344" s="77">
        <v>40</v>
      </c>
      <c r="G344" s="248">
        <f t="shared" si="142"/>
        <v>100</v>
      </c>
      <c r="H344" s="248">
        <f t="shared" si="143"/>
        <v>100</v>
      </c>
    </row>
    <row r="345" spans="1:9" ht="26.25" x14ac:dyDescent="0.25">
      <c r="A345" s="6" t="s">
        <v>437</v>
      </c>
      <c r="B345" s="6"/>
      <c r="C345" s="19" t="s">
        <v>279</v>
      </c>
      <c r="D345" s="77">
        <f>D346</f>
        <v>25.4</v>
      </c>
      <c r="E345" s="77">
        <f t="shared" ref="E345:F345" si="151">E346</f>
        <v>25.4</v>
      </c>
      <c r="F345" s="77">
        <f t="shared" si="151"/>
        <v>25.4</v>
      </c>
      <c r="G345" s="248">
        <f t="shared" si="142"/>
        <v>100</v>
      </c>
      <c r="H345" s="248">
        <f t="shared" si="143"/>
        <v>100</v>
      </c>
    </row>
    <row r="346" spans="1:9" ht="26.25" x14ac:dyDescent="0.25">
      <c r="A346" s="6"/>
      <c r="B346" s="6" t="s">
        <v>272</v>
      </c>
      <c r="C346" s="3" t="s">
        <v>273</v>
      </c>
      <c r="D346" s="77">
        <v>25.4</v>
      </c>
      <c r="E346" s="77">
        <v>25.4</v>
      </c>
      <c r="F346" s="77">
        <v>25.4</v>
      </c>
      <c r="G346" s="248">
        <f t="shared" si="142"/>
        <v>100</v>
      </c>
      <c r="H346" s="248">
        <f t="shared" si="143"/>
        <v>100</v>
      </c>
    </row>
    <row r="347" spans="1:9" x14ac:dyDescent="0.25">
      <c r="A347" s="6" t="s">
        <v>438</v>
      </c>
      <c r="B347" s="6"/>
      <c r="C347" s="19" t="s">
        <v>280</v>
      </c>
      <c r="D347" s="77">
        <f>D348</f>
        <v>22.9</v>
      </c>
      <c r="E347" s="77">
        <f t="shared" ref="E347:F347" si="152">E348</f>
        <v>22.9</v>
      </c>
      <c r="F347" s="77">
        <f t="shared" si="152"/>
        <v>22.9</v>
      </c>
      <c r="G347" s="248">
        <f t="shared" si="142"/>
        <v>100</v>
      </c>
      <c r="H347" s="248">
        <f t="shared" si="143"/>
        <v>100</v>
      </c>
    </row>
    <row r="348" spans="1:9" ht="26.25" x14ac:dyDescent="0.25">
      <c r="A348" s="6"/>
      <c r="B348" s="6" t="s">
        <v>272</v>
      </c>
      <c r="C348" s="3" t="s">
        <v>273</v>
      </c>
      <c r="D348" s="77">
        <v>22.9</v>
      </c>
      <c r="E348" s="77">
        <v>22.9</v>
      </c>
      <c r="F348" s="77">
        <v>22.9</v>
      </c>
      <c r="G348" s="248">
        <f t="shared" si="142"/>
        <v>100</v>
      </c>
      <c r="H348" s="248">
        <f t="shared" si="143"/>
        <v>100</v>
      </c>
    </row>
    <row r="349" spans="1:9" ht="26.25" x14ac:dyDescent="0.25">
      <c r="A349" s="28" t="s">
        <v>281</v>
      </c>
      <c r="B349" s="28"/>
      <c r="C349" s="36" t="s">
        <v>282</v>
      </c>
      <c r="D349" s="69">
        <f t="shared" ref="D349:F349" si="153">D350+D357+D403</f>
        <v>42990.243300000002</v>
      </c>
      <c r="E349" s="69">
        <f t="shared" si="153"/>
        <v>52292.741630000004</v>
      </c>
      <c r="F349" s="69">
        <f t="shared" si="153"/>
        <v>47421.106790000005</v>
      </c>
      <c r="G349" s="477">
        <f t="shared" si="142"/>
        <v>90.683917713724966</v>
      </c>
      <c r="H349" s="477">
        <f t="shared" si="143"/>
        <v>121.63862685094411</v>
      </c>
      <c r="I349" s="482"/>
    </row>
    <row r="350" spans="1:9" x14ac:dyDescent="0.25">
      <c r="A350" s="30" t="s">
        <v>283</v>
      </c>
      <c r="B350" s="30"/>
      <c r="C350" s="51" t="s">
        <v>284</v>
      </c>
      <c r="D350" s="72">
        <f t="shared" ref="D350:F351" si="154">D351</f>
        <v>4104.9799899999998</v>
      </c>
      <c r="E350" s="72">
        <f t="shared" si="154"/>
        <v>4104.9799899999998</v>
      </c>
      <c r="F350" s="72">
        <f t="shared" si="154"/>
        <v>4104.9799899999998</v>
      </c>
      <c r="G350" s="244">
        <f t="shared" si="142"/>
        <v>100</v>
      </c>
      <c r="H350" s="244">
        <f t="shared" si="143"/>
        <v>100</v>
      </c>
    </row>
    <row r="351" spans="1:9" ht="51.75" x14ac:dyDescent="0.25">
      <c r="A351" s="32" t="s">
        <v>285</v>
      </c>
      <c r="B351" s="32"/>
      <c r="C351" s="20" t="s">
        <v>286</v>
      </c>
      <c r="D351" s="68">
        <f t="shared" si="154"/>
        <v>4104.9799899999998</v>
      </c>
      <c r="E351" s="68">
        <f t="shared" si="154"/>
        <v>4104.9799899999998</v>
      </c>
      <c r="F351" s="68">
        <f t="shared" si="154"/>
        <v>4104.9799899999998</v>
      </c>
      <c r="G351" s="245">
        <f t="shared" si="142"/>
        <v>100</v>
      </c>
      <c r="H351" s="245">
        <f t="shared" si="143"/>
        <v>100</v>
      </c>
    </row>
    <row r="352" spans="1:9" ht="26.25" x14ac:dyDescent="0.25">
      <c r="A352" s="22" t="s">
        <v>288</v>
      </c>
      <c r="B352" s="6"/>
      <c r="C352" s="3" t="s">
        <v>289</v>
      </c>
      <c r="D352" s="67">
        <f t="shared" ref="D352:F352" si="155">D354+D355+D356</f>
        <v>4104.9799899999998</v>
      </c>
      <c r="E352" s="67">
        <f t="shared" si="155"/>
        <v>4104.9799899999998</v>
      </c>
      <c r="F352" s="67">
        <f t="shared" si="155"/>
        <v>4104.9799899999998</v>
      </c>
      <c r="G352" s="246">
        <f t="shared" si="142"/>
        <v>100</v>
      </c>
      <c r="H352" s="246">
        <f t="shared" si="143"/>
        <v>100</v>
      </c>
    </row>
    <row r="353" spans="1:8" ht="26.25" x14ac:dyDescent="0.25">
      <c r="A353" s="22"/>
      <c r="B353" s="22" t="s">
        <v>272</v>
      </c>
      <c r="C353" s="53" t="s">
        <v>273</v>
      </c>
      <c r="D353" s="67">
        <f t="shared" ref="D353:F353" si="156">D354+D355+D356</f>
        <v>4104.9799899999998</v>
      </c>
      <c r="E353" s="67">
        <f t="shared" si="156"/>
        <v>4104.9799899999998</v>
      </c>
      <c r="F353" s="67">
        <f t="shared" si="156"/>
        <v>4104.9799899999998</v>
      </c>
      <c r="G353" s="246">
        <f t="shared" si="142"/>
        <v>100</v>
      </c>
      <c r="H353" s="246">
        <f t="shared" si="143"/>
        <v>100</v>
      </c>
    </row>
    <row r="354" spans="1:8" x14ac:dyDescent="0.25">
      <c r="A354" s="22"/>
      <c r="B354" s="6"/>
      <c r="C354" s="52" t="s">
        <v>148</v>
      </c>
      <c r="D354" s="67">
        <v>2729.81169</v>
      </c>
      <c r="E354" s="67">
        <v>2729.81169</v>
      </c>
      <c r="F354" s="67">
        <v>2729.81169</v>
      </c>
      <c r="G354" s="246">
        <f t="shared" si="142"/>
        <v>100</v>
      </c>
      <c r="H354" s="246">
        <f t="shared" si="143"/>
        <v>100</v>
      </c>
    </row>
    <row r="355" spans="1:8" x14ac:dyDescent="0.25">
      <c r="A355" s="22"/>
      <c r="B355" s="6"/>
      <c r="C355" s="52" t="s">
        <v>202</v>
      </c>
      <c r="D355" s="67">
        <v>143.67429999999999</v>
      </c>
      <c r="E355" s="67">
        <v>143.67429999999999</v>
      </c>
      <c r="F355" s="67">
        <v>143.67429999999999</v>
      </c>
      <c r="G355" s="246">
        <f t="shared" si="142"/>
        <v>100</v>
      </c>
      <c r="H355" s="246">
        <f t="shared" si="143"/>
        <v>100</v>
      </c>
    </row>
    <row r="356" spans="1:8" s="90" customFormat="1" x14ac:dyDescent="0.25">
      <c r="A356" s="89"/>
      <c r="B356" s="88"/>
      <c r="C356" s="52" t="s">
        <v>287</v>
      </c>
      <c r="D356" s="67">
        <v>1231.4939999999999</v>
      </c>
      <c r="E356" s="67">
        <v>1231.4939999999999</v>
      </c>
      <c r="F356" s="67">
        <v>1231.4939999999999</v>
      </c>
      <c r="G356" s="246">
        <f t="shared" si="142"/>
        <v>100</v>
      </c>
      <c r="H356" s="246">
        <f t="shared" si="143"/>
        <v>100</v>
      </c>
    </row>
    <row r="357" spans="1:8" ht="26.25" x14ac:dyDescent="0.25">
      <c r="A357" s="30" t="s">
        <v>292</v>
      </c>
      <c r="B357" s="30"/>
      <c r="C357" s="51" t="s">
        <v>293</v>
      </c>
      <c r="D357" s="72">
        <f t="shared" ref="D357:F357" si="157">D358+D382+D397+D400</f>
        <v>25822.35108</v>
      </c>
      <c r="E357" s="72">
        <f t="shared" si="157"/>
        <v>35124.85108</v>
      </c>
      <c r="F357" s="72">
        <f t="shared" si="157"/>
        <v>30459.198380000002</v>
      </c>
      <c r="G357" s="244">
        <f t="shared" si="142"/>
        <v>86.716946672959395</v>
      </c>
      <c r="H357" s="244">
        <f t="shared" si="143"/>
        <v>136.02499234550723</v>
      </c>
    </row>
    <row r="358" spans="1:8" ht="26.25" x14ac:dyDescent="0.25">
      <c r="A358" s="32" t="s">
        <v>294</v>
      </c>
      <c r="B358" s="32"/>
      <c r="C358" s="20" t="s">
        <v>295</v>
      </c>
      <c r="D358" s="68">
        <f>D359+D364+D367+D370+D374+D376+D380</f>
        <v>6642.9510799999998</v>
      </c>
      <c r="E358" s="68">
        <f t="shared" ref="E358:F358" si="158">E359+E364+E367+E370+E374+E376+E380</f>
        <v>15605.451079999999</v>
      </c>
      <c r="F358" s="68">
        <f t="shared" si="158"/>
        <v>10946.478160000001</v>
      </c>
      <c r="G358" s="245">
        <f t="shared" si="142"/>
        <v>70.145221076172831</v>
      </c>
      <c r="H358" s="245">
        <f t="shared" si="143"/>
        <v>234.9174469609371</v>
      </c>
    </row>
    <row r="359" spans="1:8" x14ac:dyDescent="0.25">
      <c r="A359" s="6" t="s">
        <v>758</v>
      </c>
      <c r="B359" s="6"/>
      <c r="C359" s="19" t="s">
        <v>759</v>
      </c>
      <c r="D359" s="77">
        <f>D360</f>
        <v>462.50008000000003</v>
      </c>
      <c r="E359" s="77">
        <f t="shared" ref="E359:F359" si="159">E360</f>
        <v>4925.0000799999998</v>
      </c>
      <c r="F359" s="77">
        <f t="shared" si="159"/>
        <v>4925.0000799999998</v>
      </c>
      <c r="G359" s="248">
        <f t="shared" si="142"/>
        <v>100</v>
      </c>
      <c r="H359" s="248">
        <f t="shared" si="143"/>
        <v>1064.8646979693494</v>
      </c>
    </row>
    <row r="360" spans="1:8" ht="26.25" x14ac:dyDescent="0.25">
      <c r="A360" s="6"/>
      <c r="B360" s="6" t="s">
        <v>272</v>
      </c>
      <c r="C360" s="3" t="s">
        <v>273</v>
      </c>
      <c r="D360" s="77">
        <f>D362+D363</f>
        <v>462.50008000000003</v>
      </c>
      <c r="E360" s="77">
        <f>E362+E363+E361</f>
        <v>4925.0000799999998</v>
      </c>
      <c r="F360" s="77">
        <f>F362+F363+F361</f>
        <v>4925.0000799999998</v>
      </c>
      <c r="G360" s="248">
        <f t="shared" si="142"/>
        <v>100</v>
      </c>
      <c r="H360" s="248">
        <f t="shared" si="143"/>
        <v>1064.8646979693494</v>
      </c>
    </row>
    <row r="361" spans="1:8" x14ac:dyDescent="0.25">
      <c r="A361" s="6"/>
      <c r="B361" s="6"/>
      <c r="C361" s="52" t="s">
        <v>202</v>
      </c>
      <c r="D361" s="77"/>
      <c r="E361" s="77">
        <v>3862.5</v>
      </c>
      <c r="F361" s="77">
        <v>3862.5</v>
      </c>
      <c r="G361" s="248">
        <f t="shared" si="142"/>
        <v>100</v>
      </c>
      <c r="H361" s="248"/>
    </row>
    <row r="362" spans="1:8" x14ac:dyDescent="0.25">
      <c r="A362" s="6"/>
      <c r="B362" s="6"/>
      <c r="C362" s="52" t="s">
        <v>287</v>
      </c>
      <c r="D362" s="77">
        <v>246.251</v>
      </c>
      <c r="E362" s="77">
        <v>246.251</v>
      </c>
      <c r="F362" s="77">
        <v>246.251</v>
      </c>
      <c r="G362" s="248">
        <f t="shared" si="142"/>
        <v>100</v>
      </c>
      <c r="H362" s="248">
        <f t="shared" si="143"/>
        <v>100</v>
      </c>
    </row>
    <row r="363" spans="1:8" x14ac:dyDescent="0.25">
      <c r="A363" s="6"/>
      <c r="B363" s="6"/>
      <c r="C363" s="52" t="s">
        <v>773</v>
      </c>
      <c r="D363" s="77">
        <f>91+125.24908</f>
        <v>216.24907999999999</v>
      </c>
      <c r="E363" s="77">
        <f>91+125.24908+600</f>
        <v>816.24908000000005</v>
      </c>
      <c r="F363" s="77">
        <f>91+125.24908+600</f>
        <v>816.24908000000005</v>
      </c>
      <c r="G363" s="248">
        <f t="shared" si="142"/>
        <v>100</v>
      </c>
      <c r="H363" s="248">
        <f t="shared" si="143"/>
        <v>377.45782779746395</v>
      </c>
    </row>
    <row r="364" spans="1:8" s="90" customFormat="1" ht="25.5" x14ac:dyDescent="0.25">
      <c r="A364" s="16" t="s">
        <v>296</v>
      </c>
      <c r="B364" s="16"/>
      <c r="C364" s="1" t="s">
        <v>439</v>
      </c>
      <c r="D364" s="77">
        <f t="shared" ref="D364" si="160">D365</f>
        <v>691.3</v>
      </c>
      <c r="E364" s="77">
        <v>691.3</v>
      </c>
      <c r="F364" s="77">
        <v>691.3</v>
      </c>
      <c r="G364" s="248">
        <f t="shared" si="142"/>
        <v>100</v>
      </c>
      <c r="H364" s="248">
        <f t="shared" si="143"/>
        <v>100</v>
      </c>
    </row>
    <row r="365" spans="1:8" ht="26.25" x14ac:dyDescent="0.25">
      <c r="A365" s="16"/>
      <c r="B365" s="6" t="s">
        <v>272</v>
      </c>
      <c r="C365" s="3" t="s">
        <v>273</v>
      </c>
      <c r="D365" s="77">
        <v>691.3</v>
      </c>
      <c r="E365" s="77">
        <f>E364-E366</f>
        <v>161.96632</v>
      </c>
      <c r="F365" s="77">
        <f>F364-F366</f>
        <v>161.96632</v>
      </c>
      <c r="G365" s="248">
        <f t="shared" si="142"/>
        <v>100</v>
      </c>
      <c r="H365" s="248">
        <f t="shared" si="143"/>
        <v>23.429237668161438</v>
      </c>
    </row>
    <row r="366" spans="1:8" ht="26.25" x14ac:dyDescent="0.25">
      <c r="A366" s="16"/>
      <c r="B366" s="6" t="s">
        <v>449</v>
      </c>
      <c r="C366" s="3" t="s">
        <v>273</v>
      </c>
      <c r="D366" s="77"/>
      <c r="E366" s="77">
        <v>529.33367999999996</v>
      </c>
      <c r="F366" s="77">
        <v>529.33367999999996</v>
      </c>
      <c r="G366" s="248">
        <f t="shared" si="142"/>
        <v>100</v>
      </c>
      <c r="H366" s="248"/>
    </row>
    <row r="367" spans="1:8" s="90" customFormat="1" ht="25.5" x14ac:dyDescent="0.25">
      <c r="A367" s="16" t="s">
        <v>297</v>
      </c>
      <c r="B367" s="16"/>
      <c r="C367" s="1" t="s">
        <v>298</v>
      </c>
      <c r="D367" s="77">
        <f>D368</f>
        <v>452.8</v>
      </c>
      <c r="E367" s="77">
        <v>452.8</v>
      </c>
      <c r="F367" s="77">
        <v>452.8</v>
      </c>
      <c r="G367" s="248">
        <f t="shared" si="142"/>
        <v>100</v>
      </c>
      <c r="H367" s="248">
        <f t="shared" si="143"/>
        <v>100</v>
      </c>
    </row>
    <row r="368" spans="1:8" ht="26.25" x14ac:dyDescent="0.25">
      <c r="A368" s="16"/>
      <c r="B368" s="6" t="s">
        <v>272</v>
      </c>
      <c r="C368" s="3" t="s">
        <v>273</v>
      </c>
      <c r="D368" s="77">
        <v>452.8</v>
      </c>
      <c r="E368" s="77"/>
      <c r="F368" s="77"/>
      <c r="G368" s="248"/>
      <c r="H368" s="248">
        <f t="shared" si="143"/>
        <v>0</v>
      </c>
    </row>
    <row r="369" spans="1:9" ht="26.25" x14ac:dyDescent="0.25">
      <c r="A369" s="16"/>
      <c r="B369" s="6" t="s">
        <v>449</v>
      </c>
      <c r="C369" s="3" t="s">
        <v>273</v>
      </c>
      <c r="D369" s="77"/>
      <c r="E369" s="77">
        <v>452.8</v>
      </c>
      <c r="F369" s="77">
        <v>452.8</v>
      </c>
      <c r="G369" s="248">
        <f t="shared" ref="G369" si="161">F369/E369*100</f>
        <v>100</v>
      </c>
      <c r="H369" s="248"/>
    </row>
    <row r="370" spans="1:9" ht="63.75" x14ac:dyDescent="0.25">
      <c r="A370" s="6" t="s">
        <v>482</v>
      </c>
      <c r="B370" s="6"/>
      <c r="C370" s="1" t="s">
        <v>512</v>
      </c>
      <c r="D370" s="77">
        <f>D371</f>
        <v>3572.0699999999997</v>
      </c>
      <c r="E370" s="77">
        <f t="shared" ref="E370:F370" si="162">E371</f>
        <v>3572.0699999999997</v>
      </c>
      <c r="F370" s="77">
        <f t="shared" si="162"/>
        <v>3572.0699999999997</v>
      </c>
      <c r="G370" s="248">
        <f t="shared" si="142"/>
        <v>100</v>
      </c>
      <c r="H370" s="248">
        <f t="shared" si="143"/>
        <v>100</v>
      </c>
    </row>
    <row r="371" spans="1:9" ht="26.25" x14ac:dyDescent="0.25">
      <c r="A371" s="16"/>
      <c r="B371" s="6" t="s">
        <v>272</v>
      </c>
      <c r="C371" s="3" t="s">
        <v>273</v>
      </c>
      <c r="D371" s="77">
        <f>SUM(D372:D373)</f>
        <v>3572.0699999999997</v>
      </c>
      <c r="E371" s="77">
        <f t="shared" ref="E371:F371" si="163">SUM(E372:E373)</f>
        <v>3572.0699999999997</v>
      </c>
      <c r="F371" s="77">
        <f t="shared" si="163"/>
        <v>3572.0699999999997</v>
      </c>
      <c r="G371" s="248">
        <f t="shared" si="142"/>
        <v>100</v>
      </c>
      <c r="H371" s="248">
        <f t="shared" si="143"/>
        <v>100</v>
      </c>
    </row>
    <row r="372" spans="1:9" x14ac:dyDescent="0.25">
      <c r="A372" s="16"/>
      <c r="B372" s="6"/>
      <c r="C372" s="52" t="s">
        <v>202</v>
      </c>
      <c r="D372" s="77">
        <v>3214.8629999999998</v>
      </c>
      <c r="E372" s="77">
        <v>3214.8629999999998</v>
      </c>
      <c r="F372" s="77">
        <v>3214.8629999999998</v>
      </c>
      <c r="G372" s="248">
        <f t="shared" si="142"/>
        <v>100</v>
      </c>
      <c r="H372" s="248">
        <f t="shared" si="143"/>
        <v>100</v>
      </c>
    </row>
    <row r="373" spans="1:9" x14ac:dyDescent="0.25">
      <c r="A373" s="16"/>
      <c r="B373" s="6"/>
      <c r="C373" s="52" t="s">
        <v>287</v>
      </c>
      <c r="D373" s="77">
        <v>357.20699999999999</v>
      </c>
      <c r="E373" s="77">
        <v>357.20699999999999</v>
      </c>
      <c r="F373" s="77">
        <v>357.20699999999999</v>
      </c>
      <c r="G373" s="248">
        <f t="shared" si="142"/>
        <v>100</v>
      </c>
      <c r="H373" s="248">
        <f t="shared" si="143"/>
        <v>100</v>
      </c>
    </row>
    <row r="374" spans="1:9" x14ac:dyDescent="0.25">
      <c r="A374" s="16" t="s">
        <v>797</v>
      </c>
      <c r="B374" s="6"/>
      <c r="C374" s="52" t="s">
        <v>796</v>
      </c>
      <c r="D374" s="77">
        <f>D375</f>
        <v>591.70000000000005</v>
      </c>
      <c r="E374" s="77">
        <f t="shared" ref="E374:F374" si="164">E375</f>
        <v>591.70000000000005</v>
      </c>
      <c r="F374" s="77">
        <f t="shared" si="164"/>
        <v>591.66</v>
      </c>
      <c r="G374" s="248">
        <f t="shared" si="142"/>
        <v>99.993239817475057</v>
      </c>
      <c r="H374" s="248">
        <f t="shared" si="143"/>
        <v>100</v>
      </c>
    </row>
    <row r="375" spans="1:9" ht="26.25" x14ac:dyDescent="0.25">
      <c r="A375" s="16"/>
      <c r="B375" s="6" t="s">
        <v>449</v>
      </c>
      <c r="C375" s="3" t="s">
        <v>273</v>
      </c>
      <c r="D375" s="77">
        <v>591.70000000000005</v>
      </c>
      <c r="E375" s="77">
        <v>591.70000000000005</v>
      </c>
      <c r="F375" s="77">
        <v>591.66</v>
      </c>
      <c r="G375" s="248">
        <f t="shared" si="142"/>
        <v>99.993239817475057</v>
      </c>
      <c r="H375" s="248">
        <f t="shared" si="143"/>
        <v>100</v>
      </c>
    </row>
    <row r="376" spans="1:9" x14ac:dyDescent="0.25">
      <c r="A376" s="6" t="s">
        <v>802</v>
      </c>
      <c r="B376" s="6"/>
      <c r="C376" s="3" t="s">
        <v>799</v>
      </c>
      <c r="D376" s="77">
        <v>746.28099999999995</v>
      </c>
      <c r="E376" s="77">
        <f>E377</f>
        <v>5246.2809999999999</v>
      </c>
      <c r="F376" s="77">
        <f>F377</f>
        <v>587.36217999999997</v>
      </c>
      <c r="G376" s="248">
        <f t="shared" si="142"/>
        <v>11.195781926282637</v>
      </c>
      <c r="H376" s="248">
        <f t="shared" si="143"/>
        <v>702.99002654496098</v>
      </c>
      <c r="I376" s="482"/>
    </row>
    <row r="377" spans="1:9" ht="26.25" x14ac:dyDescent="0.25">
      <c r="A377" s="16"/>
      <c r="B377" s="6" t="s">
        <v>272</v>
      </c>
      <c r="C377" s="3" t="s">
        <v>273</v>
      </c>
      <c r="D377" s="77">
        <v>746.28099999999995</v>
      </c>
      <c r="E377" s="77">
        <f>E378+E379</f>
        <v>5246.2809999999999</v>
      </c>
      <c r="F377" s="77">
        <f>F379</f>
        <v>587.36217999999997</v>
      </c>
      <c r="G377" s="248">
        <f t="shared" si="142"/>
        <v>11.195781926282637</v>
      </c>
      <c r="H377" s="248">
        <f t="shared" si="143"/>
        <v>702.99002654496098</v>
      </c>
      <c r="I377" s="482"/>
    </row>
    <row r="378" spans="1:9" x14ac:dyDescent="0.25">
      <c r="A378" s="16"/>
      <c r="B378" s="6"/>
      <c r="C378" s="52" t="s">
        <v>202</v>
      </c>
      <c r="D378" s="77"/>
      <c r="E378" s="77">
        <v>4500</v>
      </c>
      <c r="F378" s="77"/>
      <c r="G378" s="248">
        <f t="shared" si="142"/>
        <v>0</v>
      </c>
      <c r="H378" s="248"/>
      <c r="I378" s="482">
        <f>SUM(E378-F378)</f>
        <v>4500</v>
      </c>
    </row>
    <row r="379" spans="1:9" x14ac:dyDescent="0.25">
      <c r="A379" s="16"/>
      <c r="B379" s="6"/>
      <c r="C379" s="52" t="s">
        <v>287</v>
      </c>
      <c r="D379" s="77">
        <v>746.28099999999995</v>
      </c>
      <c r="E379" s="77">
        <v>746.28099999999995</v>
      </c>
      <c r="F379" s="77">
        <v>587.36217999999997</v>
      </c>
      <c r="G379" s="248">
        <f t="shared" si="142"/>
        <v>78.705230335490256</v>
      </c>
      <c r="H379" s="248">
        <f t="shared" si="143"/>
        <v>100</v>
      </c>
    </row>
    <row r="380" spans="1:9" ht="26.25" x14ac:dyDescent="0.25">
      <c r="A380" s="16" t="s">
        <v>806</v>
      </c>
      <c r="B380" s="6"/>
      <c r="C380" s="52" t="s">
        <v>807</v>
      </c>
      <c r="D380" s="77">
        <f>D381</f>
        <v>126.3</v>
      </c>
      <c r="E380" s="77">
        <f t="shared" ref="E380:F380" si="165">E381</f>
        <v>126.3</v>
      </c>
      <c r="F380" s="77">
        <f t="shared" si="165"/>
        <v>126.2859</v>
      </c>
      <c r="G380" s="248">
        <f t="shared" si="142"/>
        <v>99.988836104513069</v>
      </c>
      <c r="H380" s="248">
        <f t="shared" si="143"/>
        <v>100</v>
      </c>
      <c r="I380" s="482"/>
    </row>
    <row r="381" spans="1:9" ht="26.25" x14ac:dyDescent="0.25">
      <c r="A381" s="16"/>
      <c r="B381" s="6" t="s">
        <v>272</v>
      </c>
      <c r="C381" s="3" t="s">
        <v>273</v>
      </c>
      <c r="D381" s="77">
        <v>126.3</v>
      </c>
      <c r="E381" s="77">
        <v>126.3</v>
      </c>
      <c r="F381" s="77">
        <v>126.2859</v>
      </c>
      <c r="G381" s="248">
        <f t="shared" si="142"/>
        <v>99.988836104513069</v>
      </c>
      <c r="H381" s="248">
        <f t="shared" si="143"/>
        <v>100</v>
      </c>
    </row>
    <row r="382" spans="1:9" ht="30.75" customHeight="1" x14ac:dyDescent="0.25">
      <c r="A382" s="32" t="s">
        <v>299</v>
      </c>
      <c r="B382" s="35"/>
      <c r="C382" s="20" t="s">
        <v>300</v>
      </c>
      <c r="D382" s="68">
        <f>D383+D385+D389+D387+D391</f>
        <v>815.9</v>
      </c>
      <c r="E382" s="68">
        <f>E383+E385+E389+E387+E391+E393</f>
        <v>1155.9000000000001</v>
      </c>
      <c r="F382" s="68">
        <f>F383+F385+F389+F387+F391+F393</f>
        <v>1149.2202199999999</v>
      </c>
      <c r="G382" s="245">
        <f t="shared" si="142"/>
        <v>99.42211436975515</v>
      </c>
      <c r="H382" s="245">
        <f t="shared" si="143"/>
        <v>141.67177350165463</v>
      </c>
    </row>
    <row r="383" spans="1:9" x14ac:dyDescent="0.25">
      <c r="A383" s="6" t="s">
        <v>301</v>
      </c>
      <c r="B383" s="54"/>
      <c r="C383" s="3" t="s">
        <v>513</v>
      </c>
      <c r="D383" s="77">
        <f>D384</f>
        <v>205.85623999999999</v>
      </c>
      <c r="E383" s="77">
        <f t="shared" ref="E383:F383" si="166">E384</f>
        <v>195.8562</v>
      </c>
      <c r="F383" s="77">
        <f t="shared" si="166"/>
        <v>195.8562</v>
      </c>
      <c r="G383" s="248">
        <f t="shared" si="142"/>
        <v>100</v>
      </c>
      <c r="H383" s="248">
        <f t="shared" si="143"/>
        <v>95.142221581429837</v>
      </c>
    </row>
    <row r="384" spans="1:9" s="90" customFormat="1" ht="26.25" x14ac:dyDescent="0.25">
      <c r="A384" s="91"/>
      <c r="B384" s="6" t="s">
        <v>272</v>
      </c>
      <c r="C384" s="3" t="s">
        <v>273</v>
      </c>
      <c r="D384" s="77">
        <v>205.85623999999999</v>
      </c>
      <c r="E384" s="77">
        <v>195.8562</v>
      </c>
      <c r="F384" s="77">
        <v>195.8562</v>
      </c>
      <c r="G384" s="248">
        <f t="shared" si="142"/>
        <v>100</v>
      </c>
      <c r="H384" s="248">
        <f t="shared" si="143"/>
        <v>95.142221581429837</v>
      </c>
    </row>
    <row r="385" spans="1:9" x14ac:dyDescent="0.25">
      <c r="A385" s="6" t="s">
        <v>302</v>
      </c>
      <c r="B385" s="22"/>
      <c r="C385" s="53" t="s">
        <v>303</v>
      </c>
      <c r="D385" s="77">
        <f>D386</f>
        <v>195</v>
      </c>
      <c r="E385" s="77">
        <f t="shared" ref="E385:F385" si="167">E386</f>
        <v>205.00004000000001</v>
      </c>
      <c r="F385" s="77">
        <f t="shared" si="167"/>
        <v>198.39336</v>
      </c>
      <c r="G385" s="248">
        <f t="shared" si="142"/>
        <v>96.777229897125878</v>
      </c>
      <c r="H385" s="248">
        <f t="shared" si="143"/>
        <v>105.12822564102564</v>
      </c>
    </row>
    <row r="386" spans="1:9" ht="26.25" x14ac:dyDescent="0.25">
      <c r="A386" s="6"/>
      <c r="B386" s="6" t="s">
        <v>272</v>
      </c>
      <c r="C386" s="3" t="s">
        <v>273</v>
      </c>
      <c r="D386" s="77">
        <v>195</v>
      </c>
      <c r="E386" s="77">
        <v>205.00004000000001</v>
      </c>
      <c r="F386" s="77">
        <v>198.39336</v>
      </c>
      <c r="G386" s="248">
        <f t="shared" si="142"/>
        <v>96.777229897125878</v>
      </c>
      <c r="H386" s="248">
        <f t="shared" si="143"/>
        <v>105.12822564102564</v>
      </c>
      <c r="I386" s="482"/>
    </row>
    <row r="387" spans="1:9" ht="26.25" x14ac:dyDescent="0.25">
      <c r="A387" s="6" t="s">
        <v>304</v>
      </c>
      <c r="B387" s="6"/>
      <c r="C387" s="3" t="s">
        <v>305</v>
      </c>
      <c r="D387" s="77">
        <v>22.5</v>
      </c>
      <c r="E387" s="77">
        <v>22.5</v>
      </c>
      <c r="F387" s="77">
        <v>22.5</v>
      </c>
      <c r="G387" s="248">
        <f t="shared" si="142"/>
        <v>100</v>
      </c>
      <c r="H387" s="248">
        <f t="shared" si="143"/>
        <v>100</v>
      </c>
    </row>
    <row r="388" spans="1:9" ht="26.25" x14ac:dyDescent="0.25">
      <c r="A388" s="6"/>
      <c r="B388" s="6" t="s">
        <v>272</v>
      </c>
      <c r="C388" s="3" t="s">
        <v>273</v>
      </c>
      <c r="D388" s="77">
        <v>22.5</v>
      </c>
      <c r="E388" s="77">
        <v>22.5</v>
      </c>
      <c r="F388" s="77">
        <v>22.5</v>
      </c>
      <c r="G388" s="248">
        <f t="shared" si="142"/>
        <v>100</v>
      </c>
      <c r="H388" s="248">
        <f t="shared" si="143"/>
        <v>100</v>
      </c>
    </row>
    <row r="389" spans="1:9" ht="26.25" x14ac:dyDescent="0.25">
      <c r="A389" s="6" t="s">
        <v>306</v>
      </c>
      <c r="B389" s="22"/>
      <c r="C389" s="53" t="s">
        <v>307</v>
      </c>
      <c r="D389" s="77">
        <f>D390</f>
        <v>360.3</v>
      </c>
      <c r="E389" s="77">
        <f t="shared" ref="E389:F389" si="168">E390</f>
        <v>190.33885000000001</v>
      </c>
      <c r="F389" s="77">
        <f t="shared" si="168"/>
        <v>190.26575</v>
      </c>
      <c r="G389" s="248">
        <f t="shared" si="142"/>
        <v>99.961594808416663</v>
      </c>
      <c r="H389" s="248">
        <f t="shared" si="143"/>
        <v>52.827879544823766</v>
      </c>
    </row>
    <row r="390" spans="1:9" s="90" customFormat="1" ht="26.25" x14ac:dyDescent="0.25">
      <c r="A390" s="92"/>
      <c r="B390" s="6" t="s">
        <v>272</v>
      </c>
      <c r="C390" s="3" t="s">
        <v>273</v>
      </c>
      <c r="D390" s="77">
        <v>360.3</v>
      </c>
      <c r="E390" s="77">
        <v>190.33885000000001</v>
      </c>
      <c r="F390" s="77">
        <v>190.26575</v>
      </c>
      <c r="G390" s="248">
        <f t="shared" si="142"/>
        <v>99.961594808416663</v>
      </c>
      <c r="H390" s="248">
        <f t="shared" si="143"/>
        <v>52.827879544823766</v>
      </c>
    </row>
    <row r="391" spans="1:9" s="90" customFormat="1" ht="26.25" x14ac:dyDescent="0.25">
      <c r="A391" s="6" t="s">
        <v>809</v>
      </c>
      <c r="B391" s="6"/>
      <c r="C391" s="3" t="s">
        <v>808</v>
      </c>
      <c r="D391" s="77">
        <f>D392</f>
        <v>32.243760000000002</v>
      </c>
      <c r="E391" s="77">
        <f t="shared" ref="E391:F391" si="169">E392</f>
        <v>32.243760000000002</v>
      </c>
      <c r="F391" s="77">
        <f t="shared" si="169"/>
        <v>32.243760000000002</v>
      </c>
      <c r="G391" s="248">
        <f t="shared" si="142"/>
        <v>100</v>
      </c>
      <c r="H391" s="248">
        <f t="shared" si="143"/>
        <v>100</v>
      </c>
    </row>
    <row r="392" spans="1:9" s="90" customFormat="1" ht="26.25" x14ac:dyDescent="0.25">
      <c r="A392" s="92"/>
      <c r="B392" s="6" t="s">
        <v>272</v>
      </c>
      <c r="C392" s="3" t="s">
        <v>273</v>
      </c>
      <c r="D392" s="77">
        <v>32.243760000000002</v>
      </c>
      <c r="E392" s="77">
        <v>32.243760000000002</v>
      </c>
      <c r="F392" s="77">
        <v>32.243760000000002</v>
      </c>
      <c r="G392" s="248">
        <f t="shared" si="142"/>
        <v>100</v>
      </c>
      <c r="H392" s="248">
        <f t="shared" si="143"/>
        <v>100</v>
      </c>
    </row>
    <row r="393" spans="1:9" s="90" customFormat="1" ht="39" x14ac:dyDescent="0.25">
      <c r="A393" s="18" t="s">
        <v>844</v>
      </c>
      <c r="B393" s="6"/>
      <c r="C393" s="3" t="s">
        <v>845</v>
      </c>
      <c r="D393" s="77"/>
      <c r="E393" s="77">
        <f>E394</f>
        <v>509.96114999999998</v>
      </c>
      <c r="F393" s="77">
        <f>F394</f>
        <v>509.96114999999998</v>
      </c>
      <c r="G393" s="248">
        <f t="shared" ref="G393:G456" si="170">F393/E393*100</f>
        <v>100</v>
      </c>
      <c r="H393" s="248"/>
    </row>
    <row r="394" spans="1:9" s="90" customFormat="1" ht="26.25" x14ac:dyDescent="0.25">
      <c r="A394" s="92"/>
      <c r="B394" s="6" t="s">
        <v>272</v>
      </c>
      <c r="C394" s="3" t="s">
        <v>273</v>
      </c>
      <c r="D394" s="77"/>
      <c r="E394" s="77">
        <v>509.96114999999998</v>
      </c>
      <c r="F394" s="77">
        <v>509.96114999999998</v>
      </c>
      <c r="G394" s="248">
        <f t="shared" si="170"/>
        <v>100</v>
      </c>
      <c r="H394" s="248"/>
    </row>
    <row r="395" spans="1:9" s="90" customFormat="1" x14ac:dyDescent="0.25">
      <c r="A395" s="92"/>
      <c r="B395" s="6"/>
      <c r="C395" s="52" t="s">
        <v>202</v>
      </c>
      <c r="D395" s="77"/>
      <c r="E395" s="77">
        <v>340</v>
      </c>
      <c r="F395" s="77">
        <v>340</v>
      </c>
      <c r="G395" s="248">
        <f t="shared" si="170"/>
        <v>100</v>
      </c>
      <c r="H395" s="248"/>
    </row>
    <row r="396" spans="1:9" s="90" customFormat="1" x14ac:dyDescent="0.25">
      <c r="A396" s="92"/>
      <c r="B396" s="6"/>
      <c r="C396" s="52" t="s">
        <v>287</v>
      </c>
      <c r="D396" s="77"/>
      <c r="E396" s="77">
        <v>169.96115</v>
      </c>
      <c r="F396" s="77">
        <v>169.96115</v>
      </c>
      <c r="G396" s="248">
        <f t="shared" si="170"/>
        <v>100</v>
      </c>
      <c r="H396" s="248"/>
    </row>
    <row r="397" spans="1:9" ht="39" x14ac:dyDescent="0.25">
      <c r="A397" s="32" t="s">
        <v>308</v>
      </c>
      <c r="B397" s="35"/>
      <c r="C397" s="20" t="s">
        <v>451</v>
      </c>
      <c r="D397" s="68">
        <f t="shared" ref="D397:F398" si="171">D398</f>
        <v>113</v>
      </c>
      <c r="E397" s="68">
        <f t="shared" si="171"/>
        <v>113</v>
      </c>
      <c r="F397" s="68">
        <f t="shared" si="171"/>
        <v>113</v>
      </c>
      <c r="G397" s="245">
        <f t="shared" si="170"/>
        <v>100</v>
      </c>
      <c r="H397" s="245">
        <f t="shared" ref="H397:H456" si="172">E397/D397*100</f>
        <v>100</v>
      </c>
    </row>
    <row r="398" spans="1:9" ht="38.25" x14ac:dyDescent="0.25">
      <c r="A398" s="16" t="s">
        <v>483</v>
      </c>
      <c r="B398" s="16"/>
      <c r="C398" s="1" t="s">
        <v>514</v>
      </c>
      <c r="D398" s="77">
        <f t="shared" si="171"/>
        <v>113</v>
      </c>
      <c r="E398" s="77">
        <f t="shared" si="171"/>
        <v>113</v>
      </c>
      <c r="F398" s="77">
        <f t="shared" si="171"/>
        <v>113</v>
      </c>
      <c r="G398" s="248">
        <f t="shared" si="170"/>
        <v>100</v>
      </c>
      <c r="H398" s="248">
        <f t="shared" si="172"/>
        <v>100</v>
      </c>
    </row>
    <row r="399" spans="1:9" ht="26.25" x14ac:dyDescent="0.25">
      <c r="A399" s="16"/>
      <c r="B399" s="6" t="s">
        <v>272</v>
      </c>
      <c r="C399" s="3" t="s">
        <v>273</v>
      </c>
      <c r="D399" s="77">
        <v>113</v>
      </c>
      <c r="E399" s="77">
        <v>113</v>
      </c>
      <c r="F399" s="77">
        <v>113</v>
      </c>
      <c r="G399" s="248">
        <f t="shared" si="170"/>
        <v>100</v>
      </c>
      <c r="H399" s="248">
        <f t="shared" si="172"/>
        <v>100</v>
      </c>
    </row>
    <row r="400" spans="1:9" ht="26.25" x14ac:dyDescent="0.25">
      <c r="A400" s="32" t="s">
        <v>515</v>
      </c>
      <c r="B400" s="32"/>
      <c r="C400" s="20" t="s">
        <v>516</v>
      </c>
      <c r="D400" s="68">
        <f t="shared" ref="D400:F401" si="173">D401</f>
        <v>18250.5</v>
      </c>
      <c r="E400" s="68">
        <f t="shared" si="173"/>
        <v>18250.5</v>
      </c>
      <c r="F400" s="68">
        <f t="shared" si="173"/>
        <v>18250.5</v>
      </c>
      <c r="G400" s="245">
        <f t="shared" si="170"/>
        <v>100</v>
      </c>
      <c r="H400" s="245">
        <f t="shared" si="172"/>
        <v>100</v>
      </c>
    </row>
    <row r="401" spans="1:8" ht="25.5" x14ac:dyDescent="0.25">
      <c r="A401" s="6" t="s">
        <v>517</v>
      </c>
      <c r="B401" s="6"/>
      <c r="C401" s="21" t="s">
        <v>635</v>
      </c>
      <c r="D401" s="67">
        <f t="shared" si="173"/>
        <v>18250.5</v>
      </c>
      <c r="E401" s="67">
        <f t="shared" si="173"/>
        <v>18250.5</v>
      </c>
      <c r="F401" s="67">
        <f t="shared" si="173"/>
        <v>18250.5</v>
      </c>
      <c r="G401" s="246">
        <f t="shared" si="170"/>
        <v>100</v>
      </c>
      <c r="H401" s="246">
        <f t="shared" si="172"/>
        <v>100</v>
      </c>
    </row>
    <row r="402" spans="1:8" ht="25.5" x14ac:dyDescent="0.25">
      <c r="A402" s="6"/>
      <c r="B402" s="6" t="s">
        <v>449</v>
      </c>
      <c r="C402" s="1" t="s">
        <v>450</v>
      </c>
      <c r="D402" s="67">
        <v>18250.5</v>
      </c>
      <c r="E402" s="67">
        <v>18250.5</v>
      </c>
      <c r="F402" s="67">
        <v>18250.5</v>
      </c>
      <c r="G402" s="246">
        <f t="shared" si="170"/>
        <v>100</v>
      </c>
      <c r="H402" s="246">
        <f t="shared" si="172"/>
        <v>100</v>
      </c>
    </row>
    <row r="403" spans="1:8" ht="26.25" x14ac:dyDescent="0.25">
      <c r="A403" s="30" t="s">
        <v>309</v>
      </c>
      <c r="B403" s="30"/>
      <c r="C403" s="51" t="s">
        <v>310</v>
      </c>
      <c r="D403" s="72">
        <f>D404+D419</f>
        <v>13062.91223</v>
      </c>
      <c r="E403" s="72">
        <f>E404+E419</f>
        <v>13062.91056</v>
      </c>
      <c r="F403" s="72">
        <f>F404+F419</f>
        <v>12856.92842</v>
      </c>
      <c r="G403" s="244">
        <f t="shared" si="170"/>
        <v>98.423152795436422</v>
      </c>
      <c r="H403" s="244">
        <f t="shared" si="172"/>
        <v>99.999987215714455</v>
      </c>
    </row>
    <row r="404" spans="1:8" ht="39" x14ac:dyDescent="0.25">
      <c r="A404" s="32" t="s">
        <v>311</v>
      </c>
      <c r="B404" s="32"/>
      <c r="C404" s="20" t="s">
        <v>312</v>
      </c>
      <c r="D404" s="68">
        <f>D405+D409+D411+D413+D417</f>
        <v>11590.01223</v>
      </c>
      <c r="E404" s="68">
        <f>E405+E409+E411+E413+E417</f>
        <v>11590.010560000001</v>
      </c>
      <c r="F404" s="68">
        <f>F405+F409+F411+F413+F417</f>
        <v>11589.88103</v>
      </c>
      <c r="G404" s="245">
        <f t="shared" si="170"/>
        <v>99.998882399637779</v>
      </c>
      <c r="H404" s="245">
        <f t="shared" si="172"/>
        <v>99.999985591041948</v>
      </c>
    </row>
    <row r="405" spans="1:8" s="90" customFormat="1" ht="26.25" x14ac:dyDescent="0.25">
      <c r="A405" s="6" t="s">
        <v>313</v>
      </c>
      <c r="B405" s="6"/>
      <c r="C405" s="53" t="s">
        <v>314</v>
      </c>
      <c r="D405" s="77">
        <v>6394.3</v>
      </c>
      <c r="E405" s="77">
        <v>6394.3</v>
      </c>
      <c r="F405" s="77">
        <v>6394.2373399999997</v>
      </c>
      <c r="G405" s="248">
        <f t="shared" si="170"/>
        <v>99.999020064745153</v>
      </c>
      <c r="H405" s="248">
        <f t="shared" si="172"/>
        <v>100</v>
      </c>
    </row>
    <row r="406" spans="1:8" ht="26.25" x14ac:dyDescent="0.25">
      <c r="A406" s="12"/>
      <c r="B406" s="6" t="s">
        <v>272</v>
      </c>
      <c r="C406" s="3" t="s">
        <v>273</v>
      </c>
      <c r="D406" s="67">
        <v>6024.3</v>
      </c>
      <c r="E406" s="67">
        <v>931.8</v>
      </c>
      <c r="F406" s="67">
        <v>931.73734000000002</v>
      </c>
      <c r="G406" s="246">
        <f t="shared" si="170"/>
        <v>99.99327538098305</v>
      </c>
      <c r="H406" s="246">
        <f t="shared" si="172"/>
        <v>15.467357203326525</v>
      </c>
    </row>
    <row r="407" spans="1:8" ht="26.25" x14ac:dyDescent="0.25">
      <c r="A407" s="12"/>
      <c r="B407" s="6" t="s">
        <v>290</v>
      </c>
      <c r="C407" s="3" t="s">
        <v>291</v>
      </c>
      <c r="D407" s="67"/>
      <c r="E407" s="67">
        <v>5092.5</v>
      </c>
      <c r="F407" s="67">
        <v>5092.5</v>
      </c>
      <c r="G407" s="246">
        <f t="shared" si="170"/>
        <v>100</v>
      </c>
      <c r="H407" s="246"/>
    </row>
    <row r="408" spans="1:8" ht="25.5" x14ac:dyDescent="0.25">
      <c r="A408" s="12"/>
      <c r="B408" s="6" t="s">
        <v>449</v>
      </c>
      <c r="C408" s="1" t="s">
        <v>450</v>
      </c>
      <c r="D408" s="67">
        <f>290+80</f>
        <v>370</v>
      </c>
      <c r="E408" s="67">
        <v>370</v>
      </c>
      <c r="F408" s="67">
        <v>370</v>
      </c>
      <c r="G408" s="246">
        <f t="shared" si="170"/>
        <v>100</v>
      </c>
      <c r="H408" s="246">
        <f t="shared" si="172"/>
        <v>100</v>
      </c>
    </row>
    <row r="409" spans="1:8" ht="39" x14ac:dyDescent="0.25">
      <c r="A409" s="6" t="s">
        <v>440</v>
      </c>
      <c r="B409" s="6"/>
      <c r="C409" s="3" t="s">
        <v>315</v>
      </c>
      <c r="D409" s="67">
        <f>D410</f>
        <v>1023.4</v>
      </c>
      <c r="E409" s="67">
        <f t="shared" ref="E409:F409" si="174">E410</f>
        <v>1023.4</v>
      </c>
      <c r="F409" s="67">
        <f t="shared" si="174"/>
        <v>1023.33369</v>
      </c>
      <c r="G409" s="246">
        <f t="shared" si="170"/>
        <v>99.993520617549351</v>
      </c>
      <c r="H409" s="246">
        <f t="shared" si="172"/>
        <v>100</v>
      </c>
    </row>
    <row r="410" spans="1:8" ht="26.25" x14ac:dyDescent="0.25">
      <c r="A410" s="6"/>
      <c r="B410" s="6" t="s">
        <v>272</v>
      </c>
      <c r="C410" s="3" t="s">
        <v>273</v>
      </c>
      <c r="D410" s="67">
        <v>1023.4</v>
      </c>
      <c r="E410" s="67">
        <v>1023.4</v>
      </c>
      <c r="F410" s="67">
        <v>1023.33369</v>
      </c>
      <c r="G410" s="246">
        <f t="shared" si="170"/>
        <v>99.993520617549351</v>
      </c>
      <c r="H410" s="246">
        <f t="shared" si="172"/>
        <v>100</v>
      </c>
    </row>
    <row r="411" spans="1:8" x14ac:dyDescent="0.25">
      <c r="A411" s="16" t="s">
        <v>634</v>
      </c>
      <c r="B411" s="18"/>
      <c r="C411" s="1" t="s">
        <v>476</v>
      </c>
      <c r="D411" s="77">
        <f>D412</f>
        <v>356.8</v>
      </c>
      <c r="E411" s="77">
        <f t="shared" ref="E411:F411" si="175">E412</f>
        <v>356.8</v>
      </c>
      <c r="F411" s="77">
        <f t="shared" si="175"/>
        <v>356.8</v>
      </c>
      <c r="G411" s="248">
        <f t="shared" si="170"/>
        <v>100</v>
      </c>
      <c r="H411" s="248">
        <f t="shared" si="172"/>
        <v>100</v>
      </c>
    </row>
    <row r="412" spans="1:8" ht="26.25" x14ac:dyDescent="0.25">
      <c r="A412" s="16"/>
      <c r="B412" s="6" t="s">
        <v>272</v>
      </c>
      <c r="C412" s="3" t="s">
        <v>273</v>
      </c>
      <c r="D412" s="77">
        <v>356.8</v>
      </c>
      <c r="E412" s="77">
        <v>356.8</v>
      </c>
      <c r="F412" s="77">
        <v>356.8</v>
      </c>
      <c r="G412" s="248">
        <f t="shared" si="170"/>
        <v>100</v>
      </c>
      <c r="H412" s="248">
        <f t="shared" si="172"/>
        <v>100</v>
      </c>
    </row>
    <row r="413" spans="1:8" s="90" customFormat="1" ht="51" x14ac:dyDescent="0.25">
      <c r="A413" s="6" t="s">
        <v>814</v>
      </c>
      <c r="B413" s="6"/>
      <c r="C413" s="1" t="s">
        <v>477</v>
      </c>
      <c r="D413" s="77">
        <f>D414</f>
        <v>3615.5122299999998</v>
      </c>
      <c r="E413" s="77">
        <f t="shared" ref="E413:F413" si="176">E414</f>
        <v>3615.5105600000002</v>
      </c>
      <c r="F413" s="77">
        <f t="shared" si="176"/>
        <v>3615.51</v>
      </c>
      <c r="G413" s="248">
        <f t="shared" si="170"/>
        <v>99.999984511177871</v>
      </c>
      <c r="H413" s="248">
        <f t="shared" si="172"/>
        <v>99.999953810141037</v>
      </c>
    </row>
    <row r="414" spans="1:8" ht="26.25" x14ac:dyDescent="0.25">
      <c r="A414" s="16"/>
      <c r="B414" s="6" t="s">
        <v>272</v>
      </c>
      <c r="C414" s="3" t="s">
        <v>273</v>
      </c>
      <c r="D414" s="77">
        <f>D415+D416</f>
        <v>3615.5122299999998</v>
      </c>
      <c r="E414" s="77">
        <v>3615.5105600000002</v>
      </c>
      <c r="F414" s="77">
        <v>3615.51</v>
      </c>
      <c r="G414" s="248">
        <f t="shared" si="170"/>
        <v>99.999984511177871</v>
      </c>
      <c r="H414" s="248">
        <f t="shared" si="172"/>
        <v>99.999953810141037</v>
      </c>
    </row>
    <row r="415" spans="1:8" x14ac:dyDescent="0.25">
      <c r="A415" s="16"/>
      <c r="B415" s="6"/>
      <c r="C415" s="3" t="s">
        <v>149</v>
      </c>
      <c r="D415" s="77">
        <v>2711.6341699999998</v>
      </c>
      <c r="E415" s="77">
        <v>2711.6325000000002</v>
      </c>
      <c r="F415" s="77">
        <v>2711.6325000000002</v>
      </c>
      <c r="G415" s="248">
        <f t="shared" si="170"/>
        <v>100</v>
      </c>
      <c r="H415" s="248">
        <f t="shared" si="172"/>
        <v>99.999938413521335</v>
      </c>
    </row>
    <row r="416" spans="1:8" x14ac:dyDescent="0.25">
      <c r="A416" s="16"/>
      <c r="B416" s="6"/>
      <c r="C416" s="19" t="s">
        <v>102</v>
      </c>
      <c r="D416" s="77">
        <v>903.87806</v>
      </c>
      <c r="E416" s="77">
        <v>903.87806</v>
      </c>
      <c r="F416" s="77">
        <v>903.87750000000005</v>
      </c>
      <c r="G416" s="248">
        <f t="shared" si="170"/>
        <v>99.999938044740247</v>
      </c>
      <c r="H416" s="248">
        <f t="shared" si="172"/>
        <v>100</v>
      </c>
    </row>
    <row r="417" spans="1:9" ht="39" x14ac:dyDescent="0.25">
      <c r="A417" s="22" t="s">
        <v>760</v>
      </c>
      <c r="B417" s="22"/>
      <c r="C417" s="53" t="s">
        <v>798</v>
      </c>
      <c r="D417" s="77">
        <f>D418</f>
        <v>200</v>
      </c>
      <c r="E417" s="77">
        <f t="shared" ref="E417:F417" si="177">E418</f>
        <v>200</v>
      </c>
      <c r="F417" s="77">
        <f t="shared" si="177"/>
        <v>200</v>
      </c>
      <c r="G417" s="248">
        <f t="shared" si="170"/>
        <v>100</v>
      </c>
      <c r="H417" s="248">
        <f t="shared" si="172"/>
        <v>100</v>
      </c>
    </row>
    <row r="418" spans="1:9" ht="26.25" x14ac:dyDescent="0.25">
      <c r="A418" s="22"/>
      <c r="B418" s="22" t="s">
        <v>272</v>
      </c>
      <c r="C418" s="53" t="s">
        <v>273</v>
      </c>
      <c r="D418" s="77">
        <v>200</v>
      </c>
      <c r="E418" s="77">
        <v>200</v>
      </c>
      <c r="F418" s="77">
        <v>200</v>
      </c>
      <c r="G418" s="248">
        <f t="shared" si="170"/>
        <v>100</v>
      </c>
      <c r="H418" s="248">
        <f t="shared" si="172"/>
        <v>100</v>
      </c>
    </row>
    <row r="419" spans="1:9" ht="26.25" x14ac:dyDescent="0.25">
      <c r="A419" s="32" t="s">
        <v>316</v>
      </c>
      <c r="B419" s="32"/>
      <c r="C419" s="20" t="s">
        <v>317</v>
      </c>
      <c r="D419" s="68">
        <f t="shared" ref="D419:F419" si="178">D420+D422</f>
        <v>1472.9</v>
      </c>
      <c r="E419" s="68">
        <f t="shared" si="178"/>
        <v>1472.9</v>
      </c>
      <c r="F419" s="68">
        <f t="shared" si="178"/>
        <v>1267.04739</v>
      </c>
      <c r="G419" s="245">
        <f t="shared" si="170"/>
        <v>86.023992803313192</v>
      </c>
      <c r="H419" s="245">
        <f t="shared" si="172"/>
        <v>100</v>
      </c>
    </row>
    <row r="420" spans="1:9" ht="25.5" x14ac:dyDescent="0.25">
      <c r="A420" s="6" t="s">
        <v>318</v>
      </c>
      <c r="B420" s="16"/>
      <c r="C420" s="1" t="s">
        <v>319</v>
      </c>
      <c r="D420" s="67">
        <f>D421</f>
        <v>1133.7</v>
      </c>
      <c r="E420" s="67">
        <f t="shared" ref="E420:F420" si="179">E421</f>
        <v>1133.7</v>
      </c>
      <c r="F420" s="67">
        <f t="shared" si="179"/>
        <v>1133.69074</v>
      </c>
      <c r="G420" s="246">
        <f t="shared" si="170"/>
        <v>99.999183205433525</v>
      </c>
      <c r="H420" s="246">
        <f t="shared" si="172"/>
        <v>100</v>
      </c>
    </row>
    <row r="421" spans="1:9" ht="26.25" x14ac:dyDescent="0.25">
      <c r="A421" s="6"/>
      <c r="B421" s="6" t="s">
        <v>272</v>
      </c>
      <c r="C421" s="3" t="s">
        <v>273</v>
      </c>
      <c r="D421" s="67">
        <v>1133.7</v>
      </c>
      <c r="E421" s="67">
        <v>1133.7</v>
      </c>
      <c r="F421" s="67">
        <v>1133.69074</v>
      </c>
      <c r="G421" s="246">
        <f t="shared" si="170"/>
        <v>99.999183205433525</v>
      </c>
      <c r="H421" s="246">
        <f t="shared" si="172"/>
        <v>100</v>
      </c>
    </row>
    <row r="422" spans="1:9" x14ac:dyDescent="0.25">
      <c r="A422" s="6" t="s">
        <v>781</v>
      </c>
      <c r="B422" s="4"/>
      <c r="C422" s="19" t="s">
        <v>782</v>
      </c>
      <c r="D422" s="67">
        <f>D423</f>
        <v>339.2</v>
      </c>
      <c r="E422" s="67">
        <f t="shared" ref="E422:F422" si="180">E423</f>
        <v>339.2</v>
      </c>
      <c r="F422" s="67">
        <f t="shared" si="180"/>
        <v>133.35665</v>
      </c>
      <c r="G422" s="246">
        <f t="shared" si="170"/>
        <v>39.315050117924535</v>
      </c>
      <c r="H422" s="246">
        <f t="shared" si="172"/>
        <v>100</v>
      </c>
    </row>
    <row r="423" spans="1:9" ht="26.25" x14ac:dyDescent="0.25">
      <c r="A423" s="6"/>
      <c r="B423" s="6" t="s">
        <v>272</v>
      </c>
      <c r="C423" s="3" t="s">
        <v>273</v>
      </c>
      <c r="D423" s="67">
        <v>339.2</v>
      </c>
      <c r="E423" s="67">
        <v>339.2</v>
      </c>
      <c r="F423" s="67">
        <v>133.35665</v>
      </c>
      <c r="G423" s="246">
        <f t="shared" si="170"/>
        <v>39.315050117924535</v>
      </c>
      <c r="H423" s="246">
        <f t="shared" si="172"/>
        <v>100</v>
      </c>
      <c r="I423" s="482"/>
    </row>
    <row r="424" spans="1:9" ht="26.25" x14ac:dyDescent="0.25">
      <c r="A424" s="28" t="s">
        <v>320</v>
      </c>
      <c r="B424" s="28"/>
      <c r="C424" s="36" t="s">
        <v>321</v>
      </c>
      <c r="D424" s="69">
        <f>D425+D456+D460</f>
        <v>114253.48245000001</v>
      </c>
      <c r="E424" s="69">
        <f>E425+E456+E460</f>
        <v>113128.12670000001</v>
      </c>
      <c r="F424" s="69">
        <f>F425+F456+F460</f>
        <v>113127.91383000002</v>
      </c>
      <c r="G424" s="477">
        <f t="shared" si="170"/>
        <v>99.999811832825131</v>
      </c>
      <c r="H424" s="477">
        <f t="shared" si="172"/>
        <v>99.015035930749434</v>
      </c>
      <c r="I424" s="482"/>
    </row>
    <row r="425" spans="1:9" ht="26.25" x14ac:dyDescent="0.25">
      <c r="A425" s="30" t="s">
        <v>322</v>
      </c>
      <c r="B425" s="30"/>
      <c r="C425" s="31" t="s">
        <v>323</v>
      </c>
      <c r="D425" s="72">
        <f>D426+D429+D435+D438+D447+D450</f>
        <v>105173.87000000001</v>
      </c>
      <c r="E425" s="72">
        <f>E426+E429+E435+E438+E447+E450</f>
        <v>104048.51425000001</v>
      </c>
      <c r="F425" s="72">
        <f>F426+F429+F435+F438+F447+F450</f>
        <v>104048.32440000001</v>
      </c>
      <c r="G425" s="244">
        <f t="shared" si="170"/>
        <v>99.999817537038979</v>
      </c>
      <c r="H425" s="244">
        <f t="shared" si="172"/>
        <v>98.930004429807511</v>
      </c>
    </row>
    <row r="426" spans="1:9" x14ac:dyDescent="0.25">
      <c r="A426" s="32" t="s">
        <v>324</v>
      </c>
      <c r="B426" s="32"/>
      <c r="C426" s="33" t="s">
        <v>325</v>
      </c>
      <c r="D426" s="68">
        <f t="shared" ref="D426:F427" si="181">D427</f>
        <v>500</v>
      </c>
      <c r="E426" s="68">
        <f t="shared" si="181"/>
        <v>500</v>
      </c>
      <c r="F426" s="68">
        <f t="shared" si="181"/>
        <v>500</v>
      </c>
      <c r="G426" s="245">
        <f t="shared" si="170"/>
        <v>100</v>
      </c>
      <c r="H426" s="245">
        <f t="shared" si="172"/>
        <v>100</v>
      </c>
    </row>
    <row r="427" spans="1:9" ht="26.25" x14ac:dyDescent="0.25">
      <c r="A427" s="6" t="s">
        <v>326</v>
      </c>
      <c r="B427" s="12"/>
      <c r="C427" s="3" t="s">
        <v>520</v>
      </c>
      <c r="D427" s="67">
        <f t="shared" si="181"/>
        <v>500</v>
      </c>
      <c r="E427" s="67">
        <f t="shared" si="181"/>
        <v>500</v>
      </c>
      <c r="F427" s="67">
        <f t="shared" si="181"/>
        <v>500</v>
      </c>
      <c r="G427" s="246">
        <f t="shared" si="170"/>
        <v>100</v>
      </c>
      <c r="H427" s="246">
        <f t="shared" si="172"/>
        <v>100</v>
      </c>
    </row>
    <row r="428" spans="1:9" ht="26.25" x14ac:dyDescent="0.25">
      <c r="A428" s="6"/>
      <c r="B428" s="6" t="s">
        <v>272</v>
      </c>
      <c r="C428" s="3" t="s">
        <v>273</v>
      </c>
      <c r="D428" s="67">
        <f>516-16</f>
        <v>500</v>
      </c>
      <c r="E428" s="67">
        <f t="shared" ref="E428:F428" si="182">516-16</f>
        <v>500</v>
      </c>
      <c r="F428" s="67">
        <f t="shared" si="182"/>
        <v>500</v>
      </c>
      <c r="G428" s="246">
        <f t="shared" si="170"/>
        <v>100</v>
      </c>
      <c r="H428" s="246">
        <f t="shared" si="172"/>
        <v>100</v>
      </c>
    </row>
    <row r="429" spans="1:9" x14ac:dyDescent="0.25">
      <c r="A429" s="32" t="s">
        <v>769</v>
      </c>
      <c r="B429" s="32"/>
      <c r="C429" s="33" t="s">
        <v>770</v>
      </c>
      <c r="D429" s="68">
        <f>D430+D432</f>
        <v>3220.5</v>
      </c>
      <c r="E429" s="68">
        <f t="shared" ref="E429:F429" si="183">E430+E432</f>
        <v>3220.5</v>
      </c>
      <c r="F429" s="68">
        <f t="shared" si="183"/>
        <v>3220.4184799999998</v>
      </c>
      <c r="G429" s="245">
        <f t="shared" si="170"/>
        <v>99.997468716037872</v>
      </c>
      <c r="H429" s="245">
        <f t="shared" si="172"/>
        <v>100</v>
      </c>
    </row>
    <row r="430" spans="1:9" ht="39" x14ac:dyDescent="0.25">
      <c r="A430" s="6" t="s">
        <v>771</v>
      </c>
      <c r="B430" s="12"/>
      <c r="C430" s="3" t="s">
        <v>772</v>
      </c>
      <c r="D430" s="67">
        <f>D431</f>
        <v>3150</v>
      </c>
      <c r="E430" s="67">
        <f t="shared" ref="E430:F430" si="184">E431</f>
        <v>3150</v>
      </c>
      <c r="F430" s="67">
        <f t="shared" si="184"/>
        <v>3150</v>
      </c>
      <c r="G430" s="246">
        <f t="shared" si="170"/>
        <v>100</v>
      </c>
      <c r="H430" s="246">
        <f t="shared" si="172"/>
        <v>100</v>
      </c>
    </row>
    <row r="431" spans="1:9" ht="26.25" x14ac:dyDescent="0.25">
      <c r="A431" s="6"/>
      <c r="B431" s="6" t="s">
        <v>272</v>
      </c>
      <c r="C431" s="3" t="s">
        <v>273</v>
      </c>
      <c r="D431" s="67">
        <v>3150</v>
      </c>
      <c r="E431" s="67">
        <v>3150</v>
      </c>
      <c r="F431" s="67">
        <v>3150</v>
      </c>
      <c r="G431" s="246">
        <f t="shared" si="170"/>
        <v>100</v>
      </c>
      <c r="H431" s="246">
        <f t="shared" si="172"/>
        <v>100</v>
      </c>
    </row>
    <row r="432" spans="1:9" ht="51.75" x14ac:dyDescent="0.25">
      <c r="A432" s="6" t="s">
        <v>790</v>
      </c>
      <c r="B432" s="6"/>
      <c r="C432" s="3" t="s">
        <v>791</v>
      </c>
      <c r="D432" s="67">
        <f>D433</f>
        <v>70.5</v>
      </c>
      <c r="E432" s="67">
        <f t="shared" ref="E432:F432" si="185">E433</f>
        <v>70.5</v>
      </c>
      <c r="F432" s="67">
        <f t="shared" si="185"/>
        <v>70.418480000000002</v>
      </c>
      <c r="G432" s="246">
        <f t="shared" si="170"/>
        <v>99.884368794326235</v>
      </c>
      <c r="H432" s="246">
        <f t="shared" si="172"/>
        <v>100</v>
      </c>
    </row>
    <row r="433" spans="1:9" ht="26.25" x14ac:dyDescent="0.25">
      <c r="A433" s="6"/>
      <c r="B433" s="6" t="s">
        <v>272</v>
      </c>
      <c r="C433" s="3" t="s">
        <v>273</v>
      </c>
      <c r="D433" s="67">
        <v>70.5</v>
      </c>
      <c r="E433" s="67">
        <v>70.5</v>
      </c>
      <c r="F433" s="67">
        <v>70.418480000000002</v>
      </c>
      <c r="G433" s="246">
        <f t="shared" si="170"/>
        <v>99.884368794326235</v>
      </c>
      <c r="H433" s="246">
        <f t="shared" si="172"/>
        <v>100</v>
      </c>
    </row>
    <row r="434" spans="1:9" ht="26.25" x14ac:dyDescent="0.25">
      <c r="A434" s="6" t="s">
        <v>817</v>
      </c>
      <c r="B434" s="12"/>
      <c r="C434" s="3" t="s">
        <v>818</v>
      </c>
      <c r="D434" s="67" t="e">
        <f>#REF!</f>
        <v>#REF!</v>
      </c>
      <c r="E434" s="67" t="e">
        <f>#REF!</f>
        <v>#REF!</v>
      </c>
      <c r="F434" s="67" t="e">
        <f>#REF!</f>
        <v>#REF!</v>
      </c>
      <c r="G434" s="246" t="e">
        <f t="shared" si="170"/>
        <v>#REF!</v>
      </c>
      <c r="H434" s="246" t="e">
        <f t="shared" si="172"/>
        <v>#REF!</v>
      </c>
    </row>
    <row r="435" spans="1:9" ht="26.25" x14ac:dyDescent="0.25">
      <c r="A435" s="32" t="s">
        <v>778</v>
      </c>
      <c r="B435" s="32"/>
      <c r="C435" s="33" t="s">
        <v>777</v>
      </c>
      <c r="D435" s="68">
        <f>D436</f>
        <v>974.9</v>
      </c>
      <c r="E435" s="68">
        <f t="shared" ref="E435:F436" si="186">E436</f>
        <v>974.9</v>
      </c>
      <c r="F435" s="68">
        <f t="shared" si="186"/>
        <v>974.9</v>
      </c>
      <c r="G435" s="245">
        <f t="shared" si="170"/>
        <v>100</v>
      </c>
      <c r="H435" s="245">
        <f t="shared" si="172"/>
        <v>100</v>
      </c>
    </row>
    <row r="436" spans="1:9" ht="25.5" x14ac:dyDescent="0.25">
      <c r="A436" s="4" t="s">
        <v>779</v>
      </c>
      <c r="B436" s="4"/>
      <c r="C436" s="5" t="s">
        <v>780</v>
      </c>
      <c r="D436" s="67">
        <f>D437</f>
        <v>974.9</v>
      </c>
      <c r="E436" s="67">
        <f t="shared" si="186"/>
        <v>974.9</v>
      </c>
      <c r="F436" s="67">
        <f t="shared" si="186"/>
        <v>974.9</v>
      </c>
      <c r="G436" s="246">
        <f t="shared" si="170"/>
        <v>100</v>
      </c>
      <c r="H436" s="246">
        <f t="shared" si="172"/>
        <v>100</v>
      </c>
    </row>
    <row r="437" spans="1:9" ht="26.25" x14ac:dyDescent="0.25">
      <c r="A437" s="6"/>
      <c r="B437" s="6" t="s">
        <v>272</v>
      </c>
      <c r="C437" s="3" t="s">
        <v>273</v>
      </c>
      <c r="D437" s="67">
        <v>974.9</v>
      </c>
      <c r="E437" s="67">
        <v>974.9</v>
      </c>
      <c r="F437" s="67">
        <v>974.9</v>
      </c>
      <c r="G437" s="246">
        <f t="shared" si="170"/>
        <v>100</v>
      </c>
      <c r="H437" s="246">
        <f t="shared" si="172"/>
        <v>100</v>
      </c>
    </row>
    <row r="438" spans="1:9" ht="26.25" x14ac:dyDescent="0.25">
      <c r="A438" s="32" t="s">
        <v>327</v>
      </c>
      <c r="B438" s="32"/>
      <c r="C438" s="33" t="s">
        <v>328</v>
      </c>
      <c r="D438" s="68">
        <f>D439+D443+D445</f>
        <v>35896</v>
      </c>
      <c r="E438" s="68">
        <f t="shared" ref="E438:F438" si="187">E439+E443+E445</f>
        <v>34770.644249999998</v>
      </c>
      <c r="F438" s="68">
        <f t="shared" si="187"/>
        <v>34770.544249999999</v>
      </c>
      <c r="G438" s="245">
        <f t="shared" si="170"/>
        <v>99.999712401072344</v>
      </c>
      <c r="H438" s="245">
        <f t="shared" si="172"/>
        <v>96.864955008914635</v>
      </c>
    </row>
    <row r="439" spans="1:9" x14ac:dyDescent="0.25">
      <c r="A439" s="6" t="s">
        <v>329</v>
      </c>
      <c r="B439" s="12"/>
      <c r="C439" s="3" t="s">
        <v>521</v>
      </c>
      <c r="D439" s="67">
        <f>D441+D442</f>
        <v>29008.6</v>
      </c>
      <c r="E439" s="67">
        <f>E440</f>
        <v>27770.655210000001</v>
      </c>
      <c r="F439" s="67">
        <f>F440</f>
        <v>27770.655210000001</v>
      </c>
      <c r="G439" s="246">
        <f t="shared" si="170"/>
        <v>100</v>
      </c>
      <c r="H439" s="246">
        <f t="shared" si="172"/>
        <v>95.732490399398813</v>
      </c>
    </row>
    <row r="440" spans="1:9" ht="26.25" x14ac:dyDescent="0.25">
      <c r="A440" s="6"/>
      <c r="B440" s="6" t="s">
        <v>272</v>
      </c>
      <c r="C440" s="3" t="s">
        <v>273</v>
      </c>
      <c r="D440" s="67">
        <f>SUM(D441+D442)</f>
        <v>29008.6</v>
      </c>
      <c r="E440" s="67">
        <v>27770.655210000001</v>
      </c>
      <c r="F440" s="67">
        <v>27770.655210000001</v>
      </c>
      <c r="G440" s="246">
        <f t="shared" si="170"/>
        <v>100</v>
      </c>
      <c r="H440" s="246">
        <f t="shared" si="172"/>
        <v>95.732490399398813</v>
      </c>
    </row>
    <row r="441" spans="1:9" x14ac:dyDescent="0.25">
      <c r="A441" s="6"/>
      <c r="B441" s="6"/>
      <c r="C441" s="3" t="s">
        <v>81</v>
      </c>
      <c r="D441" s="67">
        <v>26107.599999999999</v>
      </c>
      <c r="E441" s="67">
        <v>24982.24425</v>
      </c>
      <c r="F441" s="67">
        <v>24982.24425</v>
      </c>
      <c r="G441" s="246">
        <f t="shared" si="170"/>
        <v>100</v>
      </c>
      <c r="H441" s="246">
        <f t="shared" si="172"/>
        <v>95.689547296572655</v>
      </c>
      <c r="I441" s="482">
        <f>SUM(E441-F441)</f>
        <v>0</v>
      </c>
    </row>
    <row r="442" spans="1:9" x14ac:dyDescent="0.25">
      <c r="A442" s="6"/>
      <c r="B442" s="6"/>
      <c r="C442" s="3" t="s">
        <v>146</v>
      </c>
      <c r="D442" s="67">
        <v>2901</v>
      </c>
      <c r="E442" s="67">
        <v>2788.4109600000002</v>
      </c>
      <c r="F442" s="67">
        <v>2788.4109600000002</v>
      </c>
      <c r="G442" s="246">
        <f t="shared" si="170"/>
        <v>100</v>
      </c>
      <c r="H442" s="246">
        <f t="shared" si="172"/>
        <v>96.118957600827301</v>
      </c>
    </row>
    <row r="443" spans="1:9" x14ac:dyDescent="0.25">
      <c r="A443" s="6" t="s">
        <v>441</v>
      </c>
      <c r="B443" s="12"/>
      <c r="C443" s="3" t="s">
        <v>522</v>
      </c>
      <c r="D443" s="67">
        <f>D444</f>
        <v>4287.5</v>
      </c>
      <c r="E443" s="67">
        <f t="shared" ref="E443:F443" si="188">E444</f>
        <v>4221.6342000000004</v>
      </c>
      <c r="F443" s="67">
        <f t="shared" si="188"/>
        <v>4221.6342000000004</v>
      </c>
      <c r="G443" s="246">
        <f t="shared" si="170"/>
        <v>100</v>
      </c>
      <c r="H443" s="246">
        <f t="shared" si="172"/>
        <v>98.463771428571434</v>
      </c>
    </row>
    <row r="444" spans="1:9" s="90" customFormat="1" ht="26.25" x14ac:dyDescent="0.25">
      <c r="A444" s="88"/>
      <c r="B444" s="6" t="s">
        <v>272</v>
      </c>
      <c r="C444" s="3" t="s">
        <v>273</v>
      </c>
      <c r="D444" s="67">
        <v>4287.5</v>
      </c>
      <c r="E444" s="67">
        <v>4221.6342000000004</v>
      </c>
      <c r="F444" s="67">
        <v>4221.6342000000004</v>
      </c>
      <c r="G444" s="246">
        <f t="shared" si="170"/>
        <v>100</v>
      </c>
      <c r="H444" s="246">
        <f t="shared" si="172"/>
        <v>98.463771428571434</v>
      </c>
    </row>
    <row r="445" spans="1:9" x14ac:dyDescent="0.25">
      <c r="A445" s="6" t="s">
        <v>330</v>
      </c>
      <c r="B445" s="12"/>
      <c r="C445" s="3" t="s">
        <v>647</v>
      </c>
      <c r="D445" s="67">
        <f>D446</f>
        <v>2599.9</v>
      </c>
      <c r="E445" s="67">
        <f t="shared" ref="E445:F445" si="189">E446</f>
        <v>2778.35484</v>
      </c>
      <c r="F445" s="67">
        <f t="shared" si="189"/>
        <v>2778.2548400000001</v>
      </c>
      <c r="G445" s="246">
        <f t="shared" si="170"/>
        <v>99.996400747717303</v>
      </c>
      <c r="H445" s="246">
        <f t="shared" si="172"/>
        <v>106.86391168891112</v>
      </c>
    </row>
    <row r="446" spans="1:9" s="90" customFormat="1" ht="26.25" x14ac:dyDescent="0.25">
      <c r="A446" s="93"/>
      <c r="B446" s="6" t="s">
        <v>272</v>
      </c>
      <c r="C446" s="3" t="s">
        <v>273</v>
      </c>
      <c r="D446" s="67">
        <v>2599.9</v>
      </c>
      <c r="E446" s="67">
        <v>2778.35484</v>
      </c>
      <c r="F446" s="67">
        <v>2778.2548400000001</v>
      </c>
      <c r="G446" s="246">
        <f t="shared" si="170"/>
        <v>99.996400747717303</v>
      </c>
      <c r="H446" s="246">
        <f t="shared" si="172"/>
        <v>106.86391168891112</v>
      </c>
    </row>
    <row r="447" spans="1:9" x14ac:dyDescent="0.25">
      <c r="A447" s="32" t="s">
        <v>331</v>
      </c>
      <c r="B447" s="32"/>
      <c r="C447" s="33" t="s">
        <v>648</v>
      </c>
      <c r="D447" s="68">
        <f t="shared" ref="D447:F448" si="190">D448</f>
        <v>22717.7</v>
      </c>
      <c r="E447" s="68">
        <f t="shared" si="190"/>
        <v>22717.7</v>
      </c>
      <c r="F447" s="68">
        <f t="shared" si="190"/>
        <v>22717.69167</v>
      </c>
      <c r="G447" s="245">
        <f t="shared" si="170"/>
        <v>99.99996333255568</v>
      </c>
      <c r="H447" s="245">
        <f t="shared" si="172"/>
        <v>100</v>
      </c>
    </row>
    <row r="448" spans="1:9" ht="39" x14ac:dyDescent="0.25">
      <c r="A448" s="6" t="s">
        <v>332</v>
      </c>
      <c r="B448" s="12"/>
      <c r="C448" s="3" t="s">
        <v>649</v>
      </c>
      <c r="D448" s="67">
        <f>D449</f>
        <v>22717.7</v>
      </c>
      <c r="E448" s="67">
        <f t="shared" si="190"/>
        <v>22717.7</v>
      </c>
      <c r="F448" s="67">
        <f t="shared" si="190"/>
        <v>22717.69167</v>
      </c>
      <c r="G448" s="246">
        <f t="shared" si="170"/>
        <v>99.99996333255568</v>
      </c>
      <c r="H448" s="246">
        <f t="shared" si="172"/>
        <v>100</v>
      </c>
    </row>
    <row r="449" spans="1:8" ht="26.25" x14ac:dyDescent="0.25">
      <c r="A449" s="6"/>
      <c r="B449" s="6" t="s">
        <v>272</v>
      </c>
      <c r="C449" s="3" t="s">
        <v>273</v>
      </c>
      <c r="D449" s="67">
        <v>22717.7</v>
      </c>
      <c r="E449" s="67">
        <v>22717.7</v>
      </c>
      <c r="F449" s="67">
        <v>22717.69167</v>
      </c>
      <c r="G449" s="246">
        <f t="shared" si="170"/>
        <v>99.99996333255568</v>
      </c>
      <c r="H449" s="246">
        <f t="shared" si="172"/>
        <v>100</v>
      </c>
    </row>
    <row r="450" spans="1:8" ht="25.5" x14ac:dyDescent="0.25">
      <c r="A450" s="32" t="s">
        <v>484</v>
      </c>
      <c r="B450" s="32"/>
      <c r="C450" s="15" t="s">
        <v>485</v>
      </c>
      <c r="D450" s="68">
        <f>D451</f>
        <v>41864.770000000004</v>
      </c>
      <c r="E450" s="68">
        <f t="shared" ref="E450:F451" si="191">E451</f>
        <v>41864.770000000004</v>
      </c>
      <c r="F450" s="68">
        <f t="shared" si="191"/>
        <v>41864.770000000004</v>
      </c>
      <c r="G450" s="245">
        <f t="shared" si="170"/>
        <v>100</v>
      </c>
      <c r="H450" s="245">
        <f t="shared" si="172"/>
        <v>100</v>
      </c>
    </row>
    <row r="451" spans="1:8" ht="26.25" x14ac:dyDescent="0.25">
      <c r="A451" s="6" t="s">
        <v>486</v>
      </c>
      <c r="B451" s="6"/>
      <c r="C451" s="3" t="s">
        <v>487</v>
      </c>
      <c r="D451" s="67">
        <f>D452</f>
        <v>41864.770000000004</v>
      </c>
      <c r="E451" s="67">
        <f t="shared" si="191"/>
        <v>41864.770000000004</v>
      </c>
      <c r="F451" s="67">
        <f t="shared" si="191"/>
        <v>41864.770000000004</v>
      </c>
      <c r="G451" s="246">
        <f t="shared" si="170"/>
        <v>100</v>
      </c>
      <c r="H451" s="246">
        <f t="shared" si="172"/>
        <v>100</v>
      </c>
    </row>
    <row r="452" spans="1:8" ht="26.25" x14ac:dyDescent="0.25">
      <c r="A452" s="6"/>
      <c r="B452" s="6" t="s">
        <v>272</v>
      </c>
      <c r="C452" s="3" t="s">
        <v>273</v>
      </c>
      <c r="D452" s="67">
        <f>D453+D454+D455</f>
        <v>41864.770000000004</v>
      </c>
      <c r="E452" s="67">
        <f t="shared" ref="E452:F452" si="192">E453+E454+E455</f>
        <v>41864.770000000004</v>
      </c>
      <c r="F452" s="67">
        <f t="shared" si="192"/>
        <v>41864.770000000004</v>
      </c>
      <c r="G452" s="246">
        <f t="shared" si="170"/>
        <v>100</v>
      </c>
      <c r="H452" s="246">
        <f t="shared" si="172"/>
        <v>100</v>
      </c>
    </row>
    <row r="453" spans="1:8" x14ac:dyDescent="0.25">
      <c r="A453" s="6"/>
      <c r="B453" s="6"/>
      <c r="C453" s="3" t="s">
        <v>184</v>
      </c>
      <c r="D453" s="67">
        <v>39572.673840000003</v>
      </c>
      <c r="E453" s="67">
        <v>39572.673840000003</v>
      </c>
      <c r="F453" s="67">
        <v>39572.673840000003</v>
      </c>
      <c r="G453" s="246">
        <f t="shared" si="170"/>
        <v>100</v>
      </c>
      <c r="H453" s="246">
        <f t="shared" si="172"/>
        <v>100</v>
      </c>
    </row>
    <row r="454" spans="1:8" x14ac:dyDescent="0.25">
      <c r="A454" s="6"/>
      <c r="B454" s="6"/>
      <c r="C454" s="3" t="s">
        <v>182</v>
      </c>
      <c r="D454" s="67">
        <v>2082.7723099999998</v>
      </c>
      <c r="E454" s="67">
        <v>2082.7723099999998</v>
      </c>
      <c r="F454" s="67">
        <v>2082.7723099999998</v>
      </c>
      <c r="G454" s="246">
        <f t="shared" si="170"/>
        <v>100</v>
      </c>
      <c r="H454" s="246">
        <f t="shared" si="172"/>
        <v>100</v>
      </c>
    </row>
    <row r="455" spans="1:8" x14ac:dyDescent="0.25">
      <c r="A455" s="6"/>
      <c r="B455" s="6"/>
      <c r="C455" s="3" t="s">
        <v>146</v>
      </c>
      <c r="D455" s="67">
        <v>209.32384999999999</v>
      </c>
      <c r="E455" s="67">
        <v>209.32384999999999</v>
      </c>
      <c r="F455" s="67">
        <v>209.32384999999999</v>
      </c>
      <c r="G455" s="246">
        <f t="shared" si="170"/>
        <v>100</v>
      </c>
      <c r="H455" s="246">
        <f t="shared" si="172"/>
        <v>100</v>
      </c>
    </row>
    <row r="456" spans="1:8" ht="26.25" x14ac:dyDescent="0.25">
      <c r="A456" s="30" t="s">
        <v>333</v>
      </c>
      <c r="B456" s="30"/>
      <c r="C456" s="31" t="s">
        <v>334</v>
      </c>
      <c r="D456" s="72">
        <f t="shared" ref="D456:F458" si="193">D457</f>
        <v>4229.7</v>
      </c>
      <c r="E456" s="72">
        <f t="shared" si="193"/>
        <v>4229.7</v>
      </c>
      <c r="F456" s="72">
        <f t="shared" si="193"/>
        <v>4229.6769800000002</v>
      </c>
      <c r="G456" s="244">
        <f t="shared" si="170"/>
        <v>99.999455753363137</v>
      </c>
      <c r="H456" s="244">
        <f t="shared" si="172"/>
        <v>100</v>
      </c>
    </row>
    <row r="457" spans="1:8" ht="26.25" x14ac:dyDescent="0.25">
      <c r="A457" s="32" t="s">
        <v>335</v>
      </c>
      <c r="B457" s="32"/>
      <c r="C457" s="33" t="s">
        <v>336</v>
      </c>
      <c r="D457" s="68">
        <f t="shared" si="193"/>
        <v>4229.7</v>
      </c>
      <c r="E457" s="68">
        <f t="shared" si="193"/>
        <v>4229.7</v>
      </c>
      <c r="F457" s="68">
        <f t="shared" si="193"/>
        <v>4229.6769800000002</v>
      </c>
      <c r="G457" s="245">
        <f t="shared" ref="G457:G519" si="194">F457/E457*100</f>
        <v>99.999455753363137</v>
      </c>
      <c r="H457" s="245">
        <f t="shared" ref="H457:H519" si="195">E457/D457*100</f>
        <v>100</v>
      </c>
    </row>
    <row r="458" spans="1:8" ht="39" x14ac:dyDescent="0.25">
      <c r="A458" s="6" t="s">
        <v>337</v>
      </c>
      <c r="B458" s="12"/>
      <c r="C458" s="3" t="s">
        <v>519</v>
      </c>
      <c r="D458" s="67">
        <f>D459</f>
        <v>4229.7</v>
      </c>
      <c r="E458" s="67">
        <f t="shared" si="193"/>
        <v>4229.7</v>
      </c>
      <c r="F458" s="67">
        <f t="shared" si="193"/>
        <v>4229.6769800000002</v>
      </c>
      <c r="G458" s="246">
        <f t="shared" si="194"/>
        <v>99.999455753363137</v>
      </c>
      <c r="H458" s="246">
        <f t="shared" si="195"/>
        <v>100</v>
      </c>
    </row>
    <row r="459" spans="1:8" ht="26.25" x14ac:dyDescent="0.25">
      <c r="A459" s="6"/>
      <c r="B459" s="6" t="s">
        <v>272</v>
      </c>
      <c r="C459" s="3" t="s">
        <v>273</v>
      </c>
      <c r="D459" s="67">
        <v>4229.7</v>
      </c>
      <c r="E459" s="67">
        <v>4229.7</v>
      </c>
      <c r="F459" s="67">
        <v>4229.6769800000002</v>
      </c>
      <c r="G459" s="246">
        <f t="shared" si="194"/>
        <v>99.999455753363137</v>
      </c>
      <c r="H459" s="246">
        <f t="shared" si="195"/>
        <v>100</v>
      </c>
    </row>
    <row r="460" spans="1:8" ht="39" x14ac:dyDescent="0.25">
      <c r="A460" s="30" t="s">
        <v>338</v>
      </c>
      <c r="B460" s="30"/>
      <c r="C460" s="31" t="s">
        <v>339</v>
      </c>
      <c r="D460" s="72">
        <f>D461+D472</f>
        <v>4849.9124499999998</v>
      </c>
      <c r="E460" s="72">
        <f t="shared" ref="E460:F460" si="196">E461+E472</f>
        <v>4849.9124499999998</v>
      </c>
      <c r="F460" s="72">
        <f t="shared" si="196"/>
        <v>4849.9124499999998</v>
      </c>
      <c r="G460" s="244">
        <f t="shared" si="194"/>
        <v>100</v>
      </c>
      <c r="H460" s="244">
        <f t="shared" si="195"/>
        <v>100</v>
      </c>
    </row>
    <row r="461" spans="1:8" ht="26.25" x14ac:dyDescent="0.25">
      <c r="A461" s="32" t="s">
        <v>340</v>
      </c>
      <c r="B461" s="32"/>
      <c r="C461" s="55" t="s">
        <v>518</v>
      </c>
      <c r="D461" s="68">
        <f>D462+D464</f>
        <v>4642.9124499999998</v>
      </c>
      <c r="E461" s="68">
        <f>E462+E464+E468</f>
        <v>4642.9124499999998</v>
      </c>
      <c r="F461" s="68">
        <f>F462+F464+F468</f>
        <v>4642.9124499999998</v>
      </c>
      <c r="G461" s="245">
        <f t="shared" si="194"/>
        <v>100</v>
      </c>
      <c r="H461" s="245">
        <f t="shared" si="195"/>
        <v>100</v>
      </c>
    </row>
    <row r="462" spans="1:8" ht="39" x14ac:dyDescent="0.25">
      <c r="A462" s="6" t="s">
        <v>341</v>
      </c>
      <c r="B462" s="6"/>
      <c r="C462" s="9" t="s">
        <v>725</v>
      </c>
      <c r="D462" s="67">
        <f>D463</f>
        <v>1663.8</v>
      </c>
      <c r="E462" s="67">
        <f t="shared" ref="E462:F462" si="197">E463</f>
        <v>1663.8</v>
      </c>
      <c r="F462" s="67">
        <f t="shared" si="197"/>
        <v>1663.8</v>
      </c>
      <c r="G462" s="246">
        <f t="shared" si="194"/>
        <v>100</v>
      </c>
      <c r="H462" s="246">
        <f t="shared" si="195"/>
        <v>100</v>
      </c>
    </row>
    <row r="463" spans="1:8" ht="26.25" x14ac:dyDescent="0.25">
      <c r="A463" s="6"/>
      <c r="B463" s="6" t="s">
        <v>272</v>
      </c>
      <c r="C463" s="3" t="s">
        <v>273</v>
      </c>
      <c r="D463" s="67">
        <v>1663.8</v>
      </c>
      <c r="E463" s="67">
        <v>1663.8</v>
      </c>
      <c r="F463" s="67">
        <v>1663.8</v>
      </c>
      <c r="G463" s="246">
        <f t="shared" si="194"/>
        <v>100</v>
      </c>
      <c r="H463" s="246">
        <f t="shared" si="195"/>
        <v>100</v>
      </c>
    </row>
    <row r="464" spans="1:8" ht="26.25" x14ac:dyDescent="0.25">
      <c r="A464" s="6" t="s">
        <v>721</v>
      </c>
      <c r="B464" s="6"/>
      <c r="C464" s="3" t="s">
        <v>722</v>
      </c>
      <c r="D464" s="67">
        <f>D465</f>
        <v>2979.1124500000001</v>
      </c>
      <c r="E464" s="67"/>
      <c r="F464" s="67"/>
      <c r="G464" s="246" t="e">
        <f t="shared" si="194"/>
        <v>#DIV/0!</v>
      </c>
      <c r="H464" s="246">
        <f t="shared" si="195"/>
        <v>0</v>
      </c>
    </row>
    <row r="465" spans="1:8" ht="26.25" x14ac:dyDescent="0.25">
      <c r="A465" s="6"/>
      <c r="B465" s="6" t="s">
        <v>272</v>
      </c>
      <c r="C465" s="3" t="s">
        <v>273</v>
      </c>
      <c r="D465" s="67">
        <f>D466+D467</f>
        <v>2979.1124500000001</v>
      </c>
      <c r="E465" s="67"/>
      <c r="F465" s="67"/>
      <c r="G465" s="246" t="e">
        <f t="shared" si="194"/>
        <v>#DIV/0!</v>
      </c>
      <c r="H465" s="246">
        <f t="shared" si="195"/>
        <v>0</v>
      </c>
    </row>
    <row r="466" spans="1:8" x14ac:dyDescent="0.25">
      <c r="A466" s="6"/>
      <c r="B466" s="6"/>
      <c r="C466" s="3" t="s">
        <v>182</v>
      </c>
      <c r="D466" s="67">
        <v>2681.2012</v>
      </c>
      <c r="E466" s="67"/>
      <c r="F466" s="67"/>
      <c r="G466" s="246" t="e">
        <f t="shared" si="194"/>
        <v>#DIV/0!</v>
      </c>
      <c r="H466" s="246">
        <f t="shared" si="195"/>
        <v>0</v>
      </c>
    </row>
    <row r="467" spans="1:8" x14ac:dyDescent="0.25">
      <c r="A467" s="6"/>
      <c r="B467" s="6"/>
      <c r="C467" s="3" t="s">
        <v>146</v>
      </c>
      <c r="D467" s="67">
        <v>297.91125</v>
      </c>
      <c r="E467" s="67"/>
      <c r="F467" s="67"/>
      <c r="G467" s="246" t="e">
        <f t="shared" si="194"/>
        <v>#DIV/0!</v>
      </c>
      <c r="H467" s="246">
        <f t="shared" si="195"/>
        <v>0</v>
      </c>
    </row>
    <row r="468" spans="1:8" ht="26.25" x14ac:dyDescent="0.25">
      <c r="A468" s="6" t="s">
        <v>843</v>
      </c>
      <c r="B468" s="6"/>
      <c r="C468" s="3" t="s">
        <v>722</v>
      </c>
      <c r="D468" s="67"/>
      <c r="E468" s="67">
        <f t="shared" ref="E468" si="198">E469</f>
        <v>2979.1124500000001</v>
      </c>
      <c r="F468" s="67">
        <f t="shared" ref="F468" si="199">F469</f>
        <v>2979.1124500000001</v>
      </c>
      <c r="G468" s="246">
        <f t="shared" si="194"/>
        <v>100</v>
      </c>
      <c r="H468" s="246" t="e">
        <f t="shared" si="195"/>
        <v>#DIV/0!</v>
      </c>
    </row>
    <row r="469" spans="1:8" ht="26.25" x14ac:dyDescent="0.25">
      <c r="A469" s="6"/>
      <c r="B469" s="6" t="s">
        <v>272</v>
      </c>
      <c r="C469" s="3" t="s">
        <v>273</v>
      </c>
      <c r="D469" s="67"/>
      <c r="E469" s="67">
        <f t="shared" ref="E469" si="200">E470+E471</f>
        <v>2979.1124500000001</v>
      </c>
      <c r="F469" s="67">
        <f t="shared" ref="F469" si="201">F470+F471</f>
        <v>2979.1124500000001</v>
      </c>
      <c r="G469" s="246">
        <f t="shared" si="194"/>
        <v>100</v>
      </c>
      <c r="H469" s="246" t="e">
        <f t="shared" si="195"/>
        <v>#DIV/0!</v>
      </c>
    </row>
    <row r="470" spans="1:8" x14ac:dyDescent="0.25">
      <c r="A470" s="6"/>
      <c r="B470" s="6"/>
      <c r="C470" s="3" t="s">
        <v>182</v>
      </c>
      <c r="D470" s="67"/>
      <c r="E470" s="67">
        <v>2681.2012</v>
      </c>
      <c r="F470" s="67">
        <v>2681.2012</v>
      </c>
      <c r="G470" s="246">
        <f t="shared" si="194"/>
        <v>100</v>
      </c>
      <c r="H470" s="246" t="e">
        <f t="shared" si="195"/>
        <v>#DIV/0!</v>
      </c>
    </row>
    <row r="471" spans="1:8" x14ac:dyDescent="0.25">
      <c r="A471" s="6"/>
      <c r="B471" s="6"/>
      <c r="C471" s="3" t="s">
        <v>146</v>
      </c>
      <c r="D471" s="67"/>
      <c r="E471" s="67">
        <v>297.91125</v>
      </c>
      <c r="F471" s="67">
        <v>297.91125</v>
      </c>
      <c r="G471" s="246">
        <f t="shared" si="194"/>
        <v>100</v>
      </c>
      <c r="H471" s="246" t="e">
        <f t="shared" si="195"/>
        <v>#DIV/0!</v>
      </c>
    </row>
    <row r="472" spans="1:8" ht="26.25" x14ac:dyDescent="0.25">
      <c r="A472" s="32" t="s">
        <v>488</v>
      </c>
      <c r="B472" s="32"/>
      <c r="C472" s="55" t="s">
        <v>471</v>
      </c>
      <c r="D472" s="68">
        <f>D473+D475</f>
        <v>207</v>
      </c>
      <c r="E472" s="68">
        <f t="shared" ref="E472:F472" si="202">E473+E475</f>
        <v>207</v>
      </c>
      <c r="F472" s="68">
        <f t="shared" si="202"/>
        <v>207</v>
      </c>
      <c r="G472" s="245">
        <f t="shared" si="194"/>
        <v>100</v>
      </c>
      <c r="H472" s="245">
        <f t="shared" si="195"/>
        <v>100</v>
      </c>
    </row>
    <row r="473" spans="1:8" ht="26.25" x14ac:dyDescent="0.25">
      <c r="A473" s="6" t="s">
        <v>489</v>
      </c>
      <c r="B473" s="6"/>
      <c r="C473" s="9" t="s">
        <v>472</v>
      </c>
      <c r="D473" s="67">
        <f>D474</f>
        <v>192</v>
      </c>
      <c r="E473" s="67">
        <f t="shared" ref="E473:F473" si="203">E474</f>
        <v>192</v>
      </c>
      <c r="F473" s="67">
        <f t="shared" si="203"/>
        <v>192</v>
      </c>
      <c r="G473" s="246">
        <f t="shared" si="194"/>
        <v>100</v>
      </c>
      <c r="H473" s="246">
        <f t="shared" si="195"/>
        <v>100</v>
      </c>
    </row>
    <row r="474" spans="1:8" ht="26.25" x14ac:dyDescent="0.25">
      <c r="A474" s="6"/>
      <c r="B474" s="6" t="s">
        <v>272</v>
      </c>
      <c r="C474" s="3" t="s">
        <v>273</v>
      </c>
      <c r="D474" s="67">
        <v>192</v>
      </c>
      <c r="E474" s="67">
        <v>192</v>
      </c>
      <c r="F474" s="67">
        <v>192</v>
      </c>
      <c r="G474" s="246">
        <f t="shared" si="194"/>
        <v>100</v>
      </c>
      <c r="H474" s="246">
        <f t="shared" si="195"/>
        <v>100</v>
      </c>
    </row>
    <row r="475" spans="1:8" ht="26.25" x14ac:dyDescent="0.25">
      <c r="A475" s="6" t="s">
        <v>490</v>
      </c>
      <c r="B475" s="6"/>
      <c r="C475" s="9" t="s">
        <v>473</v>
      </c>
      <c r="D475" s="67">
        <f>D476</f>
        <v>15</v>
      </c>
      <c r="E475" s="67">
        <f t="shared" ref="E475:F475" si="204">E476</f>
        <v>15</v>
      </c>
      <c r="F475" s="67">
        <f t="shared" si="204"/>
        <v>15</v>
      </c>
      <c r="G475" s="246">
        <f t="shared" si="194"/>
        <v>100</v>
      </c>
      <c r="H475" s="246">
        <f t="shared" si="195"/>
        <v>100</v>
      </c>
    </row>
    <row r="476" spans="1:8" ht="26.25" x14ac:dyDescent="0.25">
      <c r="A476" s="6"/>
      <c r="B476" s="6" t="s">
        <v>272</v>
      </c>
      <c r="C476" s="3" t="s">
        <v>273</v>
      </c>
      <c r="D476" s="67">
        <v>15</v>
      </c>
      <c r="E476" s="67">
        <v>15</v>
      </c>
      <c r="F476" s="67">
        <v>15</v>
      </c>
      <c r="G476" s="246">
        <f t="shared" si="194"/>
        <v>100</v>
      </c>
      <c r="H476" s="246">
        <f t="shared" si="195"/>
        <v>100</v>
      </c>
    </row>
    <row r="477" spans="1:8" ht="39" x14ac:dyDescent="0.25">
      <c r="A477" s="28" t="s">
        <v>342</v>
      </c>
      <c r="B477" s="28"/>
      <c r="C477" s="36" t="s">
        <v>375</v>
      </c>
      <c r="D477" s="69">
        <f t="shared" ref="D477:F477" si="205">D478+D481+D487</f>
        <v>10118.77081</v>
      </c>
      <c r="E477" s="69">
        <f t="shared" si="205"/>
        <v>10118.77081</v>
      </c>
      <c r="F477" s="69">
        <f t="shared" si="205"/>
        <v>10118.735649999999</v>
      </c>
      <c r="G477" s="477">
        <f t="shared" si="194"/>
        <v>99.999652526965363</v>
      </c>
      <c r="H477" s="477">
        <f t="shared" si="195"/>
        <v>100</v>
      </c>
    </row>
    <row r="478" spans="1:8" ht="39" x14ac:dyDescent="0.25">
      <c r="A478" s="32" t="s">
        <v>442</v>
      </c>
      <c r="B478" s="35"/>
      <c r="C478" s="33" t="s">
        <v>523</v>
      </c>
      <c r="D478" s="68">
        <f>D479</f>
        <v>173.8</v>
      </c>
      <c r="E478" s="68">
        <f t="shared" ref="E478:F479" si="206">E479</f>
        <v>173.8</v>
      </c>
      <c r="F478" s="68">
        <f t="shared" si="206"/>
        <v>173.76483999999999</v>
      </c>
      <c r="G478" s="245">
        <f t="shared" si="194"/>
        <v>99.979769850402761</v>
      </c>
      <c r="H478" s="245">
        <f t="shared" si="195"/>
        <v>100</v>
      </c>
    </row>
    <row r="479" spans="1:8" x14ac:dyDescent="0.25">
      <c r="A479" s="4" t="s">
        <v>443</v>
      </c>
      <c r="B479" s="16"/>
      <c r="C479" s="1" t="s">
        <v>376</v>
      </c>
      <c r="D479" s="67">
        <f>D480</f>
        <v>173.8</v>
      </c>
      <c r="E479" s="67">
        <f t="shared" si="206"/>
        <v>173.8</v>
      </c>
      <c r="F479" s="67">
        <f t="shared" si="206"/>
        <v>173.76483999999999</v>
      </c>
      <c r="G479" s="246">
        <f t="shared" si="194"/>
        <v>99.979769850402761</v>
      </c>
      <c r="H479" s="246">
        <f t="shared" si="195"/>
        <v>100</v>
      </c>
    </row>
    <row r="480" spans="1:8" ht="26.25" x14ac:dyDescent="0.25">
      <c r="A480" s="4"/>
      <c r="B480" s="6" t="s">
        <v>272</v>
      </c>
      <c r="C480" s="3" t="s">
        <v>273</v>
      </c>
      <c r="D480" s="67">
        <v>173.8</v>
      </c>
      <c r="E480" s="67">
        <v>173.8</v>
      </c>
      <c r="F480" s="67">
        <v>173.76483999999999</v>
      </c>
      <c r="G480" s="246">
        <f t="shared" si="194"/>
        <v>99.979769850402761</v>
      </c>
      <c r="H480" s="246">
        <f t="shared" si="195"/>
        <v>100</v>
      </c>
    </row>
    <row r="481" spans="1:8" ht="39" x14ac:dyDescent="0.25">
      <c r="A481" s="32" t="s">
        <v>444</v>
      </c>
      <c r="B481" s="35"/>
      <c r="C481" s="33" t="s">
        <v>676</v>
      </c>
      <c r="D481" s="68">
        <f>D482</f>
        <v>7528.3618699999997</v>
      </c>
      <c r="E481" s="68">
        <f t="shared" ref="E481:F481" si="207">E482</f>
        <v>7528.3618699999997</v>
      </c>
      <c r="F481" s="68">
        <f t="shared" si="207"/>
        <v>7528.3618699999997</v>
      </c>
      <c r="G481" s="245">
        <f t="shared" si="194"/>
        <v>100</v>
      </c>
      <c r="H481" s="245">
        <f t="shared" si="195"/>
        <v>100</v>
      </c>
    </row>
    <row r="482" spans="1:8" ht="25.5" x14ac:dyDescent="0.25">
      <c r="A482" s="4" t="s">
        <v>445</v>
      </c>
      <c r="B482" s="16"/>
      <c r="C482" s="1" t="s">
        <v>377</v>
      </c>
      <c r="D482" s="67">
        <f>D484+D485+D486</f>
        <v>7528.3618699999997</v>
      </c>
      <c r="E482" s="67">
        <f t="shared" ref="E482:F482" si="208">E484+E485+E486</f>
        <v>7528.3618699999997</v>
      </c>
      <c r="F482" s="67">
        <f t="shared" si="208"/>
        <v>7528.3618699999997</v>
      </c>
      <c r="G482" s="246">
        <f t="shared" si="194"/>
        <v>100</v>
      </c>
      <c r="H482" s="246">
        <f t="shared" si="195"/>
        <v>100</v>
      </c>
    </row>
    <row r="483" spans="1:8" ht="26.25" x14ac:dyDescent="0.25">
      <c r="A483" s="4"/>
      <c r="B483" s="6" t="s">
        <v>272</v>
      </c>
      <c r="C483" s="3" t="s">
        <v>273</v>
      </c>
      <c r="D483" s="77">
        <f>D484+D485+D486</f>
        <v>7528.3618699999997</v>
      </c>
      <c r="E483" s="77">
        <f t="shared" ref="E483:F483" si="209">E484+E485+E486</f>
        <v>7528.3618699999997</v>
      </c>
      <c r="F483" s="77">
        <f t="shared" si="209"/>
        <v>7528.3618699999997</v>
      </c>
      <c r="G483" s="248">
        <f t="shared" si="194"/>
        <v>100</v>
      </c>
      <c r="H483" s="248">
        <f t="shared" si="195"/>
        <v>100</v>
      </c>
    </row>
    <row r="484" spans="1:8" x14ac:dyDescent="0.25">
      <c r="A484" s="4"/>
      <c r="B484" s="6"/>
      <c r="C484" s="3" t="s">
        <v>184</v>
      </c>
      <c r="D484" s="67">
        <v>6436.7493999999997</v>
      </c>
      <c r="E484" s="67">
        <v>6436.7493999999997</v>
      </c>
      <c r="F484" s="67">
        <v>6436.7493999999997</v>
      </c>
      <c r="G484" s="246">
        <f t="shared" si="194"/>
        <v>100</v>
      </c>
      <c r="H484" s="246">
        <f t="shared" si="195"/>
        <v>100</v>
      </c>
    </row>
    <row r="485" spans="1:8" x14ac:dyDescent="0.25">
      <c r="A485" s="4"/>
      <c r="B485" s="6"/>
      <c r="C485" s="3" t="s">
        <v>182</v>
      </c>
      <c r="D485" s="67">
        <v>338.77627999999999</v>
      </c>
      <c r="E485" s="67">
        <v>338.77627999999999</v>
      </c>
      <c r="F485" s="67">
        <v>338.77627999999999</v>
      </c>
      <c r="G485" s="246">
        <f t="shared" si="194"/>
        <v>100</v>
      </c>
      <c r="H485" s="246">
        <f t="shared" si="195"/>
        <v>100</v>
      </c>
    </row>
    <row r="486" spans="1:8" x14ac:dyDescent="0.25">
      <c r="A486" s="4"/>
      <c r="B486" s="6"/>
      <c r="C486" s="3" t="s">
        <v>146</v>
      </c>
      <c r="D486" s="67">
        <v>752.83618999999999</v>
      </c>
      <c r="E486" s="67">
        <v>752.83618999999999</v>
      </c>
      <c r="F486" s="67">
        <v>752.83618999999999</v>
      </c>
      <c r="G486" s="246">
        <f t="shared" si="194"/>
        <v>100</v>
      </c>
      <c r="H486" s="246">
        <f t="shared" si="195"/>
        <v>100</v>
      </c>
    </row>
    <row r="487" spans="1:8" ht="39" x14ac:dyDescent="0.25">
      <c r="A487" s="32" t="s">
        <v>446</v>
      </c>
      <c r="B487" s="35"/>
      <c r="C487" s="33" t="s">
        <v>677</v>
      </c>
      <c r="D487" s="68">
        <f t="shared" ref="D487:F487" si="210">D488</f>
        <v>2416.6089400000001</v>
      </c>
      <c r="E487" s="68">
        <f t="shared" si="210"/>
        <v>2416.6089400000001</v>
      </c>
      <c r="F487" s="68">
        <f t="shared" si="210"/>
        <v>2416.6089400000001</v>
      </c>
      <c r="G487" s="245">
        <f t="shared" si="194"/>
        <v>100</v>
      </c>
      <c r="H487" s="245">
        <f t="shared" si="195"/>
        <v>100</v>
      </c>
    </row>
    <row r="488" spans="1:8" ht="38.25" x14ac:dyDescent="0.25">
      <c r="A488" s="4" t="s">
        <v>447</v>
      </c>
      <c r="B488" s="16"/>
      <c r="C488" s="1" t="s">
        <v>524</v>
      </c>
      <c r="D488" s="67">
        <f>D490+D491</f>
        <v>2416.6089400000001</v>
      </c>
      <c r="E488" s="67">
        <f>E489+E492</f>
        <v>2416.6089400000001</v>
      </c>
      <c r="F488" s="67">
        <f>F489+F492</f>
        <v>2416.6089400000001</v>
      </c>
      <c r="G488" s="246">
        <f t="shared" si="194"/>
        <v>100</v>
      </c>
      <c r="H488" s="246">
        <f t="shared" si="195"/>
        <v>100</v>
      </c>
    </row>
    <row r="489" spans="1:8" ht="26.25" x14ac:dyDescent="0.25">
      <c r="A489" s="4"/>
      <c r="B489" s="6" t="s">
        <v>272</v>
      </c>
      <c r="C489" s="3" t="s">
        <v>273</v>
      </c>
      <c r="D489" s="67">
        <f t="shared" ref="D489:F489" si="211">D490+D491</f>
        <v>2416.6089400000001</v>
      </c>
      <c r="E489" s="67">
        <f t="shared" si="211"/>
        <v>2384.76694</v>
      </c>
      <c r="F489" s="67">
        <f t="shared" si="211"/>
        <v>2384.76694</v>
      </c>
      <c r="G489" s="246">
        <f t="shared" si="194"/>
        <v>100</v>
      </c>
      <c r="H489" s="246">
        <f t="shared" si="195"/>
        <v>98.682368525873272</v>
      </c>
    </row>
    <row r="490" spans="1:8" x14ac:dyDescent="0.25">
      <c r="A490" s="4"/>
      <c r="B490" s="6"/>
      <c r="C490" s="3" t="s">
        <v>182</v>
      </c>
      <c r="D490" s="67">
        <v>2174.94805</v>
      </c>
      <c r="E490" s="67">
        <v>2146.29025</v>
      </c>
      <c r="F490" s="67">
        <v>2146.29025</v>
      </c>
      <c r="G490" s="246">
        <f t="shared" si="194"/>
        <v>100</v>
      </c>
      <c r="H490" s="246">
        <f t="shared" si="195"/>
        <v>98.682368528296564</v>
      </c>
    </row>
    <row r="491" spans="1:8" x14ac:dyDescent="0.25">
      <c r="A491" s="4"/>
      <c r="B491" s="6"/>
      <c r="C491" s="3" t="s">
        <v>146</v>
      </c>
      <c r="D491" s="67">
        <v>241.66088999999999</v>
      </c>
      <c r="E491" s="67">
        <v>238.47668999999999</v>
      </c>
      <c r="F491" s="67">
        <v>238.47668999999999</v>
      </c>
      <c r="G491" s="246">
        <f t="shared" si="194"/>
        <v>100</v>
      </c>
      <c r="H491" s="246">
        <f t="shared" si="195"/>
        <v>98.682368504063689</v>
      </c>
    </row>
    <row r="492" spans="1:8" ht="26.25" x14ac:dyDescent="0.25">
      <c r="A492" s="4"/>
      <c r="B492" s="6" t="s">
        <v>449</v>
      </c>
      <c r="C492" s="3" t="s">
        <v>450</v>
      </c>
      <c r="D492" s="67"/>
      <c r="E492" s="67">
        <f>E493+E494</f>
        <v>31.842000000000002</v>
      </c>
      <c r="F492" s="67">
        <f>F493+F494</f>
        <v>31.842000000000002</v>
      </c>
      <c r="G492" s="246">
        <f t="shared" ref="G492:G494" si="212">F492/E492*100</f>
        <v>100</v>
      </c>
      <c r="H492" s="246"/>
    </row>
    <row r="493" spans="1:8" x14ac:dyDescent="0.25">
      <c r="A493" s="4"/>
      <c r="B493" s="6"/>
      <c r="C493" s="3" t="s">
        <v>182</v>
      </c>
      <c r="D493" s="67"/>
      <c r="E493" s="67">
        <v>28.657800000000002</v>
      </c>
      <c r="F493" s="67">
        <v>28.657800000000002</v>
      </c>
      <c r="G493" s="246">
        <f t="shared" si="212"/>
        <v>100</v>
      </c>
      <c r="H493" s="246"/>
    </row>
    <row r="494" spans="1:8" x14ac:dyDescent="0.25">
      <c r="A494" s="4"/>
      <c r="B494" s="6"/>
      <c r="C494" s="3" t="s">
        <v>146</v>
      </c>
      <c r="D494" s="67"/>
      <c r="E494" s="67">
        <v>3.1842000000000001</v>
      </c>
      <c r="F494" s="67">
        <v>3.1842000000000001</v>
      </c>
      <c r="G494" s="246">
        <f t="shared" si="212"/>
        <v>100</v>
      </c>
      <c r="H494" s="246"/>
    </row>
    <row r="495" spans="1:8" ht="51.75" x14ac:dyDescent="0.25">
      <c r="A495" s="28" t="s">
        <v>345</v>
      </c>
      <c r="B495" s="28"/>
      <c r="C495" s="36" t="s">
        <v>346</v>
      </c>
      <c r="D495" s="69">
        <f>D496+D505+D516</f>
        <v>21445.999999999996</v>
      </c>
      <c r="E495" s="69">
        <f t="shared" ref="E495:F495" si="213">E496+E505+E516</f>
        <v>21446</v>
      </c>
      <c r="F495" s="69">
        <f t="shared" si="213"/>
        <v>21445.999680000001</v>
      </c>
      <c r="G495" s="477">
        <f t="shared" si="194"/>
        <v>99.999998507880264</v>
      </c>
      <c r="H495" s="477">
        <f t="shared" si="195"/>
        <v>100.00000000000003</v>
      </c>
    </row>
    <row r="496" spans="1:8" ht="39" x14ac:dyDescent="0.25">
      <c r="A496" s="32" t="s">
        <v>347</v>
      </c>
      <c r="B496" s="32"/>
      <c r="C496" s="20" t="s">
        <v>348</v>
      </c>
      <c r="D496" s="68">
        <f>D497+D500+D502</f>
        <v>17885.699999999997</v>
      </c>
      <c r="E496" s="68">
        <f t="shared" ref="E496:F496" si="214">E497+E500+E502</f>
        <v>17885.730000000003</v>
      </c>
      <c r="F496" s="68">
        <f t="shared" si="214"/>
        <v>17885.730000000003</v>
      </c>
      <c r="G496" s="245">
        <f t="shared" si="194"/>
        <v>100</v>
      </c>
      <c r="H496" s="245">
        <f t="shared" si="195"/>
        <v>100.00016773176338</v>
      </c>
    </row>
    <row r="497" spans="1:8" x14ac:dyDescent="0.25">
      <c r="A497" s="6" t="s">
        <v>349</v>
      </c>
      <c r="B497" s="6"/>
      <c r="C497" s="1" t="s">
        <v>350</v>
      </c>
      <c r="D497" s="67">
        <f>D498</f>
        <v>24.2</v>
      </c>
      <c r="E497" s="67">
        <f>E498+E499</f>
        <v>37.9</v>
      </c>
      <c r="F497" s="67">
        <f>F498+F499</f>
        <v>37.9</v>
      </c>
      <c r="G497" s="246">
        <f t="shared" si="194"/>
        <v>100</v>
      </c>
      <c r="H497" s="246">
        <f t="shared" si="195"/>
        <v>156.61157024793388</v>
      </c>
    </row>
    <row r="498" spans="1:8" ht="26.25" x14ac:dyDescent="0.25">
      <c r="A498" s="6"/>
      <c r="B498" s="6" t="s">
        <v>272</v>
      </c>
      <c r="C498" s="3" t="s">
        <v>273</v>
      </c>
      <c r="D498" s="67">
        <v>24.2</v>
      </c>
      <c r="E498" s="67">
        <v>35.299999999999997</v>
      </c>
      <c r="F498" s="67">
        <v>35.299999999999997</v>
      </c>
      <c r="G498" s="246">
        <f t="shared" si="194"/>
        <v>100</v>
      </c>
      <c r="H498" s="246">
        <f t="shared" si="195"/>
        <v>145.86776859504133</v>
      </c>
    </row>
    <row r="499" spans="1:8" x14ac:dyDescent="0.25">
      <c r="A499" s="6"/>
      <c r="B499" s="6" t="s">
        <v>390</v>
      </c>
      <c r="C499" s="7" t="s">
        <v>391</v>
      </c>
      <c r="D499" s="67"/>
      <c r="E499" s="67">
        <v>2.6</v>
      </c>
      <c r="F499" s="67">
        <v>2.6</v>
      </c>
      <c r="G499" s="246">
        <f t="shared" ref="G499" si="215">F499/E499*100</f>
        <v>100</v>
      </c>
      <c r="H499" s="246"/>
    </row>
    <row r="500" spans="1:8" ht="51.75" x14ac:dyDescent="0.25">
      <c r="A500" s="6" t="s">
        <v>351</v>
      </c>
      <c r="B500" s="6"/>
      <c r="C500" s="3" t="s">
        <v>525</v>
      </c>
      <c r="D500" s="67">
        <f>D501</f>
        <v>120.4</v>
      </c>
      <c r="E500" s="67">
        <f t="shared" ref="E500:F500" si="216">E501</f>
        <v>106.73</v>
      </c>
      <c r="F500" s="67">
        <f t="shared" si="216"/>
        <v>106.73</v>
      </c>
      <c r="G500" s="246">
        <f t="shared" si="194"/>
        <v>100</v>
      </c>
      <c r="H500" s="246">
        <f t="shared" si="195"/>
        <v>88.646179401993351</v>
      </c>
    </row>
    <row r="501" spans="1:8" ht="26.25" x14ac:dyDescent="0.25">
      <c r="A501" s="6"/>
      <c r="B501" s="6" t="s">
        <v>272</v>
      </c>
      <c r="C501" s="3" t="s">
        <v>273</v>
      </c>
      <c r="D501" s="67">
        <v>120.4</v>
      </c>
      <c r="E501" s="67">
        <v>106.73</v>
      </c>
      <c r="F501" s="67">
        <v>106.73</v>
      </c>
      <c r="G501" s="246">
        <f t="shared" si="194"/>
        <v>100</v>
      </c>
      <c r="H501" s="246">
        <f t="shared" si="195"/>
        <v>88.646179401993351</v>
      </c>
    </row>
    <row r="502" spans="1:8" ht="26.25" x14ac:dyDescent="0.25">
      <c r="A502" s="6" t="s">
        <v>353</v>
      </c>
      <c r="B502" s="6"/>
      <c r="C502" s="56" t="s">
        <v>460</v>
      </c>
      <c r="D502" s="67">
        <f>D503+D504</f>
        <v>17741.099999999999</v>
      </c>
      <c r="E502" s="67">
        <f t="shared" ref="E502:F502" si="217">E503+E504</f>
        <v>17741.100000000002</v>
      </c>
      <c r="F502" s="67">
        <f t="shared" si="217"/>
        <v>17741.100000000002</v>
      </c>
      <c r="G502" s="246">
        <f t="shared" si="194"/>
        <v>100</v>
      </c>
      <c r="H502" s="246">
        <f t="shared" si="195"/>
        <v>100.00000000000003</v>
      </c>
    </row>
    <row r="503" spans="1:8" ht="51.75" x14ac:dyDescent="0.25">
      <c r="A503" s="6"/>
      <c r="B503" s="6" t="s">
        <v>383</v>
      </c>
      <c r="C503" s="3" t="s">
        <v>384</v>
      </c>
      <c r="D503" s="76">
        <v>16220.5</v>
      </c>
      <c r="E503" s="76">
        <v>16466.478910000002</v>
      </c>
      <c r="F503" s="76">
        <v>16466.478910000002</v>
      </c>
      <c r="G503" s="240">
        <f t="shared" si="194"/>
        <v>100</v>
      </c>
      <c r="H503" s="240">
        <f t="shared" si="195"/>
        <v>101.51646934434821</v>
      </c>
    </row>
    <row r="504" spans="1:8" ht="26.25" x14ac:dyDescent="0.25">
      <c r="A504" s="6"/>
      <c r="B504" s="6" t="s">
        <v>272</v>
      </c>
      <c r="C504" s="3" t="s">
        <v>273</v>
      </c>
      <c r="D504" s="67">
        <v>1520.6</v>
      </c>
      <c r="E504" s="67">
        <v>1274.6210900000001</v>
      </c>
      <c r="F504" s="67">
        <v>1274.6210900000001</v>
      </c>
      <c r="G504" s="246">
        <f t="shared" si="194"/>
        <v>100</v>
      </c>
      <c r="H504" s="246">
        <f t="shared" si="195"/>
        <v>83.823562409575175</v>
      </c>
    </row>
    <row r="505" spans="1:8" ht="26.25" x14ac:dyDescent="0.25">
      <c r="A505" s="32" t="s">
        <v>354</v>
      </c>
      <c r="B505" s="32"/>
      <c r="C505" s="20" t="s">
        <v>355</v>
      </c>
      <c r="D505" s="68">
        <f>D506+D508+D514+D511</f>
        <v>3391.4999999999995</v>
      </c>
      <c r="E505" s="68">
        <f t="shared" ref="E505:F505" si="218">E506+E508+E514+E511</f>
        <v>3391.49</v>
      </c>
      <c r="F505" s="68">
        <f t="shared" si="218"/>
        <v>3391.4896799999997</v>
      </c>
      <c r="G505" s="245">
        <f t="shared" si="194"/>
        <v>99.999990564619097</v>
      </c>
      <c r="H505" s="245">
        <f t="shared" si="195"/>
        <v>99.999705145215984</v>
      </c>
    </row>
    <row r="506" spans="1:8" x14ac:dyDescent="0.25">
      <c r="A506" s="6" t="s">
        <v>356</v>
      </c>
      <c r="B506" s="6"/>
      <c r="C506" s="52" t="s">
        <v>650</v>
      </c>
      <c r="D506" s="67">
        <f>D507</f>
        <v>110.29999999999973</v>
      </c>
      <c r="E506" s="67">
        <f t="shared" ref="E506:F506" si="219">E507</f>
        <v>110.19655</v>
      </c>
      <c r="F506" s="67">
        <f t="shared" si="219"/>
        <v>110.19655</v>
      </c>
      <c r="G506" s="246">
        <f t="shared" si="194"/>
        <v>100</v>
      </c>
      <c r="H506" s="246">
        <f t="shared" si="195"/>
        <v>99.906210335449032</v>
      </c>
    </row>
    <row r="507" spans="1:8" s="90" customFormat="1" ht="26.25" x14ac:dyDescent="0.25">
      <c r="A507" s="88"/>
      <c r="B507" s="6" t="s">
        <v>272</v>
      </c>
      <c r="C507" s="3" t="s">
        <v>273</v>
      </c>
      <c r="D507" s="67">
        <f>4060.2-3949.9</f>
        <v>110.29999999999973</v>
      </c>
      <c r="E507" s="67">
        <v>110.19655</v>
      </c>
      <c r="F507" s="67">
        <v>110.19655</v>
      </c>
      <c r="G507" s="246">
        <f t="shared" si="194"/>
        <v>100</v>
      </c>
      <c r="H507" s="246">
        <f t="shared" si="195"/>
        <v>99.906210335449032</v>
      </c>
    </row>
    <row r="508" spans="1:8" ht="26.25" x14ac:dyDescent="0.25">
      <c r="A508" s="6" t="s">
        <v>357</v>
      </c>
      <c r="B508" s="6"/>
      <c r="C508" s="53" t="s">
        <v>727</v>
      </c>
      <c r="D508" s="67">
        <f>D509+D510</f>
        <v>981.49999999999977</v>
      </c>
      <c r="E508" s="67">
        <v>981.47766999999999</v>
      </c>
      <c r="F508" s="67">
        <v>981.47735</v>
      </c>
      <c r="G508" s="246">
        <f t="shared" si="194"/>
        <v>99.999967396099805</v>
      </c>
      <c r="H508" s="246">
        <f t="shared" si="195"/>
        <v>99.997724910850764</v>
      </c>
    </row>
    <row r="509" spans="1:8" s="90" customFormat="1" ht="26.25" x14ac:dyDescent="0.25">
      <c r="A509" s="88"/>
      <c r="B509" s="6" t="s">
        <v>272</v>
      </c>
      <c r="C509" s="3" t="s">
        <v>273</v>
      </c>
      <c r="D509" s="67">
        <f>2792.1-1844.9</f>
        <v>947.19999999999982</v>
      </c>
      <c r="E509" s="67">
        <v>947.17767000000003</v>
      </c>
      <c r="F509" s="67">
        <v>947.17735000000005</v>
      </c>
      <c r="G509" s="246">
        <f t="shared" si="194"/>
        <v>99.999966215419761</v>
      </c>
      <c r="H509" s="246">
        <f t="shared" si="195"/>
        <v>99.997642525337866</v>
      </c>
    </row>
    <row r="510" spans="1:8" s="90" customFormat="1" ht="26.25" x14ac:dyDescent="0.25">
      <c r="A510" s="88"/>
      <c r="B510" s="6" t="s">
        <v>449</v>
      </c>
      <c r="C510" s="3" t="s">
        <v>450</v>
      </c>
      <c r="D510" s="67">
        <v>34.299999999999997</v>
      </c>
      <c r="E510" s="67">
        <v>34.299999999999997</v>
      </c>
      <c r="F510" s="67">
        <v>34.299999999999997</v>
      </c>
      <c r="G510" s="246">
        <f t="shared" si="194"/>
        <v>100</v>
      </c>
      <c r="H510" s="246">
        <f t="shared" si="195"/>
        <v>100</v>
      </c>
    </row>
    <row r="511" spans="1:8" ht="39" x14ac:dyDescent="0.25">
      <c r="A511" s="6" t="s">
        <v>358</v>
      </c>
      <c r="B511" s="6"/>
      <c r="C511" s="3" t="s">
        <v>527</v>
      </c>
      <c r="D511" s="67">
        <f>D512</f>
        <v>1781.6</v>
      </c>
      <c r="E511" s="67">
        <f>E512+E513</f>
        <v>1781.7287799999999</v>
      </c>
      <c r="F511" s="67">
        <f>F512+F513</f>
        <v>1781.7287799999999</v>
      </c>
      <c r="G511" s="246">
        <f t="shared" si="194"/>
        <v>100</v>
      </c>
      <c r="H511" s="246">
        <f t="shared" si="195"/>
        <v>100.00722833408173</v>
      </c>
    </row>
    <row r="512" spans="1:8" ht="26.25" x14ac:dyDescent="0.25">
      <c r="A512" s="6"/>
      <c r="B512" s="6" t="s">
        <v>272</v>
      </c>
      <c r="C512" s="3" t="s">
        <v>273</v>
      </c>
      <c r="D512" s="67">
        <f>1785-3.4</f>
        <v>1781.6</v>
      </c>
      <c r="E512" s="264">
        <v>1026.7287799999999</v>
      </c>
      <c r="F512" s="264">
        <v>1026.7287799999999</v>
      </c>
      <c r="G512" s="246">
        <f t="shared" si="194"/>
        <v>100</v>
      </c>
      <c r="H512" s="246">
        <f t="shared" si="195"/>
        <v>57.629590255949701</v>
      </c>
    </row>
    <row r="513" spans="1:8" x14ac:dyDescent="0.25">
      <c r="A513" s="6"/>
      <c r="B513" s="6" t="s">
        <v>390</v>
      </c>
      <c r="C513" s="7" t="s">
        <v>391</v>
      </c>
      <c r="D513" s="67"/>
      <c r="E513" s="67">
        <v>755</v>
      </c>
      <c r="F513" s="67">
        <v>755</v>
      </c>
      <c r="G513" s="246">
        <f t="shared" si="194"/>
        <v>100</v>
      </c>
      <c r="H513" s="246"/>
    </row>
    <row r="514" spans="1:8" ht="39" x14ac:dyDescent="0.25">
      <c r="A514" s="6" t="s">
        <v>360</v>
      </c>
      <c r="B514" s="6"/>
      <c r="C514" s="64" t="s">
        <v>526</v>
      </c>
      <c r="D514" s="67">
        <f>D515</f>
        <v>518.1</v>
      </c>
      <c r="E514" s="67">
        <f t="shared" ref="E514:F514" si="220">E515</f>
        <v>518.08699999999999</v>
      </c>
      <c r="F514" s="67">
        <f t="shared" si="220"/>
        <v>518.08699999999999</v>
      </c>
      <c r="G514" s="246">
        <f t="shared" si="194"/>
        <v>100</v>
      </c>
      <c r="H514" s="246">
        <f t="shared" si="195"/>
        <v>99.997490831885727</v>
      </c>
    </row>
    <row r="515" spans="1:8" ht="26.25" x14ac:dyDescent="0.25">
      <c r="A515" s="6"/>
      <c r="B515" s="6" t="s">
        <v>383</v>
      </c>
      <c r="C515" s="3" t="s">
        <v>273</v>
      </c>
      <c r="D515" s="67">
        <v>518.1</v>
      </c>
      <c r="E515" s="67">
        <v>518.08699999999999</v>
      </c>
      <c r="F515" s="67">
        <v>518.08699999999999</v>
      </c>
      <c r="G515" s="246">
        <f t="shared" si="194"/>
        <v>100</v>
      </c>
      <c r="H515" s="246">
        <f t="shared" si="195"/>
        <v>99.997490831885727</v>
      </c>
    </row>
    <row r="516" spans="1:8" ht="26.25" x14ac:dyDescent="0.25">
      <c r="A516" s="32" t="s">
        <v>361</v>
      </c>
      <c r="B516" s="32"/>
      <c r="C516" s="20" t="s">
        <v>362</v>
      </c>
      <c r="D516" s="68">
        <f t="shared" ref="D516:F517" si="221">D517</f>
        <v>168.79999999999998</v>
      </c>
      <c r="E516" s="68">
        <f t="shared" si="221"/>
        <v>168.78</v>
      </c>
      <c r="F516" s="68">
        <f t="shared" si="221"/>
        <v>168.78</v>
      </c>
      <c r="G516" s="245">
        <f t="shared" si="194"/>
        <v>100</v>
      </c>
      <c r="H516" s="245">
        <f t="shared" si="195"/>
        <v>99.988151658767791</v>
      </c>
    </row>
    <row r="517" spans="1:8" x14ac:dyDescent="0.25">
      <c r="A517" s="6" t="s">
        <v>363</v>
      </c>
      <c r="B517" s="6"/>
      <c r="C517" s="56" t="s">
        <v>458</v>
      </c>
      <c r="D517" s="67">
        <f t="shared" si="221"/>
        <v>168.79999999999998</v>
      </c>
      <c r="E517" s="67">
        <f t="shared" si="221"/>
        <v>168.78</v>
      </c>
      <c r="F517" s="67">
        <f t="shared" si="221"/>
        <v>168.78</v>
      </c>
      <c r="G517" s="246">
        <f t="shared" si="194"/>
        <v>100</v>
      </c>
      <c r="H517" s="246">
        <f t="shared" si="195"/>
        <v>99.988151658767791</v>
      </c>
    </row>
    <row r="518" spans="1:8" ht="26.25" x14ac:dyDescent="0.25">
      <c r="A518" s="6"/>
      <c r="B518" s="6" t="s">
        <v>272</v>
      </c>
      <c r="C518" s="3" t="s">
        <v>273</v>
      </c>
      <c r="D518" s="67">
        <f>145.2+23.6</f>
        <v>168.79999999999998</v>
      </c>
      <c r="E518" s="67">
        <v>168.78</v>
      </c>
      <c r="F518" s="67">
        <v>168.78</v>
      </c>
      <c r="G518" s="246">
        <f t="shared" si="194"/>
        <v>100</v>
      </c>
      <c r="H518" s="246">
        <f t="shared" si="195"/>
        <v>99.988151658767791</v>
      </c>
    </row>
    <row r="519" spans="1:8" ht="39" x14ac:dyDescent="0.25">
      <c r="A519" s="28" t="s">
        <v>364</v>
      </c>
      <c r="B519" s="57"/>
      <c r="C519" s="36" t="s">
        <v>470</v>
      </c>
      <c r="D519" s="69">
        <f>D520+D527</f>
        <v>5917.7224000000006</v>
      </c>
      <c r="E519" s="69">
        <f t="shared" ref="E519:F519" si="222">E520+E527</f>
        <v>5916.8873599999997</v>
      </c>
      <c r="F519" s="69">
        <f t="shared" si="222"/>
        <v>5916.41</v>
      </c>
      <c r="G519" s="477">
        <f t="shared" si="194"/>
        <v>99.991932244591524</v>
      </c>
      <c r="H519" s="477">
        <f t="shared" si="195"/>
        <v>99.985889165737134</v>
      </c>
    </row>
    <row r="520" spans="1:8" x14ac:dyDescent="0.25">
      <c r="A520" s="32" t="s">
        <v>365</v>
      </c>
      <c r="B520" s="35"/>
      <c r="C520" s="33" t="s">
        <v>366</v>
      </c>
      <c r="D520" s="68">
        <f>D521+D523</f>
        <v>5717.7224000000006</v>
      </c>
      <c r="E520" s="68">
        <f t="shared" ref="E520:F520" si="223">E521+E523</f>
        <v>5716.8873599999997</v>
      </c>
      <c r="F520" s="68">
        <f t="shared" si="223"/>
        <v>5716.41</v>
      </c>
      <c r="G520" s="245">
        <f t="shared" ref="G520:G588" si="224">F520/E520*100</f>
        <v>99.991650001654051</v>
      </c>
      <c r="H520" s="245">
        <f t="shared" ref="H520:H588" si="225">E520/D520*100</f>
        <v>99.985395583388225</v>
      </c>
    </row>
    <row r="521" spans="1:8" x14ac:dyDescent="0.25">
      <c r="A521" s="6" t="s">
        <v>367</v>
      </c>
      <c r="B521" s="6"/>
      <c r="C521" s="3" t="s">
        <v>368</v>
      </c>
      <c r="D521" s="67">
        <f>D522</f>
        <v>300</v>
      </c>
      <c r="E521" s="67">
        <f t="shared" ref="E521:F521" si="226">E522</f>
        <v>300</v>
      </c>
      <c r="F521" s="67">
        <f t="shared" si="226"/>
        <v>299.67</v>
      </c>
      <c r="G521" s="246">
        <f t="shared" si="224"/>
        <v>99.89</v>
      </c>
      <c r="H521" s="246">
        <f t="shared" si="225"/>
        <v>100</v>
      </c>
    </row>
    <row r="522" spans="1:8" ht="26.25" x14ac:dyDescent="0.25">
      <c r="A522" s="6"/>
      <c r="B522" s="6" t="s">
        <v>272</v>
      </c>
      <c r="C522" s="3" t="s">
        <v>273</v>
      </c>
      <c r="D522" s="67">
        <v>300</v>
      </c>
      <c r="E522" s="67">
        <v>300</v>
      </c>
      <c r="F522" s="67">
        <v>299.67</v>
      </c>
      <c r="G522" s="246">
        <f t="shared" si="224"/>
        <v>99.89</v>
      </c>
      <c r="H522" s="246">
        <f t="shared" si="225"/>
        <v>100</v>
      </c>
    </row>
    <row r="523" spans="1:8" ht="25.5" x14ac:dyDescent="0.25">
      <c r="A523" s="6" t="s">
        <v>370</v>
      </c>
      <c r="B523" s="6"/>
      <c r="C523" s="1" t="s">
        <v>459</v>
      </c>
      <c r="D523" s="67">
        <f>D524</f>
        <v>5417.7224000000006</v>
      </c>
      <c r="E523" s="67">
        <f t="shared" ref="E523:F523" si="227">E524</f>
        <v>5416.8873599999997</v>
      </c>
      <c r="F523" s="67">
        <f t="shared" si="227"/>
        <v>5416.74</v>
      </c>
      <c r="G523" s="246">
        <f t="shared" si="224"/>
        <v>99.997279618529859</v>
      </c>
      <c r="H523" s="246">
        <f t="shared" si="225"/>
        <v>99.984586881011097</v>
      </c>
    </row>
    <row r="524" spans="1:8" ht="26.25" x14ac:dyDescent="0.25">
      <c r="A524" s="6"/>
      <c r="B524" s="6" t="s">
        <v>272</v>
      </c>
      <c r="C524" s="3" t="s">
        <v>273</v>
      </c>
      <c r="D524" s="67">
        <f>D525+D526</f>
        <v>5417.7224000000006</v>
      </c>
      <c r="E524" s="67">
        <v>5416.8873599999997</v>
      </c>
      <c r="F524" s="67">
        <v>5416.74</v>
      </c>
      <c r="G524" s="246">
        <f t="shared" si="224"/>
        <v>99.997279618529859</v>
      </c>
      <c r="H524" s="246">
        <f t="shared" si="225"/>
        <v>99.984586881011097</v>
      </c>
    </row>
    <row r="525" spans="1:8" x14ac:dyDescent="0.25">
      <c r="A525" s="6"/>
      <c r="B525" s="6"/>
      <c r="C525" s="9" t="s">
        <v>202</v>
      </c>
      <c r="D525" s="67">
        <v>4605.0640400000002</v>
      </c>
      <c r="E525" s="67">
        <v>4604.2290000000003</v>
      </c>
      <c r="F525" s="67">
        <v>4604.2290000000003</v>
      </c>
      <c r="G525" s="246">
        <f t="shared" si="224"/>
        <v>100</v>
      </c>
      <c r="H525" s="246">
        <f t="shared" si="225"/>
        <v>99.981866918836587</v>
      </c>
    </row>
    <row r="526" spans="1:8" x14ac:dyDescent="0.25">
      <c r="A526" s="6"/>
      <c r="B526" s="6"/>
      <c r="C526" s="3" t="s">
        <v>369</v>
      </c>
      <c r="D526" s="67">
        <v>812.65836000000002</v>
      </c>
      <c r="E526" s="67">
        <v>812.65836000000002</v>
      </c>
      <c r="F526" s="67">
        <v>812.51099999999997</v>
      </c>
      <c r="G526" s="246">
        <f t="shared" si="224"/>
        <v>99.981866918836587</v>
      </c>
      <c r="H526" s="246">
        <f t="shared" si="225"/>
        <v>100</v>
      </c>
    </row>
    <row r="527" spans="1:8" ht="39" x14ac:dyDescent="0.25">
      <c r="A527" s="32" t="s">
        <v>371</v>
      </c>
      <c r="B527" s="35"/>
      <c r="C527" s="33" t="s">
        <v>372</v>
      </c>
      <c r="D527" s="68">
        <f>D528</f>
        <v>200</v>
      </c>
      <c r="E527" s="68">
        <f t="shared" ref="E527:F528" si="228">E528</f>
        <v>200</v>
      </c>
      <c r="F527" s="68">
        <f t="shared" si="228"/>
        <v>200</v>
      </c>
      <c r="G527" s="245">
        <f t="shared" si="224"/>
        <v>100</v>
      </c>
      <c r="H527" s="245">
        <f t="shared" si="225"/>
        <v>100</v>
      </c>
    </row>
    <row r="528" spans="1:8" ht="39" x14ac:dyDescent="0.25">
      <c r="A528" s="6" t="s">
        <v>373</v>
      </c>
      <c r="B528" s="6"/>
      <c r="C528" s="3" t="s">
        <v>374</v>
      </c>
      <c r="D528" s="67">
        <f>D529</f>
        <v>200</v>
      </c>
      <c r="E528" s="67">
        <f t="shared" si="228"/>
        <v>200</v>
      </c>
      <c r="F528" s="67">
        <f t="shared" si="228"/>
        <v>200</v>
      </c>
      <c r="G528" s="246">
        <f t="shared" si="224"/>
        <v>100</v>
      </c>
      <c r="H528" s="246">
        <f t="shared" si="225"/>
        <v>100</v>
      </c>
    </row>
    <row r="529" spans="1:8" ht="26.25" x14ac:dyDescent="0.25">
      <c r="A529" s="6"/>
      <c r="B529" s="6" t="s">
        <v>272</v>
      </c>
      <c r="C529" s="3" t="s">
        <v>273</v>
      </c>
      <c r="D529" s="67">
        <v>200</v>
      </c>
      <c r="E529" s="67">
        <v>200</v>
      </c>
      <c r="F529" s="67">
        <v>200</v>
      </c>
      <c r="G529" s="246">
        <f t="shared" si="224"/>
        <v>100</v>
      </c>
      <c r="H529" s="246">
        <f t="shared" si="225"/>
        <v>100</v>
      </c>
    </row>
    <row r="530" spans="1:8" x14ac:dyDescent="0.25">
      <c r="A530" s="58" t="s">
        <v>378</v>
      </c>
      <c r="B530" s="58"/>
      <c r="C530" s="59" t="s">
        <v>379</v>
      </c>
      <c r="D530" s="79">
        <f t="shared" ref="D530:F530" si="229">D531+D537</f>
        <v>78051.419299999994</v>
      </c>
      <c r="E530" s="79">
        <f t="shared" si="229"/>
        <v>80552.131359999985</v>
      </c>
      <c r="F530" s="79">
        <f t="shared" si="229"/>
        <v>80507.35927999999</v>
      </c>
      <c r="G530" s="242">
        <f t="shared" si="224"/>
        <v>99.944418503590043</v>
      </c>
      <c r="H530" s="242">
        <f t="shared" si="225"/>
        <v>103.20392900273627</v>
      </c>
    </row>
    <row r="531" spans="1:8" ht="26.25" x14ac:dyDescent="0.25">
      <c r="A531" s="60" t="s">
        <v>380</v>
      </c>
      <c r="B531" s="61"/>
      <c r="C531" s="62" t="s">
        <v>381</v>
      </c>
      <c r="D531" s="80">
        <f>D532+D534</f>
        <v>2909.7</v>
      </c>
      <c r="E531" s="80">
        <f t="shared" ref="E531:F531" si="230">E532+E534</f>
        <v>2909.7</v>
      </c>
      <c r="F531" s="80">
        <f t="shared" si="230"/>
        <v>2909.7</v>
      </c>
      <c r="G531" s="255">
        <f t="shared" si="224"/>
        <v>100</v>
      </c>
      <c r="H531" s="255">
        <f t="shared" si="225"/>
        <v>100</v>
      </c>
    </row>
    <row r="532" spans="1:8" ht="26.25" x14ac:dyDescent="0.25">
      <c r="A532" s="6" t="s">
        <v>382</v>
      </c>
      <c r="B532" s="6"/>
      <c r="C532" s="3" t="s">
        <v>464</v>
      </c>
      <c r="D532" s="67">
        <v>1164</v>
      </c>
      <c r="E532" s="67">
        <v>1164</v>
      </c>
      <c r="F532" s="67">
        <v>1164</v>
      </c>
      <c r="G532" s="246">
        <f t="shared" si="224"/>
        <v>100</v>
      </c>
      <c r="H532" s="246">
        <f t="shared" si="225"/>
        <v>100</v>
      </c>
    </row>
    <row r="533" spans="1:8" ht="51.75" x14ac:dyDescent="0.25">
      <c r="A533" s="6"/>
      <c r="B533" s="6" t="s">
        <v>383</v>
      </c>
      <c r="C533" s="3" t="s">
        <v>384</v>
      </c>
      <c r="D533" s="67">
        <v>1164</v>
      </c>
      <c r="E533" s="67">
        <v>1164</v>
      </c>
      <c r="F533" s="67">
        <v>1164</v>
      </c>
      <c r="G533" s="246">
        <f t="shared" si="224"/>
        <v>100</v>
      </c>
      <c r="H533" s="246">
        <f t="shared" si="225"/>
        <v>100</v>
      </c>
    </row>
    <row r="534" spans="1:8" ht="26.25" x14ac:dyDescent="0.25">
      <c r="A534" s="6" t="s">
        <v>385</v>
      </c>
      <c r="B534" s="6"/>
      <c r="C534" s="53" t="s">
        <v>723</v>
      </c>
      <c r="D534" s="67">
        <f>D535+D536</f>
        <v>1745.7</v>
      </c>
      <c r="E534" s="67">
        <f t="shared" ref="E534:F534" si="231">E535+E536</f>
        <v>1745.7</v>
      </c>
      <c r="F534" s="67">
        <f t="shared" si="231"/>
        <v>1745.7</v>
      </c>
      <c r="G534" s="246">
        <f t="shared" si="224"/>
        <v>100</v>
      </c>
      <c r="H534" s="246">
        <f t="shared" si="225"/>
        <v>100</v>
      </c>
    </row>
    <row r="535" spans="1:8" ht="51.75" x14ac:dyDescent="0.25">
      <c r="A535" s="6"/>
      <c r="B535" s="6" t="s">
        <v>383</v>
      </c>
      <c r="C535" s="3" t="s">
        <v>384</v>
      </c>
      <c r="D535" s="67">
        <v>1695</v>
      </c>
      <c r="E535" s="67">
        <v>1695</v>
      </c>
      <c r="F535" s="67">
        <v>1695</v>
      </c>
      <c r="G535" s="246">
        <f t="shared" si="224"/>
        <v>100</v>
      </c>
      <c r="H535" s="246">
        <f t="shared" si="225"/>
        <v>100</v>
      </c>
    </row>
    <row r="536" spans="1:8" ht="26.25" x14ac:dyDescent="0.25">
      <c r="A536" s="6"/>
      <c r="B536" s="6" t="s">
        <v>272</v>
      </c>
      <c r="C536" s="3" t="s">
        <v>273</v>
      </c>
      <c r="D536" s="67">
        <v>50.7</v>
      </c>
      <c r="E536" s="67">
        <v>50.7</v>
      </c>
      <c r="F536" s="67">
        <v>50.7</v>
      </c>
      <c r="G536" s="246">
        <f t="shared" si="224"/>
        <v>100</v>
      </c>
      <c r="H536" s="246">
        <f t="shared" si="225"/>
        <v>100</v>
      </c>
    </row>
    <row r="537" spans="1:8" ht="39" x14ac:dyDescent="0.25">
      <c r="A537" s="60" t="s">
        <v>386</v>
      </c>
      <c r="B537" s="60"/>
      <c r="C537" s="62" t="s">
        <v>387</v>
      </c>
      <c r="D537" s="80">
        <f>D538+D542+D551+D557+D559+D563+D569+D571+D575+D580+D582+D584+D547+D586+D566+D588+D590+D592</f>
        <v>75141.719299999997</v>
      </c>
      <c r="E537" s="80">
        <f>E538+E542+E551+E557+E559+E563+E569+E571+E575+E580+E582+E584+E547+E586+E566+E588+E590+E592+E553+E555+E549+E545+E573</f>
        <v>77642.431359999988</v>
      </c>
      <c r="F537" s="80">
        <f>F538+F542+F551+F557+F559+F563+F569+F571+F575+F580+F582+F584+F547+F586+F566+F588+F590+F592+F553+F555+F549+F545+F573</f>
        <v>77597.659279999993</v>
      </c>
      <c r="G537" s="255">
        <f t="shared" si="224"/>
        <v>99.942335551301326</v>
      </c>
      <c r="H537" s="255">
        <f t="shared" si="225"/>
        <v>103.32799419988783</v>
      </c>
    </row>
    <row r="538" spans="1:8" ht="26.25" x14ac:dyDescent="0.25">
      <c r="A538" s="6" t="s">
        <v>388</v>
      </c>
      <c r="B538" s="6"/>
      <c r="C538" s="3" t="s">
        <v>389</v>
      </c>
      <c r="D538" s="67">
        <f>D539+D540+D541</f>
        <v>2587.2999999999997</v>
      </c>
      <c r="E538" s="67">
        <f t="shared" ref="E538:F538" si="232">E539+E540+E541</f>
        <v>2587.2999999999997</v>
      </c>
      <c r="F538" s="67">
        <f t="shared" si="232"/>
        <v>2587.2667999999999</v>
      </c>
      <c r="G538" s="246">
        <f t="shared" si="224"/>
        <v>99.998716809028721</v>
      </c>
      <c r="H538" s="246">
        <f t="shared" si="225"/>
        <v>100</v>
      </c>
    </row>
    <row r="539" spans="1:8" ht="51.75" x14ac:dyDescent="0.25">
      <c r="A539" s="12"/>
      <c r="B539" s="6" t="s">
        <v>383</v>
      </c>
      <c r="C539" s="3" t="s">
        <v>384</v>
      </c>
      <c r="D539" s="67">
        <v>2447.6999999999998</v>
      </c>
      <c r="E539" s="67">
        <v>2447.6999999999998</v>
      </c>
      <c r="F539" s="67">
        <v>2447.6999999999998</v>
      </c>
      <c r="G539" s="246">
        <f t="shared" si="224"/>
        <v>100</v>
      </c>
      <c r="H539" s="246">
        <f t="shared" si="225"/>
        <v>100</v>
      </c>
    </row>
    <row r="540" spans="1:8" ht="26.25" x14ac:dyDescent="0.25">
      <c r="A540" s="12"/>
      <c r="B540" s="6" t="s">
        <v>272</v>
      </c>
      <c r="C540" s="3" t="s">
        <v>273</v>
      </c>
      <c r="D540" s="67">
        <f>105.6-2.1</f>
        <v>103.5</v>
      </c>
      <c r="E540" s="67">
        <v>103.5</v>
      </c>
      <c r="F540" s="67">
        <v>103.49979999999999</v>
      </c>
      <c r="G540" s="246">
        <f t="shared" si="224"/>
        <v>99.999806763285022</v>
      </c>
      <c r="H540" s="246">
        <f t="shared" si="225"/>
        <v>100</v>
      </c>
    </row>
    <row r="541" spans="1:8" x14ac:dyDescent="0.25">
      <c r="A541" s="12"/>
      <c r="B541" s="16" t="s">
        <v>390</v>
      </c>
      <c r="C541" s="7" t="s">
        <v>391</v>
      </c>
      <c r="D541" s="67">
        <f>119.6-83.5</f>
        <v>36.099999999999994</v>
      </c>
      <c r="E541" s="67">
        <v>36.1</v>
      </c>
      <c r="F541" s="67">
        <v>36.067</v>
      </c>
      <c r="G541" s="246">
        <f t="shared" si="224"/>
        <v>99.908587257617725</v>
      </c>
      <c r="H541" s="246">
        <f t="shared" si="225"/>
        <v>100.00000000000003</v>
      </c>
    </row>
    <row r="542" spans="1:8" ht="26.25" x14ac:dyDescent="0.25">
      <c r="A542" s="6" t="s">
        <v>392</v>
      </c>
      <c r="B542" s="6"/>
      <c r="C542" s="53" t="s">
        <v>724</v>
      </c>
      <c r="D542" s="67">
        <f>D543+D544</f>
        <v>18237.900000000001</v>
      </c>
      <c r="E542" s="67">
        <f t="shared" ref="E542:F542" si="233">E543+E544</f>
        <v>18237.899999999998</v>
      </c>
      <c r="F542" s="67">
        <f t="shared" si="233"/>
        <v>18237.899999999998</v>
      </c>
      <c r="G542" s="246">
        <f t="shared" si="224"/>
        <v>100</v>
      </c>
      <c r="H542" s="246">
        <f t="shared" si="225"/>
        <v>99.999999999999972</v>
      </c>
    </row>
    <row r="543" spans="1:8" ht="51.75" x14ac:dyDescent="0.25">
      <c r="A543" s="6"/>
      <c r="B543" s="6" t="s">
        <v>383</v>
      </c>
      <c r="C543" s="3" t="s">
        <v>384</v>
      </c>
      <c r="D543" s="81">
        <v>17271.5</v>
      </c>
      <c r="E543" s="81">
        <v>17208.901999999998</v>
      </c>
      <c r="F543" s="81">
        <v>17208.901999999998</v>
      </c>
      <c r="G543" s="478">
        <f t="shared" si="224"/>
        <v>100</v>
      </c>
      <c r="H543" s="478">
        <f t="shared" si="225"/>
        <v>99.637564774339211</v>
      </c>
    </row>
    <row r="544" spans="1:8" ht="26.25" x14ac:dyDescent="0.25">
      <c r="A544" s="6"/>
      <c r="B544" s="6" t="s">
        <v>272</v>
      </c>
      <c r="C544" s="3" t="s">
        <v>273</v>
      </c>
      <c r="D544" s="67">
        <f>986.1-19.7</f>
        <v>966.4</v>
      </c>
      <c r="E544" s="67">
        <v>1028.998</v>
      </c>
      <c r="F544" s="67">
        <v>1028.998</v>
      </c>
      <c r="G544" s="246">
        <f t="shared" si="224"/>
        <v>100</v>
      </c>
      <c r="H544" s="246">
        <f t="shared" si="225"/>
        <v>106.47744205298014</v>
      </c>
    </row>
    <row r="545" spans="1:9" ht="26.25" x14ac:dyDescent="0.25">
      <c r="A545" s="4" t="s">
        <v>1233</v>
      </c>
      <c r="B545" s="4"/>
      <c r="C545" s="83" t="s">
        <v>1234</v>
      </c>
      <c r="D545" s="67"/>
      <c r="E545" s="67">
        <f>E546</f>
        <v>1025.70452</v>
      </c>
      <c r="F545" s="67">
        <f>F546</f>
        <v>1025.70452</v>
      </c>
      <c r="G545" s="246">
        <f t="shared" si="224"/>
        <v>100</v>
      </c>
      <c r="H545" s="246"/>
    </row>
    <row r="546" spans="1:9" ht="25.5" x14ac:dyDescent="0.25">
      <c r="A546" s="17"/>
      <c r="B546" s="16" t="s">
        <v>272</v>
      </c>
      <c r="C546" s="1" t="s">
        <v>273</v>
      </c>
      <c r="D546" s="67"/>
      <c r="E546" s="67">
        <v>1025.70452</v>
      </c>
      <c r="F546" s="67">
        <v>1025.70452</v>
      </c>
      <c r="G546" s="246">
        <f t="shared" si="224"/>
        <v>100</v>
      </c>
      <c r="H546" s="246"/>
    </row>
    <row r="547" spans="1:9" ht="51.75" x14ac:dyDescent="0.25">
      <c r="A547" s="6" t="s">
        <v>393</v>
      </c>
      <c r="B547" s="6"/>
      <c r="C547" s="3" t="s">
        <v>66</v>
      </c>
      <c r="D547" s="67">
        <f>D548</f>
        <v>0</v>
      </c>
      <c r="E547" s="67">
        <f t="shared" ref="E547:F547" si="234">E548</f>
        <v>83.474999999999994</v>
      </c>
      <c r="F547" s="67">
        <f t="shared" si="234"/>
        <v>83.474999999999994</v>
      </c>
      <c r="G547" s="246">
        <f t="shared" si="224"/>
        <v>100</v>
      </c>
      <c r="H547" s="246"/>
    </row>
    <row r="548" spans="1:9" ht="51.75" x14ac:dyDescent="0.25">
      <c r="A548" s="6"/>
      <c r="B548" s="6" t="s">
        <v>383</v>
      </c>
      <c r="C548" s="3" t="s">
        <v>384</v>
      </c>
      <c r="D548" s="67">
        <v>0</v>
      </c>
      <c r="E548" s="67">
        <v>83.474999999999994</v>
      </c>
      <c r="F548" s="67">
        <v>83.474999999999994</v>
      </c>
      <c r="G548" s="246">
        <f t="shared" si="224"/>
        <v>100</v>
      </c>
      <c r="H548" s="246"/>
    </row>
    <row r="549" spans="1:9" ht="38.25" x14ac:dyDescent="0.25">
      <c r="A549" s="6" t="s">
        <v>394</v>
      </c>
      <c r="B549" s="6"/>
      <c r="C549" s="1" t="s">
        <v>395</v>
      </c>
      <c r="D549" s="67">
        <f>D550</f>
        <v>0</v>
      </c>
      <c r="E549" s="67">
        <f t="shared" ref="E549:F549" si="235">E550</f>
        <v>87.9495</v>
      </c>
      <c r="F549" s="67">
        <f t="shared" si="235"/>
        <v>87.9495</v>
      </c>
      <c r="G549" s="246">
        <f t="shared" si="224"/>
        <v>100</v>
      </c>
      <c r="H549" s="246"/>
    </row>
    <row r="550" spans="1:9" ht="51.75" x14ac:dyDescent="0.25">
      <c r="A550" s="6"/>
      <c r="B550" s="6" t="s">
        <v>383</v>
      </c>
      <c r="C550" s="3" t="s">
        <v>384</v>
      </c>
      <c r="D550" s="67">
        <v>0</v>
      </c>
      <c r="E550" s="67">
        <v>87.9495</v>
      </c>
      <c r="F550" s="67">
        <v>87.9495</v>
      </c>
      <c r="G550" s="246">
        <f t="shared" si="224"/>
        <v>100</v>
      </c>
      <c r="H550" s="246"/>
    </row>
    <row r="551" spans="1:9" ht="51.75" x14ac:dyDescent="0.25">
      <c r="A551" s="6" t="s">
        <v>396</v>
      </c>
      <c r="B551" s="6"/>
      <c r="C551" s="3" t="s">
        <v>397</v>
      </c>
      <c r="D551" s="67">
        <f>D552</f>
        <v>6137.6347999999998</v>
      </c>
      <c r="E551" s="67">
        <f t="shared" ref="E551:F551" si="236">E552</f>
        <v>6137.6347999999998</v>
      </c>
      <c r="F551" s="67">
        <f t="shared" si="236"/>
        <v>6137.6347999999998</v>
      </c>
      <c r="G551" s="246">
        <f t="shared" si="224"/>
        <v>100</v>
      </c>
      <c r="H551" s="246">
        <f t="shared" si="225"/>
        <v>100</v>
      </c>
    </row>
    <row r="552" spans="1:9" ht="51.75" x14ac:dyDescent="0.25">
      <c r="A552" s="6"/>
      <c r="B552" s="6" t="s">
        <v>383</v>
      </c>
      <c r="C552" s="3" t="s">
        <v>384</v>
      </c>
      <c r="D552" s="77">
        <v>6137.6347999999998</v>
      </c>
      <c r="E552" s="77">
        <v>6137.6347999999998</v>
      </c>
      <c r="F552" s="77">
        <v>6137.6347999999998</v>
      </c>
      <c r="G552" s="248">
        <f t="shared" si="224"/>
        <v>100</v>
      </c>
      <c r="H552" s="248">
        <f t="shared" si="225"/>
        <v>100</v>
      </c>
    </row>
    <row r="553" spans="1:9" ht="26.25" x14ac:dyDescent="0.25">
      <c r="A553" s="6" t="s">
        <v>840</v>
      </c>
      <c r="B553" s="6"/>
      <c r="C553" s="3" t="s">
        <v>838</v>
      </c>
      <c r="D553" s="77"/>
      <c r="E553" s="77">
        <f>E554</f>
        <v>852.5</v>
      </c>
      <c r="F553" s="77">
        <f>F554</f>
        <v>852.5</v>
      </c>
      <c r="G553" s="248">
        <f t="shared" si="224"/>
        <v>100</v>
      </c>
      <c r="H553" s="248"/>
    </row>
    <row r="554" spans="1:9" ht="51.75" x14ac:dyDescent="0.25">
      <c r="A554" s="6"/>
      <c r="B554" s="6" t="s">
        <v>383</v>
      </c>
      <c r="C554" s="3" t="s">
        <v>384</v>
      </c>
      <c r="D554" s="77"/>
      <c r="E554" s="77">
        <v>852.5</v>
      </c>
      <c r="F554" s="77">
        <v>852.5</v>
      </c>
      <c r="G554" s="248">
        <f t="shared" si="224"/>
        <v>100</v>
      </c>
      <c r="H554" s="248"/>
    </row>
    <row r="555" spans="1:9" x14ac:dyDescent="0.25">
      <c r="A555" s="122" t="s">
        <v>841</v>
      </c>
      <c r="B555" s="16"/>
      <c r="C555" s="1" t="s">
        <v>839</v>
      </c>
      <c r="D555" s="77"/>
      <c r="E555" s="77">
        <f>E556</f>
        <v>435.73</v>
      </c>
      <c r="F555" s="77">
        <f>F556</f>
        <v>435.73</v>
      </c>
      <c r="G555" s="248">
        <f t="shared" si="224"/>
        <v>100</v>
      </c>
      <c r="H555" s="248"/>
    </row>
    <row r="556" spans="1:9" ht="51.75" x14ac:dyDescent="0.25">
      <c r="A556" s="6"/>
      <c r="B556" s="6" t="s">
        <v>383</v>
      </c>
      <c r="C556" s="3" t="s">
        <v>384</v>
      </c>
      <c r="D556" s="77"/>
      <c r="E556" s="77">
        <v>435.73</v>
      </c>
      <c r="F556" s="77">
        <v>435.73</v>
      </c>
      <c r="G556" s="248">
        <f t="shared" si="224"/>
        <v>100</v>
      </c>
      <c r="H556" s="248"/>
    </row>
    <row r="557" spans="1:9" ht="64.5" x14ac:dyDescent="0.25">
      <c r="A557" s="6" t="s">
        <v>767</v>
      </c>
      <c r="B557" s="6"/>
      <c r="C557" s="3" t="s">
        <v>768</v>
      </c>
      <c r="D557" s="67">
        <f t="shared" ref="D557:F557" si="237">D558</f>
        <v>198.4845</v>
      </c>
      <c r="E557" s="67">
        <f t="shared" si="237"/>
        <v>198.4845</v>
      </c>
      <c r="F557" s="67">
        <f t="shared" si="237"/>
        <v>198.4845</v>
      </c>
      <c r="G557" s="246">
        <f t="shared" si="224"/>
        <v>100</v>
      </c>
      <c r="H557" s="246">
        <f t="shared" si="225"/>
        <v>100</v>
      </c>
    </row>
    <row r="558" spans="1:9" ht="51.75" x14ac:dyDescent="0.25">
      <c r="A558" s="6"/>
      <c r="B558" s="6" t="s">
        <v>383</v>
      </c>
      <c r="C558" s="3" t="s">
        <v>384</v>
      </c>
      <c r="D558" s="77">
        <v>198.4845</v>
      </c>
      <c r="E558" s="77">
        <v>198.4845</v>
      </c>
      <c r="F558" s="77">
        <v>198.4845</v>
      </c>
      <c r="G558" s="248">
        <f t="shared" si="224"/>
        <v>100</v>
      </c>
      <c r="H558" s="248">
        <f t="shared" si="225"/>
        <v>100</v>
      </c>
    </row>
    <row r="559" spans="1:9" ht="26.25" x14ac:dyDescent="0.25">
      <c r="A559" s="6" t="s">
        <v>398</v>
      </c>
      <c r="B559" s="6"/>
      <c r="C559" s="3" t="s">
        <v>399</v>
      </c>
      <c r="D559" s="67">
        <f>D560+D561+D562</f>
        <v>35526.799999999996</v>
      </c>
      <c r="E559" s="67">
        <f t="shared" ref="E559:F559" si="238">E560+E561+E562</f>
        <v>35526.800000000003</v>
      </c>
      <c r="F559" s="67">
        <f t="shared" si="238"/>
        <v>35482.253779999999</v>
      </c>
      <c r="G559" s="246">
        <f t="shared" si="224"/>
        <v>99.874612348987242</v>
      </c>
      <c r="H559" s="246">
        <f t="shared" si="225"/>
        <v>100.00000000000003</v>
      </c>
    </row>
    <row r="560" spans="1:9" ht="51.75" x14ac:dyDescent="0.25">
      <c r="A560" s="6"/>
      <c r="B560" s="6" t="s">
        <v>383</v>
      </c>
      <c r="C560" s="3" t="s">
        <v>384</v>
      </c>
      <c r="D560" s="67">
        <v>17730.599999999999</v>
      </c>
      <c r="E560" s="67">
        <v>17717.674999999999</v>
      </c>
      <c r="F560" s="67">
        <v>17673.306949999998</v>
      </c>
      <c r="G560" s="246">
        <f t="shared" si="224"/>
        <v>99.74958311403725</v>
      </c>
      <c r="H560" s="246">
        <f t="shared" si="225"/>
        <v>99.927103425715998</v>
      </c>
      <c r="I560" s="482"/>
    </row>
    <row r="561" spans="1:8" ht="26.25" x14ac:dyDescent="0.25">
      <c r="A561" s="6"/>
      <c r="B561" s="6" t="s">
        <v>272</v>
      </c>
      <c r="C561" s="3" t="s">
        <v>273</v>
      </c>
      <c r="D561" s="67">
        <v>17357</v>
      </c>
      <c r="E561" s="67">
        <v>17369.809870000001</v>
      </c>
      <c r="F561" s="67">
        <v>17369.631700000002</v>
      </c>
      <c r="G561" s="246">
        <f t="shared" si="224"/>
        <v>99.998974254748134</v>
      </c>
      <c r="H561" s="246">
        <f t="shared" si="225"/>
        <v>100.07380232759118</v>
      </c>
    </row>
    <row r="562" spans="1:8" x14ac:dyDescent="0.25">
      <c r="A562" s="6"/>
      <c r="B562" s="6" t="s">
        <v>390</v>
      </c>
      <c r="C562" s="3" t="s">
        <v>391</v>
      </c>
      <c r="D562" s="67">
        <v>439.2</v>
      </c>
      <c r="E562" s="67">
        <v>439.31513000000001</v>
      </c>
      <c r="F562" s="67">
        <v>439.31513000000001</v>
      </c>
      <c r="G562" s="246">
        <f t="shared" si="224"/>
        <v>100</v>
      </c>
      <c r="H562" s="246">
        <f t="shared" si="225"/>
        <v>100.02621357012751</v>
      </c>
    </row>
    <row r="563" spans="1:8" ht="26.25" x14ac:dyDescent="0.25">
      <c r="A563" s="6" t="s">
        <v>761</v>
      </c>
      <c r="B563" s="6"/>
      <c r="C563" s="3" t="s">
        <v>762</v>
      </c>
      <c r="D563" s="67">
        <f t="shared" ref="D563" si="239">D564+D565</f>
        <v>92.3</v>
      </c>
      <c r="E563" s="67">
        <v>92.221050000000005</v>
      </c>
      <c r="F563" s="67">
        <v>92.221050000000005</v>
      </c>
      <c r="G563" s="246">
        <f t="shared" si="224"/>
        <v>100</v>
      </c>
      <c r="H563" s="246">
        <f t="shared" si="225"/>
        <v>99.914463705308791</v>
      </c>
    </row>
    <row r="564" spans="1:8" ht="51.75" x14ac:dyDescent="0.25">
      <c r="A564" s="6"/>
      <c r="B564" s="6" t="s">
        <v>383</v>
      </c>
      <c r="C564" s="3" t="s">
        <v>384</v>
      </c>
      <c r="D564" s="67">
        <f>19.7</f>
        <v>19.7</v>
      </c>
      <c r="E564" s="67">
        <v>19.65137</v>
      </c>
      <c r="F564" s="67">
        <v>19.65137</v>
      </c>
      <c r="G564" s="246">
        <f t="shared" si="224"/>
        <v>100</v>
      </c>
      <c r="H564" s="246">
        <f t="shared" si="225"/>
        <v>99.753147208121831</v>
      </c>
    </row>
    <row r="565" spans="1:8" x14ac:dyDescent="0.25">
      <c r="A565" s="6"/>
      <c r="B565" s="6" t="s">
        <v>390</v>
      </c>
      <c r="C565" s="1" t="s">
        <v>391</v>
      </c>
      <c r="D565" s="67">
        <v>72.599999999999994</v>
      </c>
      <c r="E565" s="67">
        <v>72.569680000000005</v>
      </c>
      <c r="F565" s="67">
        <v>72.569680000000005</v>
      </c>
      <c r="G565" s="246">
        <f t="shared" si="224"/>
        <v>100</v>
      </c>
      <c r="H565" s="246">
        <f t="shared" si="225"/>
        <v>99.958236914600562</v>
      </c>
    </row>
    <row r="566" spans="1:8" x14ac:dyDescent="0.25">
      <c r="A566" s="16" t="s">
        <v>400</v>
      </c>
      <c r="B566" s="16"/>
      <c r="C566" s="1" t="s">
        <v>401</v>
      </c>
      <c r="D566" s="67">
        <v>1315.3</v>
      </c>
      <c r="E566" s="67">
        <v>1315.3</v>
      </c>
      <c r="F566" s="67">
        <v>1315.3</v>
      </c>
      <c r="G566" s="246">
        <f t="shared" si="224"/>
        <v>100</v>
      </c>
      <c r="H566" s="246">
        <f t="shared" si="225"/>
        <v>100</v>
      </c>
    </row>
    <row r="567" spans="1:8" ht="25.5" x14ac:dyDescent="0.25">
      <c r="A567" s="16"/>
      <c r="B567" s="16" t="s">
        <v>272</v>
      </c>
      <c r="C567" s="1" t="s">
        <v>273</v>
      </c>
      <c r="D567" s="67">
        <v>715.4</v>
      </c>
      <c r="E567" s="67">
        <v>715.4</v>
      </c>
      <c r="F567" s="67">
        <v>715.4</v>
      </c>
      <c r="G567" s="246">
        <f t="shared" si="224"/>
        <v>100</v>
      </c>
      <c r="H567" s="246">
        <f t="shared" si="225"/>
        <v>100</v>
      </c>
    </row>
    <row r="568" spans="1:8" ht="26.25" x14ac:dyDescent="0.25">
      <c r="A568" s="16"/>
      <c r="B568" s="6" t="s">
        <v>449</v>
      </c>
      <c r="C568" s="3" t="s">
        <v>450</v>
      </c>
      <c r="D568" s="67">
        <v>599.9</v>
      </c>
      <c r="E568" s="67">
        <v>599.9</v>
      </c>
      <c r="F568" s="67">
        <v>599.9</v>
      </c>
      <c r="G568" s="246">
        <f t="shared" si="224"/>
        <v>100</v>
      </c>
      <c r="H568" s="246">
        <f t="shared" si="225"/>
        <v>100</v>
      </c>
    </row>
    <row r="569" spans="1:8" ht="26.25" x14ac:dyDescent="0.25">
      <c r="A569" s="6" t="s">
        <v>402</v>
      </c>
      <c r="B569" s="6"/>
      <c r="C569" s="3" t="s">
        <v>403</v>
      </c>
      <c r="D569" s="67">
        <f>D570</f>
        <v>172.8</v>
      </c>
      <c r="E569" s="67"/>
      <c r="F569" s="67"/>
      <c r="G569" s="246"/>
      <c r="H569" s="246">
        <f t="shared" si="225"/>
        <v>0</v>
      </c>
    </row>
    <row r="570" spans="1:8" ht="26.25" x14ac:dyDescent="0.25">
      <c r="A570" s="6"/>
      <c r="B570" s="6" t="s">
        <v>272</v>
      </c>
      <c r="C570" s="3" t="s">
        <v>273</v>
      </c>
      <c r="D570" s="67">
        <v>172.8</v>
      </c>
      <c r="E570" s="67"/>
      <c r="F570" s="67"/>
      <c r="G570" s="246"/>
      <c r="H570" s="246">
        <f t="shared" si="225"/>
        <v>0</v>
      </c>
    </row>
    <row r="571" spans="1:8" ht="39" x14ac:dyDescent="0.25">
      <c r="A571" s="6" t="s">
        <v>404</v>
      </c>
      <c r="B571" s="6"/>
      <c r="C571" s="3" t="s">
        <v>405</v>
      </c>
      <c r="D571" s="67">
        <f>D572</f>
        <v>4.8</v>
      </c>
      <c r="E571" s="67">
        <f t="shared" ref="E571:F571" si="240">E572</f>
        <v>5</v>
      </c>
      <c r="F571" s="67">
        <f t="shared" si="240"/>
        <v>5</v>
      </c>
      <c r="G571" s="246">
        <f t="shared" si="224"/>
        <v>100</v>
      </c>
      <c r="H571" s="246">
        <f t="shared" si="225"/>
        <v>104.16666666666667</v>
      </c>
    </row>
    <row r="572" spans="1:8" ht="26.25" x14ac:dyDescent="0.25">
      <c r="A572" s="6"/>
      <c r="B572" s="6" t="s">
        <v>272</v>
      </c>
      <c r="C572" s="3" t="s">
        <v>273</v>
      </c>
      <c r="D572" s="67">
        <v>4.8</v>
      </c>
      <c r="E572" s="67">
        <v>5</v>
      </c>
      <c r="F572" s="67">
        <v>5</v>
      </c>
      <c r="G572" s="246">
        <f t="shared" si="224"/>
        <v>100</v>
      </c>
      <c r="H572" s="246">
        <f t="shared" si="225"/>
        <v>104.16666666666667</v>
      </c>
    </row>
    <row r="573" spans="1:8" ht="26.25" x14ac:dyDescent="0.25">
      <c r="A573" s="6" t="s">
        <v>1508</v>
      </c>
      <c r="B573" s="6"/>
      <c r="C573" s="3" t="s">
        <v>403</v>
      </c>
      <c r="D573" s="67"/>
      <c r="E573" s="67">
        <f t="shared" ref="E573:F573" si="241">E574</f>
        <v>188</v>
      </c>
      <c r="F573" s="67">
        <f t="shared" si="241"/>
        <v>188</v>
      </c>
      <c r="G573" s="246">
        <f t="shared" ref="G573:G574" si="242">F573/E573*100</f>
        <v>100</v>
      </c>
      <c r="H573" s="246"/>
    </row>
    <row r="574" spans="1:8" ht="26.25" x14ac:dyDescent="0.25">
      <c r="A574" s="6"/>
      <c r="B574" s="6" t="s">
        <v>449</v>
      </c>
      <c r="C574" s="3" t="s">
        <v>450</v>
      </c>
      <c r="D574" s="67"/>
      <c r="E574" s="67">
        <v>188</v>
      </c>
      <c r="F574" s="67">
        <v>188</v>
      </c>
      <c r="G574" s="246">
        <f t="shared" si="242"/>
        <v>100</v>
      </c>
      <c r="H574" s="246"/>
    </row>
    <row r="575" spans="1:8" ht="26.25" x14ac:dyDescent="0.25">
      <c r="A575" s="6" t="s">
        <v>406</v>
      </c>
      <c r="B575" s="6"/>
      <c r="C575" s="3" t="s">
        <v>407</v>
      </c>
      <c r="D575" s="67">
        <f>D579</f>
        <v>1270</v>
      </c>
      <c r="E575" s="67">
        <f>E579+E576+E577+E578</f>
        <v>1270</v>
      </c>
      <c r="F575" s="67">
        <f>F579+F576+F577+F578</f>
        <v>1269.96542</v>
      </c>
      <c r="G575" s="246">
        <f t="shared" si="224"/>
        <v>99.997277165354319</v>
      </c>
      <c r="H575" s="246">
        <f t="shared" si="225"/>
        <v>100</v>
      </c>
    </row>
    <row r="576" spans="1:8" ht="26.25" x14ac:dyDescent="0.25">
      <c r="A576" s="6"/>
      <c r="B576" s="6" t="s">
        <v>272</v>
      </c>
      <c r="C576" s="3" t="s">
        <v>273</v>
      </c>
      <c r="D576" s="67"/>
      <c r="E576" s="67">
        <v>487.41242</v>
      </c>
      <c r="F576" s="67">
        <v>487.41242</v>
      </c>
      <c r="G576" s="246">
        <f t="shared" ref="G576:G578" si="243">F576/E576*100</f>
        <v>100</v>
      </c>
      <c r="H576" s="246"/>
    </row>
    <row r="577" spans="1:8" x14ac:dyDescent="0.25">
      <c r="A577" s="6"/>
      <c r="B577" s="6" t="s">
        <v>408</v>
      </c>
      <c r="C577" s="3" t="s">
        <v>409</v>
      </c>
      <c r="D577" s="67"/>
      <c r="E577" s="67">
        <v>287.553</v>
      </c>
      <c r="F577" s="67">
        <v>287.553</v>
      </c>
      <c r="G577" s="246">
        <f t="shared" si="243"/>
        <v>100</v>
      </c>
      <c r="H577" s="246"/>
    </row>
    <row r="578" spans="1:8" ht="26.25" x14ac:dyDescent="0.25">
      <c r="A578" s="6"/>
      <c r="B578" s="6" t="s">
        <v>449</v>
      </c>
      <c r="C578" s="3" t="s">
        <v>450</v>
      </c>
      <c r="D578" s="67"/>
      <c r="E578" s="67">
        <v>495</v>
      </c>
      <c r="F578" s="67">
        <v>495</v>
      </c>
      <c r="G578" s="246">
        <f t="shared" si="243"/>
        <v>100</v>
      </c>
      <c r="H578" s="246"/>
    </row>
    <row r="579" spans="1:8" x14ac:dyDescent="0.25">
      <c r="A579" s="6"/>
      <c r="B579" s="6" t="s">
        <v>390</v>
      </c>
      <c r="C579" s="3" t="s">
        <v>391</v>
      </c>
      <c r="D579" s="67">
        <v>1270</v>
      </c>
      <c r="E579" s="67">
        <v>3.458E-2</v>
      </c>
      <c r="F579" s="67"/>
      <c r="G579" s="246">
        <f t="shared" si="224"/>
        <v>0</v>
      </c>
      <c r="H579" s="246">
        <f t="shared" si="225"/>
        <v>2.722834645669291E-3</v>
      </c>
    </row>
    <row r="580" spans="1:8" ht="39" x14ac:dyDescent="0.25">
      <c r="A580" s="6" t="s">
        <v>410</v>
      </c>
      <c r="B580" s="6"/>
      <c r="C580" s="3" t="s">
        <v>411</v>
      </c>
      <c r="D580" s="67">
        <f t="shared" ref="D580:F580" si="244">D581</f>
        <v>450</v>
      </c>
      <c r="E580" s="67">
        <f t="shared" si="244"/>
        <v>450</v>
      </c>
      <c r="F580" s="67">
        <f t="shared" si="244"/>
        <v>449.93385000000001</v>
      </c>
      <c r="G580" s="246">
        <f t="shared" si="224"/>
        <v>99.985299999999995</v>
      </c>
      <c r="H580" s="246">
        <f t="shared" si="225"/>
        <v>100</v>
      </c>
    </row>
    <row r="581" spans="1:8" ht="26.25" x14ac:dyDescent="0.25">
      <c r="A581" s="6"/>
      <c r="B581" s="6" t="s">
        <v>272</v>
      </c>
      <c r="C581" s="3" t="s">
        <v>273</v>
      </c>
      <c r="D581" s="67">
        <f>300+150</f>
        <v>450</v>
      </c>
      <c r="E581" s="67">
        <f t="shared" ref="E581" si="245">300+150</f>
        <v>450</v>
      </c>
      <c r="F581" s="67">
        <v>449.93385000000001</v>
      </c>
      <c r="G581" s="246">
        <f t="shared" si="224"/>
        <v>99.985299999999995</v>
      </c>
      <c r="H581" s="246">
        <f t="shared" si="225"/>
        <v>100</v>
      </c>
    </row>
    <row r="582" spans="1:8" ht="26.25" x14ac:dyDescent="0.25">
      <c r="A582" s="6" t="s">
        <v>412</v>
      </c>
      <c r="B582" s="6"/>
      <c r="C582" s="3" t="s">
        <v>413</v>
      </c>
      <c r="D582" s="67">
        <f>D583</f>
        <v>310</v>
      </c>
      <c r="E582" s="67">
        <f t="shared" ref="E582:F582" si="246">E583</f>
        <v>310</v>
      </c>
      <c r="F582" s="67">
        <f t="shared" si="246"/>
        <v>310</v>
      </c>
      <c r="G582" s="246">
        <f t="shared" si="224"/>
        <v>100</v>
      </c>
      <c r="H582" s="246">
        <f t="shared" si="225"/>
        <v>100</v>
      </c>
    </row>
    <row r="583" spans="1:8" x14ac:dyDescent="0.25">
      <c r="A583" s="6"/>
      <c r="B583" s="6" t="s">
        <v>390</v>
      </c>
      <c r="C583" s="3" t="s">
        <v>391</v>
      </c>
      <c r="D583" s="67">
        <v>310</v>
      </c>
      <c r="E583" s="67">
        <v>310</v>
      </c>
      <c r="F583" s="67">
        <v>310</v>
      </c>
      <c r="G583" s="246">
        <f t="shared" si="224"/>
        <v>100</v>
      </c>
      <c r="H583" s="246">
        <f t="shared" si="225"/>
        <v>100</v>
      </c>
    </row>
    <row r="584" spans="1:8" ht="51" x14ac:dyDescent="0.25">
      <c r="A584" s="6" t="s">
        <v>763</v>
      </c>
      <c r="B584" s="16"/>
      <c r="C584" s="1" t="s">
        <v>764</v>
      </c>
      <c r="D584" s="67">
        <f>D585</f>
        <v>229.9</v>
      </c>
      <c r="E584" s="67">
        <f t="shared" ref="E584:F584" si="247">E585</f>
        <v>229.93199000000001</v>
      </c>
      <c r="F584" s="67">
        <f t="shared" si="247"/>
        <v>229.93199000000001</v>
      </c>
      <c r="G584" s="246">
        <f t="shared" si="224"/>
        <v>100</v>
      </c>
      <c r="H584" s="246">
        <f t="shared" si="225"/>
        <v>100.01391474554153</v>
      </c>
    </row>
    <row r="585" spans="1:8" ht="25.5" x14ac:dyDescent="0.25">
      <c r="A585" s="17"/>
      <c r="B585" s="16" t="s">
        <v>272</v>
      </c>
      <c r="C585" s="1" t="s">
        <v>273</v>
      </c>
      <c r="D585" s="67">
        <v>229.9</v>
      </c>
      <c r="E585" s="264">
        <v>229.93199000000001</v>
      </c>
      <c r="F585" s="264">
        <v>229.93199000000001</v>
      </c>
      <c r="G585" s="246">
        <f t="shared" si="224"/>
        <v>100</v>
      </c>
      <c r="H585" s="246">
        <f t="shared" si="225"/>
        <v>100.01391474554153</v>
      </c>
    </row>
    <row r="586" spans="1:8" ht="25.5" x14ac:dyDescent="0.25">
      <c r="A586" s="22" t="s">
        <v>495</v>
      </c>
      <c r="B586" s="16"/>
      <c r="C586" s="1" t="s">
        <v>496</v>
      </c>
      <c r="D586" s="67">
        <f>D587</f>
        <v>2466.9</v>
      </c>
      <c r="E586" s="67">
        <f t="shared" ref="E586:F586" si="248">E587</f>
        <v>2466.9</v>
      </c>
      <c r="F586" s="67">
        <f t="shared" si="248"/>
        <v>2466.9</v>
      </c>
      <c r="G586" s="246">
        <f t="shared" si="224"/>
        <v>100</v>
      </c>
      <c r="H586" s="246">
        <f t="shared" si="225"/>
        <v>100</v>
      </c>
    </row>
    <row r="587" spans="1:8" x14ac:dyDescent="0.25">
      <c r="A587" s="17"/>
      <c r="B587" s="16" t="s">
        <v>390</v>
      </c>
      <c r="C587" s="3" t="s">
        <v>391</v>
      </c>
      <c r="D587" s="67">
        <v>2466.9</v>
      </c>
      <c r="E587" s="67">
        <v>2466.9</v>
      </c>
      <c r="F587" s="67">
        <v>2466.9</v>
      </c>
      <c r="G587" s="246">
        <f t="shared" si="224"/>
        <v>100</v>
      </c>
      <c r="H587" s="246">
        <f t="shared" si="225"/>
        <v>100</v>
      </c>
    </row>
    <row r="588" spans="1:8" ht="39" x14ac:dyDescent="0.25">
      <c r="A588" s="22" t="s">
        <v>793</v>
      </c>
      <c r="B588" s="16"/>
      <c r="C588" s="52" t="s">
        <v>792</v>
      </c>
      <c r="D588" s="67">
        <f>D589</f>
        <v>2631.2</v>
      </c>
      <c r="E588" s="67">
        <f t="shared" ref="E588:F588" si="249">E589</f>
        <v>2631.2</v>
      </c>
      <c r="F588" s="67">
        <f t="shared" si="249"/>
        <v>2631.1080700000002</v>
      </c>
      <c r="G588" s="246">
        <f t="shared" si="224"/>
        <v>99.99650615688661</v>
      </c>
      <c r="H588" s="246">
        <f t="shared" si="225"/>
        <v>100</v>
      </c>
    </row>
    <row r="589" spans="1:8" ht="26.25" x14ac:dyDescent="0.25">
      <c r="A589" s="17"/>
      <c r="B589" s="6" t="s">
        <v>290</v>
      </c>
      <c r="C589" s="3" t="s">
        <v>291</v>
      </c>
      <c r="D589" s="67">
        <v>2631.2</v>
      </c>
      <c r="E589" s="67">
        <v>2631.2</v>
      </c>
      <c r="F589" s="67">
        <v>2631.1080700000002</v>
      </c>
      <c r="G589" s="246">
        <f t="shared" ref="G589:G594" si="250">F589/E589*100</f>
        <v>99.99650615688661</v>
      </c>
      <c r="H589" s="246">
        <f t="shared" ref="H589:H594" si="251">E589/D589*100</f>
        <v>100</v>
      </c>
    </row>
    <row r="590" spans="1:8" x14ac:dyDescent="0.25">
      <c r="A590" s="22" t="s">
        <v>813</v>
      </c>
      <c r="B590" s="16"/>
      <c r="C590" s="52" t="s">
        <v>812</v>
      </c>
      <c r="D590" s="67">
        <f>D591</f>
        <v>3423.9</v>
      </c>
      <c r="E590" s="67">
        <f t="shared" ref="E590:F590" si="252">E591</f>
        <v>3423.9</v>
      </c>
      <c r="F590" s="67">
        <f t="shared" si="252"/>
        <v>3423.9</v>
      </c>
      <c r="G590" s="246">
        <f t="shared" si="250"/>
        <v>100</v>
      </c>
      <c r="H590" s="246">
        <f t="shared" si="251"/>
        <v>100</v>
      </c>
    </row>
    <row r="591" spans="1:8" ht="25.5" x14ac:dyDescent="0.25">
      <c r="A591" s="17"/>
      <c r="B591" s="6" t="s">
        <v>449</v>
      </c>
      <c r="C591" s="1" t="s">
        <v>450</v>
      </c>
      <c r="D591" s="67">
        <v>3423.9</v>
      </c>
      <c r="E591" s="67">
        <v>3423.9</v>
      </c>
      <c r="F591" s="67">
        <v>3423.9</v>
      </c>
      <c r="G591" s="246">
        <f t="shared" si="250"/>
        <v>100</v>
      </c>
      <c r="H591" s="246">
        <f t="shared" si="251"/>
        <v>100</v>
      </c>
    </row>
    <row r="592" spans="1:8" ht="25.5" x14ac:dyDescent="0.25">
      <c r="A592" s="22" t="s">
        <v>821</v>
      </c>
      <c r="B592" s="16"/>
      <c r="C592" s="21" t="s">
        <v>822</v>
      </c>
      <c r="D592" s="67">
        <f>D593</f>
        <v>86.5</v>
      </c>
      <c r="E592" s="67">
        <f t="shared" ref="E592:F592" si="253">E593</f>
        <v>86.5</v>
      </c>
      <c r="F592" s="67">
        <f t="shared" si="253"/>
        <v>86.5</v>
      </c>
      <c r="G592" s="246">
        <f t="shared" si="250"/>
        <v>100</v>
      </c>
      <c r="H592" s="246">
        <f t="shared" si="251"/>
        <v>100</v>
      </c>
    </row>
    <row r="593" spans="1:9" ht="25.5" x14ac:dyDescent="0.25">
      <c r="A593" s="17"/>
      <c r="B593" s="6" t="s">
        <v>449</v>
      </c>
      <c r="C593" s="1" t="s">
        <v>450</v>
      </c>
      <c r="D593" s="67">
        <v>86.5</v>
      </c>
      <c r="E593" s="67">
        <v>86.5</v>
      </c>
      <c r="F593" s="67">
        <v>86.5</v>
      </c>
      <c r="G593" s="246">
        <f t="shared" si="250"/>
        <v>100</v>
      </c>
      <c r="H593" s="246">
        <f t="shared" si="251"/>
        <v>100</v>
      </c>
    </row>
    <row r="594" spans="1:9" x14ac:dyDescent="0.25">
      <c r="A594" s="63"/>
      <c r="B594" s="63"/>
      <c r="C594" s="59" t="s">
        <v>414</v>
      </c>
      <c r="D594" s="82">
        <f>D10+D530</f>
        <v>1037500.6447999999</v>
      </c>
      <c r="E594" s="82">
        <f>E10+E530</f>
        <v>1111731.8413800003</v>
      </c>
      <c r="F594" s="82">
        <f>F10+F530</f>
        <v>1066596.4408800004</v>
      </c>
      <c r="G594" s="261">
        <f t="shared" si="250"/>
        <v>95.940082057560474</v>
      </c>
      <c r="H594" s="261">
        <f t="shared" si="251"/>
        <v>107.15480968152168</v>
      </c>
      <c r="I594" s="25">
        <f>SUM(I9:I593)</f>
        <v>42804.154100000014</v>
      </c>
    </row>
    <row r="595" spans="1:9" x14ac:dyDescent="0.25">
      <c r="D595" s="226"/>
      <c r="E595" s="226"/>
      <c r="F595" s="226"/>
      <c r="G595" s="226"/>
      <c r="H595" s="226"/>
    </row>
  </sheetData>
  <autoFilter ref="A9:D595"/>
  <mergeCells count="2">
    <mergeCell ref="A7:D7"/>
    <mergeCell ref="G4:H4"/>
  </mergeCells>
  <pageMargins left="0.31496062992125984" right="0.31496062992125984" top="0.39370078740157483" bottom="0.39370078740157483" header="0" footer="0"/>
  <pageSetup paperSize="9" scale="61" orientation="portrait" r:id="rId1"/>
  <rowBreaks count="1" manualBreakCount="1">
    <brk id="5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13</vt:i4>
      </vt:variant>
    </vt:vector>
  </HeadingPairs>
  <TitlesOfParts>
    <vt:vector size="32" baseType="lpstr">
      <vt:lpstr>1.Доходы</vt:lpstr>
      <vt:lpstr>2.Расходы по вед</vt:lpstr>
      <vt:lpstr>3.Расходы по РзПр</vt:lpstr>
      <vt:lpstr>4.Приложение по источникам</vt:lpstr>
      <vt:lpstr>5. Размер и структура мун.долга</vt:lpstr>
      <vt:lpstr>6. Программа мун.заим.</vt:lpstr>
      <vt:lpstr>7. Программа мун.гарантий</vt:lpstr>
      <vt:lpstr>Справочно.Выполнение МП</vt:lpstr>
      <vt:lpstr>Справочно.ЦС</vt:lpstr>
      <vt:lpstr>Справочно.Содержание ОМСУ</vt:lpstr>
      <vt:lpstr>Справочно.Резервный фонд</vt:lpstr>
      <vt:lpstr>Справочно.Дорожный фонд</vt:lpstr>
      <vt:lpstr>Справочно.инвест.проекты</vt:lpstr>
      <vt:lpstr>Справочно.Бюджетные инвестиции</vt:lpstr>
      <vt:lpstr>Справочно.Исполнение по НП</vt:lpstr>
      <vt:lpstr>Справочно. Деб.зад.</vt:lpstr>
      <vt:lpstr>Справочно. Кред.зад.</vt:lpstr>
      <vt:lpstr>Справочно. Доходы от исп.им.</vt:lpstr>
      <vt:lpstr>Справочно. Доходы от прод.им.</vt:lpstr>
      <vt:lpstr>'1.Доходы'!Область_печати</vt:lpstr>
      <vt:lpstr>'2.Расходы по вед'!Область_печати</vt:lpstr>
      <vt:lpstr>'3.Расходы по РзПр'!Область_печати</vt:lpstr>
      <vt:lpstr>'5. Размер и структура мун.долга'!Область_печати</vt:lpstr>
      <vt:lpstr>'Справочно. Деб.зад.'!Область_печати</vt:lpstr>
      <vt:lpstr>'Справочно. Доходы от исп.им.'!Область_печати</vt:lpstr>
      <vt:lpstr>'Справочно. Доходы от прод.им.'!Область_печати</vt:lpstr>
      <vt:lpstr>'Справочно.Выполнение МП'!Область_печати</vt:lpstr>
      <vt:lpstr>'Справочно.Дорожный фонд'!Область_печати</vt:lpstr>
      <vt:lpstr>Справочно.инвест.проекты!Область_печати</vt:lpstr>
      <vt:lpstr>'Справочно.Исполнение по НП'!Область_печати</vt:lpstr>
      <vt:lpstr>'Справочно.Содержание ОМСУ'!Область_печати</vt:lpstr>
      <vt:lpstr>Справочно.ЦС!Область_печати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2025-04-29T10:40:31Z</cp:lastPrinted>
  <dcterms:created xsi:type="dcterms:W3CDTF">2022-11-04T08:13:16Z</dcterms:created>
  <dcterms:modified xsi:type="dcterms:W3CDTF">2025-05-21T07:22:43Z</dcterms:modified>
</cp:coreProperties>
</file>