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5" yWindow="855" windowWidth="16710" windowHeight="10845" tabRatio="753" firstSheet="1" activeTab="4"/>
  </bookViews>
  <sheets>
    <sheet name="Перечень приложений" sheetId="32" r:id="rId1"/>
    <sheet name="Приложение 1" sheetId="1" r:id="rId2"/>
    <sheet name="Приложение 2" sheetId="23" r:id="rId3"/>
    <sheet name="Приложение 4" sheetId="34" r:id="rId4"/>
    <sheet name="Приложение 5" sheetId="25" r:id="rId5"/>
    <sheet name="Лист1" sheetId="36" r:id="rId6"/>
  </sheets>
  <externalReferences>
    <externalReference r:id="rId7"/>
  </externalReferences>
  <definedNames>
    <definedName name="_xlnm._FilterDatabase" localSheetId="1" hidden="1">'Приложение 1'!$A$9:$J$579</definedName>
    <definedName name="_xlnm._FilterDatabase" localSheetId="2" hidden="1">'Приложение 2'!$A$9:$O$837</definedName>
    <definedName name="_xlnm.Print_Area" localSheetId="5">Лист1!$A$1:$F$58</definedName>
    <definedName name="_xlnm.Print_Area" localSheetId="1">'Приложение 1'!$A$1:$L$576</definedName>
    <definedName name="_xlnm.Print_Area" localSheetId="2">'Приложение 2'!$A$1:$N$837</definedName>
    <definedName name="_xlnm.Print_Area" localSheetId="3">'Приложение 4'!$A$1:$M$96</definedName>
    <definedName name="_xlnm.Print_Area" localSheetId="4">'Приложение 5'!$A$1:$E$19</definedName>
  </definedNames>
  <calcPr calcId="145621"/>
</workbook>
</file>

<file path=xl/calcChain.xml><?xml version="1.0" encoding="utf-8"?>
<calcChain xmlns="http://schemas.openxmlformats.org/spreadsheetml/2006/main">
  <c r="M528" i="23" l="1"/>
  <c r="M527" i="23" s="1"/>
  <c r="M522" i="23" s="1"/>
  <c r="M521" i="23" s="1"/>
  <c r="M520" i="23" s="1"/>
  <c r="M519" i="23" s="1"/>
  <c r="M518" i="23" s="1"/>
  <c r="M497" i="23" s="1"/>
  <c r="M488" i="23" s="1"/>
  <c r="J527" i="23"/>
  <c r="J522" i="23" s="1"/>
  <c r="J521" i="23" s="1"/>
  <c r="J528" i="23"/>
  <c r="G528" i="23"/>
  <c r="G527" i="23" s="1"/>
  <c r="N530" i="23"/>
  <c r="K530" i="23"/>
  <c r="H530" i="23"/>
  <c r="K77" i="1"/>
  <c r="K76" i="1" s="1"/>
  <c r="K62" i="1" s="1"/>
  <c r="K82" i="1"/>
  <c r="H82" i="1"/>
  <c r="H77" i="1" s="1"/>
  <c r="K83" i="1"/>
  <c r="H83" i="1"/>
  <c r="E83" i="1"/>
  <c r="E82" i="1" s="1"/>
  <c r="L85" i="1"/>
  <c r="I85" i="1"/>
  <c r="F85" i="1"/>
  <c r="G329" i="23" l="1"/>
  <c r="H331" i="23"/>
  <c r="E399" i="1"/>
  <c r="F401" i="1"/>
  <c r="F23" i="34" l="1"/>
  <c r="C23" i="34" s="1"/>
  <c r="G17" i="23" l="1"/>
  <c r="G16" i="23" s="1"/>
  <c r="G15" i="23" s="1"/>
  <c r="G14" i="23" s="1"/>
  <c r="G13" i="23" s="1"/>
  <c r="G12" i="23" s="1"/>
  <c r="H18" i="23"/>
  <c r="E23" i="1"/>
  <c r="F24" i="1"/>
  <c r="G113" i="23" l="1"/>
  <c r="E550" i="1"/>
  <c r="F552" i="1"/>
  <c r="E552" i="1"/>
  <c r="D53" i="36" l="1"/>
  <c r="G107" i="23"/>
  <c r="D35" i="36"/>
  <c r="E548" i="1"/>
  <c r="F125" i="1" l="1"/>
  <c r="N515" i="23"/>
  <c r="N514" i="23" s="1"/>
  <c r="L515" i="23"/>
  <c r="L514" i="23"/>
  <c r="H516" i="23"/>
  <c r="H515" i="23" s="1"/>
  <c r="H514" i="23" s="1"/>
  <c r="G516" i="23"/>
  <c r="G515" i="23" s="1"/>
  <c r="G514" i="23" s="1"/>
  <c r="F516" i="23"/>
  <c r="F515" i="23" s="1"/>
  <c r="F514" i="23" s="1"/>
  <c r="E174" i="1"/>
  <c r="F175" i="1"/>
  <c r="H569" i="23"/>
  <c r="G568" i="23"/>
  <c r="G567" i="23" s="1"/>
  <c r="G566" i="23" s="1"/>
  <c r="E123" i="1"/>
  <c r="E122" i="1" s="1"/>
  <c r="E124" i="1"/>
  <c r="H524" i="23"/>
  <c r="G523" i="23"/>
  <c r="G522" i="23" s="1"/>
  <c r="E77" i="1"/>
  <c r="E78" i="1"/>
  <c r="F79" i="1"/>
  <c r="G503" i="23"/>
  <c r="H504" i="23"/>
  <c r="E65" i="1"/>
  <c r="F66" i="1"/>
  <c r="G532" i="23"/>
  <c r="H533" i="23"/>
  <c r="E87" i="1"/>
  <c r="H562" i="23"/>
  <c r="H561" i="23" s="1"/>
  <c r="G561" i="23"/>
  <c r="F172" i="1"/>
  <c r="F173" i="1"/>
  <c r="E172" i="1"/>
  <c r="G148" i="23" l="1"/>
  <c r="G142" i="23" s="1"/>
  <c r="G141" i="23" s="1"/>
  <c r="G140" i="23" s="1"/>
  <c r="G139" i="23" s="1"/>
  <c r="H149" i="23"/>
  <c r="E497" i="1"/>
  <c r="E491" i="1" s="1"/>
  <c r="F498" i="1"/>
  <c r="H135" i="23"/>
  <c r="G134" i="23"/>
  <c r="G131" i="23" s="1"/>
  <c r="G130" i="23" s="1"/>
  <c r="G129" i="23" s="1"/>
  <c r="G128" i="23" s="1"/>
  <c r="F487" i="1"/>
  <c r="E486" i="1"/>
  <c r="E483" i="1" s="1"/>
  <c r="H175" i="23"/>
  <c r="F503" i="1"/>
  <c r="G174" i="23" l="1"/>
  <c r="G173" i="23" s="1"/>
  <c r="G172" i="23" s="1"/>
  <c r="E502" i="1"/>
  <c r="E501" i="1" s="1"/>
  <c r="E482" i="1" s="1"/>
  <c r="H215" i="23" l="1"/>
  <c r="G214" i="23"/>
  <c r="G213" i="23" s="1"/>
  <c r="F421" i="1"/>
  <c r="E420" i="1"/>
  <c r="E419" i="1" s="1"/>
  <c r="G96" i="34" l="1"/>
  <c r="C96" i="34"/>
  <c r="G95" i="34"/>
  <c r="C95" i="34"/>
  <c r="F94" i="34"/>
  <c r="C93" i="34"/>
  <c r="C92" i="34"/>
  <c r="C91" i="34"/>
  <c r="C90" i="34"/>
  <c r="C89" i="34"/>
  <c r="C88" i="34" s="1"/>
  <c r="C86" i="34" s="1"/>
  <c r="F88" i="34"/>
  <c r="F86" i="34" s="1"/>
  <c r="E88" i="34"/>
  <c r="E86" i="34" s="1"/>
  <c r="D88" i="34"/>
  <c r="D86" i="34" s="1"/>
  <c r="G87" i="34"/>
  <c r="M85" i="34"/>
  <c r="K85" i="34"/>
  <c r="J85" i="34"/>
  <c r="G85" i="34"/>
  <c r="K84" i="34"/>
  <c r="G84" i="34"/>
  <c r="K83" i="34"/>
  <c r="C83" i="34"/>
  <c r="K82" i="34"/>
  <c r="J82" i="34"/>
  <c r="J81" i="34" s="1"/>
  <c r="I82" i="34"/>
  <c r="I81" i="34" s="1"/>
  <c r="H82" i="34"/>
  <c r="H81" i="34" s="1"/>
  <c r="H35" i="34" s="1"/>
  <c r="H34" i="34" s="1"/>
  <c r="F82" i="34"/>
  <c r="F81" i="34" s="1"/>
  <c r="E82" i="34"/>
  <c r="D82" i="34"/>
  <c r="D81" i="34" s="1"/>
  <c r="D35" i="34" s="1"/>
  <c r="D34" i="34" s="1"/>
  <c r="M81" i="34"/>
  <c r="K81" i="34" s="1"/>
  <c r="K80" i="34"/>
  <c r="G80" i="34"/>
  <c r="F80" i="34"/>
  <c r="C80" i="34" s="1"/>
  <c r="M79" i="34"/>
  <c r="K79" i="34" s="1"/>
  <c r="J79" i="34"/>
  <c r="G79" i="34"/>
  <c r="C77" i="34"/>
  <c r="G76" i="34"/>
  <c r="C76" i="34"/>
  <c r="C75" i="34"/>
  <c r="C74" i="34"/>
  <c r="C73" i="34"/>
  <c r="G72" i="34"/>
  <c r="F72" i="34"/>
  <c r="C72" i="34" s="1"/>
  <c r="C71" i="34"/>
  <c r="C70" i="34"/>
  <c r="F69" i="34"/>
  <c r="C69" i="34" s="1"/>
  <c r="C68" i="34"/>
  <c r="C67" i="34"/>
  <c r="C66" i="34"/>
  <c r="C65" i="34"/>
  <c r="C64" i="34"/>
  <c r="C63" i="34"/>
  <c r="C62" i="34"/>
  <c r="C61" i="34"/>
  <c r="K59" i="34"/>
  <c r="G59" i="34"/>
  <c r="C59" i="34"/>
  <c r="G58" i="34"/>
  <c r="C58" i="34"/>
  <c r="G57" i="34"/>
  <c r="C57" i="34"/>
  <c r="G56" i="34"/>
  <c r="C56" i="34"/>
  <c r="G55" i="34"/>
  <c r="C55" i="34"/>
  <c r="G54" i="34"/>
  <c r="C54" i="34"/>
  <c r="K53" i="34"/>
  <c r="G53" i="34"/>
  <c r="C53" i="34"/>
  <c r="K52" i="34"/>
  <c r="G52" i="34"/>
  <c r="C52" i="34"/>
  <c r="K51" i="34"/>
  <c r="G51" i="34"/>
  <c r="C51" i="34"/>
  <c r="K50" i="34"/>
  <c r="G50" i="34"/>
  <c r="C50" i="34"/>
  <c r="K49" i="34"/>
  <c r="G49" i="34"/>
  <c r="C49" i="34"/>
  <c r="K48" i="34"/>
  <c r="G48" i="34"/>
  <c r="C48" i="34"/>
  <c r="K47" i="34"/>
  <c r="G47" i="34"/>
  <c r="C47" i="34"/>
  <c r="K46" i="34"/>
  <c r="G46" i="34"/>
  <c r="C46" i="34"/>
  <c r="K45" i="34"/>
  <c r="G45" i="34"/>
  <c r="C45" i="34"/>
  <c r="K44" i="34"/>
  <c r="G44" i="34"/>
  <c r="F44" i="34"/>
  <c r="C44" i="34" s="1"/>
  <c r="M43" i="34"/>
  <c r="L43" i="34"/>
  <c r="L35" i="34" s="1"/>
  <c r="L34" i="34" s="1"/>
  <c r="K43" i="34"/>
  <c r="J43" i="34"/>
  <c r="I43" i="34"/>
  <c r="E43" i="34"/>
  <c r="K42" i="34"/>
  <c r="K41" i="34" s="1"/>
  <c r="C42" i="34"/>
  <c r="M41" i="34"/>
  <c r="J41" i="34"/>
  <c r="G41" i="34"/>
  <c r="F41" i="34"/>
  <c r="C41" i="34"/>
  <c r="K39" i="34"/>
  <c r="K38" i="34" s="1"/>
  <c r="C39" i="34"/>
  <c r="C38" i="34" s="1"/>
  <c r="M38" i="34"/>
  <c r="J38" i="34"/>
  <c r="G38" i="34"/>
  <c r="F38" i="34"/>
  <c r="K37" i="34"/>
  <c r="K36" i="34" s="1"/>
  <c r="G37" i="34"/>
  <c r="C37" i="34"/>
  <c r="C36" i="34" s="1"/>
  <c r="M36" i="34"/>
  <c r="J36" i="34"/>
  <c r="G36" i="34"/>
  <c r="F36" i="34"/>
  <c r="C24" i="34"/>
  <c r="K22" i="34"/>
  <c r="G22" i="34"/>
  <c r="C22" i="34"/>
  <c r="M21" i="34"/>
  <c r="K21" i="34"/>
  <c r="G21" i="34"/>
  <c r="C21" i="34"/>
  <c r="L20" i="34"/>
  <c r="K20" i="34" s="1"/>
  <c r="G20" i="34"/>
  <c r="C20" i="34"/>
  <c r="C18" i="34" s="1"/>
  <c r="L18" i="34"/>
  <c r="I18" i="34"/>
  <c r="H18" i="34"/>
  <c r="F18" i="34"/>
  <c r="E18" i="34"/>
  <c r="D18" i="34"/>
  <c r="M35" i="34" l="1"/>
  <c r="M34" i="34" s="1"/>
  <c r="M23" i="34" s="1"/>
  <c r="K23" i="34" s="1"/>
  <c r="K18" i="34" s="1"/>
  <c r="G43" i="34"/>
  <c r="F79" i="34"/>
  <c r="C79" i="34" s="1"/>
  <c r="F60" i="34"/>
  <c r="C82" i="34"/>
  <c r="C94" i="34"/>
  <c r="C85" i="34" s="1"/>
  <c r="F85" i="34"/>
  <c r="J35" i="34"/>
  <c r="J34" i="34" s="1"/>
  <c r="J23" i="34" s="1"/>
  <c r="C25" i="34"/>
  <c r="K35" i="34"/>
  <c r="K34" i="34" s="1"/>
  <c r="G81" i="34"/>
  <c r="G35" i="34" s="1"/>
  <c r="G34" i="34" s="1"/>
  <c r="I35" i="34"/>
  <c r="I34" i="34" s="1"/>
  <c r="E81" i="34"/>
  <c r="C81" i="34" s="1"/>
  <c r="G82" i="34"/>
  <c r="C60" i="34" l="1"/>
  <c r="C43" i="34" s="1"/>
  <c r="C35" i="34" s="1"/>
  <c r="C34" i="34" s="1"/>
  <c r="D98" i="34" s="1"/>
  <c r="F43" i="34"/>
  <c r="F35" i="34" s="1"/>
  <c r="F34" i="34" s="1"/>
  <c r="M18" i="34"/>
  <c r="E35" i="34"/>
  <c r="E34" i="34" s="1"/>
  <c r="G23" i="34"/>
  <c r="G18" i="34" s="1"/>
  <c r="J18" i="34"/>
  <c r="E440" i="1" l="1"/>
  <c r="H221" i="23" l="1"/>
  <c r="G222" i="23"/>
  <c r="G221" i="23" s="1"/>
  <c r="E428" i="1"/>
  <c r="D26" i="36"/>
  <c r="J731" i="23" l="1"/>
  <c r="H739" i="23"/>
  <c r="G739" i="23"/>
  <c r="G731" i="23" s="1"/>
  <c r="F739" i="23"/>
  <c r="K739" i="23"/>
  <c r="I739" i="23"/>
  <c r="J258" i="1"/>
  <c r="K258" i="1"/>
  <c r="L258" i="1"/>
  <c r="H258" i="1"/>
  <c r="E271" i="1"/>
  <c r="E258" i="1" s="1"/>
  <c r="F271" i="1"/>
  <c r="G271" i="1"/>
  <c r="I271" i="1"/>
  <c r="G763" i="23" l="1"/>
  <c r="G760" i="23" s="1"/>
  <c r="G759" i="23" s="1"/>
  <c r="G758" i="23" s="1"/>
  <c r="H764" i="23"/>
  <c r="E253" i="1"/>
  <c r="E250" i="1" s="1"/>
  <c r="F254" i="1"/>
  <c r="D43" i="36"/>
  <c r="H208" i="23"/>
  <c r="F453" i="1"/>
  <c r="D17" i="36"/>
  <c r="D574" i="1" l="1"/>
  <c r="N407" i="23"/>
  <c r="N406" i="23" s="1"/>
  <c r="I407" i="23"/>
  <c r="I406" i="23" s="1"/>
  <c r="K407" i="23"/>
  <c r="K406" i="23" s="1"/>
  <c r="L407" i="23"/>
  <c r="L406" i="23" s="1"/>
  <c r="F408" i="23"/>
  <c r="F407" i="23" s="1"/>
  <c r="F406" i="23" s="1"/>
  <c r="H408" i="23" l="1"/>
  <c r="H407" i="23" s="1"/>
  <c r="H406" i="23" s="1"/>
  <c r="G408" i="23"/>
  <c r="G407" i="23" s="1"/>
  <c r="G406" i="23" s="1"/>
  <c r="F574" i="1"/>
  <c r="E574" i="1"/>
  <c r="H158" i="23" l="1"/>
  <c r="H160" i="23"/>
  <c r="G159" i="23"/>
  <c r="G157" i="23"/>
  <c r="G167" i="23"/>
  <c r="G162" i="23" s="1"/>
  <c r="G161" i="23" s="1"/>
  <c r="H168" i="23"/>
  <c r="F319" i="1"/>
  <c r="E318" i="1"/>
  <c r="G660" i="23"/>
  <c r="E306" i="1"/>
  <c r="E301" i="1" s="1"/>
  <c r="F307" i="1"/>
  <c r="F306" i="1" s="1"/>
  <c r="G156" i="23" l="1"/>
  <c r="G155" i="23" s="1"/>
  <c r="G154" i="23" s="1"/>
  <c r="G153" i="23" s="1"/>
  <c r="G152" i="23" s="1"/>
  <c r="G127" i="23" s="1"/>
  <c r="G349" i="23"/>
  <c r="E572" i="1"/>
  <c r="G456" i="23"/>
  <c r="G455" i="23" s="1"/>
  <c r="G454" i="23" s="1"/>
  <c r="G453" i="23" s="1"/>
  <c r="G452" i="23" s="1"/>
  <c r="G451" i="23" s="1"/>
  <c r="H457" i="23"/>
  <c r="F29" i="1"/>
  <c r="E28" i="1"/>
  <c r="G658" i="23"/>
  <c r="G657" i="23" s="1"/>
  <c r="E299" i="1"/>
  <c r="E298" i="1" s="1"/>
  <c r="E295" i="1" s="1"/>
  <c r="E294" i="1" s="1"/>
  <c r="E326" i="1" l="1"/>
  <c r="E321" i="1" s="1"/>
  <c r="E320" i="1" s="1"/>
  <c r="F327" i="1"/>
  <c r="E316" i="1"/>
  <c r="E315" i="1" s="1"/>
  <c r="E314" i="1" s="1"/>
  <c r="F317" i="1"/>
  <c r="F316" i="1" s="1"/>
  <c r="G112" i="23"/>
  <c r="H113" i="23"/>
  <c r="H112" i="23" s="1"/>
  <c r="F90" i="1"/>
  <c r="G393" i="23"/>
  <c r="G392" i="23" s="1"/>
  <c r="G391" i="23" s="1"/>
  <c r="H394" i="23"/>
  <c r="G253" i="23"/>
  <c r="H254" i="23"/>
  <c r="H256" i="23"/>
  <c r="G255" i="23"/>
  <c r="G233" i="23"/>
  <c r="G216" i="23"/>
  <c r="H339" i="23"/>
  <c r="G338" i="23"/>
  <c r="G384" i="23"/>
  <c r="H324" i="23"/>
  <c r="G322" i="23"/>
  <c r="G321" i="23" s="1"/>
  <c r="G372" i="23"/>
  <c r="G370" i="23"/>
  <c r="E89" i="1"/>
  <c r="G631" i="23"/>
  <c r="G626" i="23" s="1"/>
  <c r="G625" i="23" s="1"/>
  <c r="H632" i="23"/>
  <c r="H624" i="23"/>
  <c r="D30" i="36"/>
  <c r="D40" i="36" s="1"/>
  <c r="E466" i="1"/>
  <c r="E463" i="1"/>
  <c r="E427" i="1"/>
  <c r="E422" i="1" s="1"/>
  <c r="F428" i="1"/>
  <c r="F427" i="1" s="1"/>
  <c r="E313" i="1" l="1"/>
  <c r="D58" i="36"/>
  <c r="G361" i="23"/>
  <c r="G252" i="23"/>
  <c r="G244" i="23" s="1"/>
  <c r="E439" i="1"/>
  <c r="F88" i="1"/>
  <c r="F75" i="1"/>
  <c r="E470" i="1" l="1"/>
  <c r="E469" i="1" s="1"/>
  <c r="E468" i="1" s="1"/>
  <c r="E467" i="1" s="1"/>
  <c r="E365" i="1"/>
  <c r="E465" i="1"/>
  <c r="E462" i="1" s="1"/>
  <c r="E454" i="1" s="1"/>
  <c r="F466" i="1"/>
  <c r="E410" i="1"/>
  <c r="F411" i="1"/>
  <c r="E387" i="1"/>
  <c r="F384" i="1"/>
  <c r="E360" i="1"/>
  <c r="H109" i="23"/>
  <c r="E553" i="1"/>
  <c r="F555" i="1"/>
  <c r="F553" i="1" s="1"/>
  <c r="E546" i="1"/>
  <c r="F236" i="23"/>
  <c r="F574" i="23"/>
  <c r="I741" i="23"/>
  <c r="J508" i="1"/>
  <c r="J507" i="1"/>
  <c r="D74" i="1"/>
  <c r="D174" i="1"/>
  <c r="D378" i="1"/>
  <c r="D389" i="1"/>
  <c r="D415" i="1"/>
  <c r="G623" i="23" l="1"/>
  <c r="G622" i="23" s="1"/>
  <c r="G621" i="23" s="1"/>
  <c r="F74" i="1"/>
  <c r="E74" i="1"/>
  <c r="H509" i="23"/>
  <c r="F73" i="1"/>
  <c r="H537" i="23"/>
  <c r="F94" i="1"/>
  <c r="G502" i="23"/>
  <c r="G501" i="23" s="1"/>
  <c r="G554" i="23"/>
  <c r="F573" i="23"/>
  <c r="F572" i="23" s="1"/>
  <c r="N573" i="23"/>
  <c r="N572" i="23" s="1"/>
  <c r="L573" i="23"/>
  <c r="L572" i="23" s="1"/>
  <c r="J573" i="23"/>
  <c r="J572" i="23" s="1"/>
  <c r="H574" i="23"/>
  <c r="H573" i="23" s="1"/>
  <c r="H572" i="23" s="1"/>
  <c r="G574" i="23"/>
  <c r="G573" i="23" s="1"/>
  <c r="G572" i="23" s="1"/>
  <c r="G565" i="23" s="1"/>
  <c r="G564" i="23" s="1"/>
  <c r="G563" i="23" s="1"/>
  <c r="G500" i="23" l="1"/>
  <c r="G499" i="23" s="1"/>
  <c r="G498" i="23" s="1"/>
  <c r="E86" i="1"/>
  <c r="E76" i="1" s="1"/>
  <c r="G531" i="23"/>
  <c r="E165" i="1"/>
  <c r="F174" i="1"/>
  <c r="H350" i="23" l="1"/>
  <c r="F573" i="1"/>
  <c r="I409" i="1"/>
  <c r="K337" i="23"/>
  <c r="J335" i="23"/>
  <c r="J334" i="23" s="1"/>
  <c r="J326" i="23" s="1"/>
  <c r="J325" i="23" s="1"/>
  <c r="J320" i="23" s="1"/>
  <c r="J319" i="23" s="1"/>
  <c r="J318" i="23" s="1"/>
  <c r="H407" i="1"/>
  <c r="H406" i="1" s="1"/>
  <c r="H398" i="1" s="1"/>
  <c r="H397" i="1" s="1"/>
  <c r="N25" i="23" l="1"/>
  <c r="K25" i="23"/>
  <c r="I346" i="23"/>
  <c r="I345" i="23" s="1"/>
  <c r="K346" i="23"/>
  <c r="K345" i="23" s="1"/>
  <c r="L346" i="23"/>
  <c r="L345" i="23" s="1"/>
  <c r="N346" i="23"/>
  <c r="N345" i="23" s="1"/>
  <c r="D60" i="36" l="1"/>
  <c r="G729" i="23"/>
  <c r="G728" i="23" s="1"/>
  <c r="H730" i="23"/>
  <c r="F246" i="1"/>
  <c r="H725" i="23"/>
  <c r="G724" i="23"/>
  <c r="G723" i="23" s="1"/>
  <c r="F241" i="1"/>
  <c r="G721" i="23"/>
  <c r="F238" i="1"/>
  <c r="D68" i="36" l="1"/>
  <c r="D69" i="36" s="1"/>
  <c r="F534" i="1" l="1"/>
  <c r="H289" i="23"/>
  <c r="G346" i="23" l="1"/>
  <c r="G345" i="23" s="1"/>
  <c r="F346" i="23"/>
  <c r="F345" i="23" s="1"/>
  <c r="H349" i="23"/>
  <c r="F572" i="1"/>
  <c r="D572" i="1"/>
  <c r="G271" i="23" l="1"/>
  <c r="G268" i="23" s="1"/>
  <c r="G267" i="23" s="1"/>
  <c r="G266" i="23" s="1"/>
  <c r="H272" i="23"/>
  <c r="E333" i="1"/>
  <c r="E332" i="1" s="1"/>
  <c r="E331" i="1" s="1"/>
  <c r="F337" i="1"/>
  <c r="D61" i="36" l="1"/>
  <c r="E40" i="36" l="1"/>
  <c r="F40" i="36"/>
  <c r="H452" i="1"/>
  <c r="H451" i="1" s="1"/>
  <c r="H450" i="1" s="1"/>
  <c r="H417" i="1" s="1"/>
  <c r="J207" i="23"/>
  <c r="J206" i="23" s="1"/>
  <c r="J205" i="23" s="1"/>
  <c r="J204" i="23" s="1"/>
  <c r="J202" i="23" s="1"/>
  <c r="G521" i="23"/>
  <c r="E164" i="1"/>
  <c r="G340" i="23"/>
  <c r="F415" i="1"/>
  <c r="E412" i="1"/>
  <c r="J720" i="23"/>
  <c r="K741" i="23"/>
  <c r="I273" i="1"/>
  <c r="I232" i="1"/>
  <c r="I231" i="1" s="1"/>
  <c r="H232" i="1"/>
  <c r="H231" i="1" s="1"/>
  <c r="H214" i="1" s="1"/>
  <c r="E232" i="1"/>
  <c r="E231" i="1" s="1"/>
  <c r="E214" i="1" s="1"/>
  <c r="J264" i="23"/>
  <c r="J263" i="23" s="1"/>
  <c r="J259" i="23" s="1"/>
  <c r="J258" i="23" s="1"/>
  <c r="J257" i="23" s="1"/>
  <c r="G264" i="23"/>
  <c r="G263" i="23" s="1"/>
  <c r="G259" i="23" s="1"/>
  <c r="G258" i="23" s="1"/>
  <c r="G821" i="23"/>
  <c r="G820" i="23" s="1"/>
  <c r="G819" i="23" s="1"/>
  <c r="G818" i="23" s="1"/>
  <c r="M395" i="23"/>
  <c r="M391" i="23" s="1"/>
  <c r="K397" i="23"/>
  <c r="K396" i="23" s="1"/>
  <c r="K395" i="23" s="1"/>
  <c r="J395" i="23"/>
  <c r="J391" i="23" s="1"/>
  <c r="H386" i="23"/>
  <c r="F389" i="1"/>
  <c r="E528" i="1"/>
  <c r="L508" i="1"/>
  <c r="L507" i="1"/>
  <c r="L506" i="1" s="1"/>
  <c r="L505" i="1" s="1"/>
  <c r="L504" i="1" s="1"/>
  <c r="K506" i="1"/>
  <c r="K505" i="1" s="1"/>
  <c r="K504" i="1" s="1"/>
  <c r="N312" i="23"/>
  <c r="N311" i="23" s="1"/>
  <c r="N310" i="23" s="1"/>
  <c r="N309" i="23" s="1"/>
  <c r="N308" i="23" s="1"/>
  <c r="M310" i="23"/>
  <c r="M309" i="23" s="1"/>
  <c r="M308" i="23" s="1"/>
  <c r="M292" i="23" s="1"/>
  <c r="M291" i="23" s="1"/>
  <c r="J312" i="23"/>
  <c r="J311" i="23" s="1"/>
  <c r="J310" i="23" s="1"/>
  <c r="J309" i="23" s="1"/>
  <c r="J308" i="23" s="1"/>
  <c r="J292" i="23" s="1"/>
  <c r="J291" i="23" s="1"/>
  <c r="H506" i="1"/>
  <c r="H505" i="1" s="1"/>
  <c r="H504" i="1" s="1"/>
  <c r="G508" i="1"/>
  <c r="I376" i="1"/>
  <c r="I375" i="1" s="1"/>
  <c r="H360" i="1"/>
  <c r="H359" i="1" s="1"/>
  <c r="J361" i="23"/>
  <c r="J360" i="23" s="1"/>
  <c r="H379" i="23"/>
  <c r="F378" i="1"/>
  <c r="F328" i="23"/>
  <c r="G332" i="23"/>
  <c r="G207" i="23"/>
  <c r="G206" i="23" s="1"/>
  <c r="G205" i="23" s="1"/>
  <c r="G204" i="23" s="1"/>
  <c r="E452" i="1"/>
  <c r="E451" i="1" s="1"/>
  <c r="E450" i="1" s="1"/>
  <c r="H237" i="23"/>
  <c r="H236" i="23" s="1"/>
  <c r="G235" i="23"/>
  <c r="N237" i="23"/>
  <c r="L237" i="23"/>
  <c r="E441" i="1"/>
  <c r="F443" i="1"/>
  <c r="H25" i="23"/>
  <c r="F26" i="1"/>
  <c r="H659" i="23"/>
  <c r="F300" i="1"/>
  <c r="F396" i="1"/>
  <c r="L389" i="23"/>
  <c r="L388" i="23" s="1"/>
  <c r="K447" i="23"/>
  <c r="K446" i="23" s="1"/>
  <c r="K444" i="23" s="1"/>
  <c r="K443" i="23" s="1"/>
  <c r="K442" i="23" s="1"/>
  <c r="K441" i="23" s="1"/>
  <c r="K440" i="23" s="1"/>
  <c r="K439" i="23" s="1"/>
  <c r="I447" i="23"/>
  <c r="I446" i="23" s="1"/>
  <c r="I444" i="23" s="1"/>
  <c r="I443" i="23" s="1"/>
  <c r="I442" i="23" s="1"/>
  <c r="I441" i="23" s="1"/>
  <c r="I440" i="23" s="1"/>
  <c r="I439" i="23" s="1"/>
  <c r="J395" i="1"/>
  <c r="J394" i="1" s="1"/>
  <c r="I268" i="1"/>
  <c r="I267" i="1" s="1"/>
  <c r="I258" i="1" s="1"/>
  <c r="G268" i="1"/>
  <c r="G267" i="1" s="1"/>
  <c r="G258" i="1" s="1"/>
  <c r="F327" i="23" l="1"/>
  <c r="H328" i="23"/>
  <c r="H327" i="23" s="1"/>
  <c r="J719" i="23"/>
  <c r="J718" i="23" s="1"/>
  <c r="J717" i="23" s="1"/>
  <c r="J716" i="23" s="1"/>
  <c r="J203" i="23"/>
  <c r="G266" i="1"/>
  <c r="G202" i="23"/>
  <c r="G203" i="23"/>
  <c r="K445" i="23"/>
  <c r="I445" i="23"/>
  <c r="M360" i="23"/>
  <c r="N389" i="23"/>
  <c r="K359" i="1"/>
  <c r="L395" i="1"/>
  <c r="H390" i="23" l="1"/>
  <c r="H68" i="23"/>
  <c r="G67" i="23"/>
  <c r="G66" i="23" s="1"/>
  <c r="G65" i="23" s="1"/>
  <c r="G64" i="23" s="1"/>
  <c r="E521" i="1"/>
  <c r="H449" i="23"/>
  <c r="G447" i="23"/>
  <c r="G446" i="23" s="1"/>
  <c r="H235" i="1"/>
  <c r="H234" i="1" s="1"/>
  <c r="F270" i="1"/>
  <c r="E394" i="1" l="1"/>
  <c r="G444" i="23"/>
  <c r="G443" i="23" s="1"/>
  <c r="G442" i="23" s="1"/>
  <c r="G441" i="23" s="1"/>
  <c r="G440" i="23" s="1"/>
  <c r="G439" i="23" s="1"/>
  <c r="G445" i="23"/>
  <c r="G634" i="23" l="1"/>
  <c r="G633" i="23" s="1"/>
  <c r="G620" i="23" s="1"/>
  <c r="G619" i="23" s="1"/>
  <c r="G618" i="23" s="1"/>
  <c r="G617" i="23" s="1"/>
  <c r="G773" i="23"/>
  <c r="G772" i="23" s="1"/>
  <c r="G771" i="23" s="1"/>
  <c r="G770" i="23" s="1"/>
  <c r="G769" i="23" s="1"/>
  <c r="G768" i="23" s="1"/>
  <c r="E154" i="1"/>
  <c r="E148" i="1" s="1"/>
  <c r="F400" i="1" l="1"/>
  <c r="F399" i="1" s="1"/>
  <c r="G381" i="23"/>
  <c r="H383" i="23"/>
  <c r="H330" i="23"/>
  <c r="G326" i="23"/>
  <c r="G325" i="23" s="1"/>
  <c r="G320" i="23" s="1"/>
  <c r="G319" i="23" s="1"/>
  <c r="E398" i="1"/>
  <c r="E397" i="1" s="1"/>
  <c r="F382" i="1"/>
  <c r="L358" i="1"/>
  <c r="I358" i="1"/>
  <c r="K353" i="1"/>
  <c r="K352" i="1" s="1"/>
  <c r="K351" i="1" s="1"/>
  <c r="H353" i="1"/>
  <c r="H352" i="1" s="1"/>
  <c r="H351" i="1" s="1"/>
  <c r="N359" i="23"/>
  <c r="M356" i="23"/>
  <c r="M355" i="23"/>
  <c r="M354" i="23" s="1"/>
  <c r="M353" i="23" s="1"/>
  <c r="M352" i="23" s="1"/>
  <c r="M351" i="23" s="1"/>
  <c r="M290" i="23" s="1"/>
  <c r="J355" i="23"/>
  <c r="J354" i="23" s="1"/>
  <c r="J353" i="23" s="1"/>
  <c r="J352" i="23" s="1"/>
  <c r="J351" i="23" s="1"/>
  <c r="J290" i="23" s="1"/>
  <c r="J356" i="23"/>
  <c r="K359" i="23"/>
  <c r="E380" i="1" l="1"/>
  <c r="I429" i="23" l="1"/>
  <c r="J562" i="1"/>
  <c r="G113" i="1"/>
  <c r="E25" i="1"/>
  <c r="D425" i="1"/>
  <c r="F569" i="1"/>
  <c r="D568" i="1"/>
  <c r="D570" i="1"/>
  <c r="E22" i="1" l="1"/>
  <c r="E21" i="1" s="1"/>
  <c r="I67" i="23" l="1"/>
  <c r="K67" i="23"/>
  <c r="K66" i="23" s="1"/>
  <c r="K65" i="23" s="1"/>
  <c r="K64" i="23" s="1"/>
  <c r="L67" i="23"/>
  <c r="L66" i="23" s="1"/>
  <c r="L65" i="23" s="1"/>
  <c r="L64" i="23" s="1"/>
  <c r="N67" i="23"/>
  <c r="N66" i="23" s="1"/>
  <c r="N65" i="23" s="1"/>
  <c r="N64" i="23" s="1"/>
  <c r="I66" i="23"/>
  <c r="I65" i="23" s="1"/>
  <c r="I64" i="23" s="1"/>
  <c r="N827" i="23"/>
  <c r="K827" i="23"/>
  <c r="M826" i="23"/>
  <c r="J826" i="23"/>
  <c r="G826" i="23"/>
  <c r="G389" i="23"/>
  <c r="G388" i="23" s="1"/>
  <c r="G360" i="23" s="1"/>
  <c r="G353" i="23" s="1"/>
  <c r="G352" i="23" s="1"/>
  <c r="G351" i="23" s="1"/>
  <c r="M806" i="23" l="1"/>
  <c r="M805" i="23" s="1"/>
  <c r="M798" i="23" s="1"/>
  <c r="M797" i="23" s="1"/>
  <c r="M796" i="23" s="1"/>
  <c r="M795" i="23" s="1"/>
  <c r="J806" i="23"/>
  <c r="J805" i="23" s="1"/>
  <c r="J798" i="23" s="1"/>
  <c r="J797" i="23" s="1"/>
  <c r="J796" i="23" s="1"/>
  <c r="J795" i="23" s="1"/>
  <c r="G806" i="23"/>
  <c r="G805" i="23" s="1"/>
  <c r="G798" i="23" s="1"/>
  <c r="G797" i="23" s="1"/>
  <c r="G796" i="23" s="1"/>
  <c r="G795" i="23" s="1"/>
  <c r="M114" i="23"/>
  <c r="M104" i="23" s="1"/>
  <c r="M103" i="23" s="1"/>
  <c r="M69" i="23" s="1"/>
  <c r="J114" i="23"/>
  <c r="J104" i="23" s="1"/>
  <c r="J103" i="23" s="1"/>
  <c r="G114" i="23"/>
  <c r="K115" i="23"/>
  <c r="H115" i="23"/>
  <c r="N26" i="23" l="1"/>
  <c r="L27" i="1"/>
  <c r="L562" i="1"/>
  <c r="I563" i="1"/>
  <c r="L536" i="1" l="1"/>
  <c r="I536" i="1"/>
  <c r="F563" i="1"/>
  <c r="F373" i="1" l="1"/>
  <c r="G475" i="23"/>
  <c r="G474" i="23" s="1"/>
  <c r="E198" i="1"/>
  <c r="E197" i="1" s="1"/>
  <c r="K430" i="23"/>
  <c r="K429" i="23" s="1"/>
  <c r="J429" i="23"/>
  <c r="J423" i="23" s="1"/>
  <c r="J422" i="23" s="1"/>
  <c r="J421" i="23" s="1"/>
  <c r="J420" i="23" s="1"/>
  <c r="J667" i="23"/>
  <c r="J653" i="23" s="1"/>
  <c r="J652" i="23" s="1"/>
  <c r="J651" i="23" s="1"/>
  <c r="J650" i="23" s="1"/>
  <c r="I114" i="1"/>
  <c r="I113" i="1" s="1"/>
  <c r="H308" i="1"/>
  <c r="H67" i="23" l="1"/>
  <c r="H66" i="23" s="1"/>
  <c r="H65" i="23" s="1"/>
  <c r="H64" i="23" s="1"/>
  <c r="F548" i="1" l="1"/>
  <c r="G105" i="23"/>
  <c r="G104" i="23" s="1"/>
  <c r="H107" i="23"/>
  <c r="M815" i="23"/>
  <c r="M814" i="23" s="1"/>
  <c r="M813" i="23" s="1"/>
  <c r="J815" i="23"/>
  <c r="J814" i="23" s="1"/>
  <c r="J813" i="23" s="1"/>
  <c r="G815" i="23"/>
  <c r="G814" i="23" s="1"/>
  <c r="G813" i="23" s="1"/>
  <c r="N816" i="23"/>
  <c r="K816" i="23"/>
  <c r="H816" i="23"/>
  <c r="N756" i="23"/>
  <c r="K756" i="23"/>
  <c r="H756" i="23"/>
  <c r="M755" i="23"/>
  <c r="M754" i="23" s="1"/>
  <c r="M753" i="23" s="1"/>
  <c r="M752" i="23" s="1"/>
  <c r="J755" i="23"/>
  <c r="J754" i="23" s="1"/>
  <c r="J753" i="23" s="1"/>
  <c r="J752" i="23" s="1"/>
  <c r="J751" i="23" s="1"/>
  <c r="J750" i="23" s="1"/>
  <c r="J715" i="23" s="1"/>
  <c r="G755" i="23"/>
  <c r="G754" i="23" s="1"/>
  <c r="G753" i="23" s="1"/>
  <c r="G752" i="23" s="1"/>
  <c r="G751" i="23" s="1"/>
  <c r="G750" i="23" s="1"/>
  <c r="G24" i="23"/>
  <c r="G23" i="23" s="1"/>
  <c r="G22" i="23" s="1"/>
  <c r="G21" i="23" s="1"/>
  <c r="G20" i="23" s="1"/>
  <c r="F532" i="1"/>
  <c r="G286" i="23"/>
  <c r="H287" i="23"/>
  <c r="H347" i="23"/>
  <c r="F570" i="1"/>
  <c r="H346" i="23" l="1"/>
  <c r="H345" i="23" s="1"/>
  <c r="M812" i="23"/>
  <c r="M811" i="23"/>
  <c r="M810" i="23" s="1"/>
  <c r="J811" i="23"/>
  <c r="J810" i="23" s="1"/>
  <c r="J812" i="23"/>
  <c r="G812" i="23"/>
  <c r="G811" i="23"/>
  <c r="G810" i="23" s="1"/>
  <c r="G226" i="23"/>
  <c r="G212" i="23" s="1"/>
  <c r="E432" i="1"/>
  <c r="E418" i="1" s="1"/>
  <c r="F425" i="1"/>
  <c r="H219" i="23"/>
  <c r="G743" i="23"/>
  <c r="E275" i="1"/>
  <c r="E235" i="1" s="1"/>
  <c r="E234" i="1" s="1"/>
  <c r="F54" i="23"/>
  <c r="F217" i="23"/>
  <c r="F216" i="23" s="1"/>
  <c r="F224" i="23"/>
  <c r="F365" i="23"/>
  <c r="F437" i="23"/>
  <c r="F559" i="23"/>
  <c r="L637" i="23"/>
  <c r="I637" i="23"/>
  <c r="F637" i="23"/>
  <c r="L835" i="23"/>
  <c r="I835" i="23"/>
  <c r="F835" i="23"/>
  <c r="D399" i="1"/>
  <c r="D158" i="1"/>
  <c r="G158" i="1"/>
  <c r="D170" i="1"/>
  <c r="D362" i="1"/>
  <c r="G415" i="1"/>
  <c r="D423" i="1"/>
  <c r="D422" i="1" s="1"/>
  <c r="D430" i="1"/>
  <c r="J544" i="1"/>
  <c r="G544" i="1"/>
  <c r="D544" i="1"/>
  <c r="D550" i="1"/>
  <c r="D566" i="1"/>
  <c r="H329" i="23" l="1"/>
  <c r="F329" i="23"/>
  <c r="N18" i="23" l="1"/>
  <c r="K18" i="23"/>
  <c r="L24" i="1"/>
  <c r="I24" i="1"/>
  <c r="I343" i="23" l="1"/>
  <c r="K343" i="23" l="1"/>
  <c r="I415" i="1"/>
  <c r="K198" i="1" l="1"/>
  <c r="H365" i="23" l="1"/>
  <c r="F364" i="1"/>
  <c r="N224" i="23" l="1"/>
  <c r="N223" i="23" s="1"/>
  <c r="L224" i="23"/>
  <c r="L223" i="23" s="1"/>
  <c r="K224" i="23"/>
  <c r="K223" i="23" s="1"/>
  <c r="I224" i="23"/>
  <c r="I223" i="23" s="1"/>
  <c r="H224" i="23"/>
  <c r="H223" i="23" s="1"/>
  <c r="F223" i="23"/>
  <c r="L430" i="1"/>
  <c r="L429" i="1" s="1"/>
  <c r="J430" i="1"/>
  <c r="J429" i="1" s="1"/>
  <c r="I430" i="1"/>
  <c r="I429" i="1" s="1"/>
  <c r="G430" i="1"/>
  <c r="G429" i="1" s="1"/>
  <c r="F430" i="1"/>
  <c r="F429" i="1" s="1"/>
  <c r="D429" i="1"/>
  <c r="H198" i="1" l="1"/>
  <c r="H363" i="23"/>
  <c r="F363" i="23"/>
  <c r="F362" i="1"/>
  <c r="N217" i="23" l="1"/>
  <c r="N216" i="23" s="1"/>
  <c r="L217" i="23"/>
  <c r="L216" i="23" s="1"/>
  <c r="K217" i="23"/>
  <c r="I217" i="23"/>
  <c r="I216" i="23" s="1"/>
  <c r="H217" i="23"/>
  <c r="H216" i="23" s="1"/>
  <c r="K216" i="23"/>
  <c r="L423" i="1"/>
  <c r="L422" i="1" s="1"/>
  <c r="J423" i="1"/>
  <c r="J422" i="1" s="1"/>
  <c r="I423" i="1"/>
  <c r="I422" i="1" s="1"/>
  <c r="G423" i="1"/>
  <c r="G422" i="1" s="1"/>
  <c r="F423" i="1"/>
  <c r="F422" i="1" s="1"/>
  <c r="G825" i="23"/>
  <c r="H835" i="23"/>
  <c r="J825" i="23"/>
  <c r="K835" i="23"/>
  <c r="M825" i="23"/>
  <c r="N835" i="23"/>
  <c r="L544" i="1"/>
  <c r="I544" i="1"/>
  <c r="F544" i="1"/>
  <c r="N776" i="23"/>
  <c r="N774" i="23" s="1"/>
  <c r="N773" i="23" s="1"/>
  <c r="N772" i="23" s="1"/>
  <c r="N771" i="23" s="1"/>
  <c r="N770" i="23" s="1"/>
  <c r="N769" i="23" s="1"/>
  <c r="N768" i="23" s="1"/>
  <c r="K776" i="23"/>
  <c r="K774" i="23" s="1"/>
  <c r="K773" i="23" s="1"/>
  <c r="K772" i="23" s="1"/>
  <c r="K771" i="23" s="1"/>
  <c r="K770" i="23" s="1"/>
  <c r="K769" i="23" s="1"/>
  <c r="K768" i="23" s="1"/>
  <c r="H776" i="23"/>
  <c r="H774" i="23" s="1"/>
  <c r="I774" i="23"/>
  <c r="I773" i="23" s="1"/>
  <c r="I772" i="23" s="1"/>
  <c r="I771" i="23" s="1"/>
  <c r="I770" i="23" s="1"/>
  <c r="I769" i="23" s="1"/>
  <c r="I768" i="23" s="1"/>
  <c r="J672" i="23"/>
  <c r="L774" i="23"/>
  <c r="L773" i="23" s="1"/>
  <c r="L772" i="23" s="1"/>
  <c r="L771" i="23" s="1"/>
  <c r="L770" i="23" s="1"/>
  <c r="L769" i="23" s="1"/>
  <c r="L768" i="23" s="1"/>
  <c r="N639" i="23"/>
  <c r="N638" i="23"/>
  <c r="K639" i="23"/>
  <c r="K638" i="23"/>
  <c r="H639" i="23"/>
  <c r="H638" i="23"/>
  <c r="L160" i="1"/>
  <c r="L159" i="1"/>
  <c r="L158" i="1" s="1"/>
  <c r="J158" i="1"/>
  <c r="I160" i="1"/>
  <c r="I159" i="1"/>
  <c r="F160" i="1"/>
  <c r="F159" i="1"/>
  <c r="H428" i="23"/>
  <c r="F112" i="1"/>
  <c r="H437" i="23"/>
  <c r="H436" i="23" s="1"/>
  <c r="H435" i="23" s="1"/>
  <c r="F436" i="23"/>
  <c r="F435" i="23" s="1"/>
  <c r="I436" i="23"/>
  <c r="I435" i="23" s="1"/>
  <c r="J419" i="23"/>
  <c r="J418" i="23" s="1"/>
  <c r="K436" i="23"/>
  <c r="K435" i="23" s="1"/>
  <c r="L436" i="23"/>
  <c r="L435" i="23" s="1"/>
  <c r="N436" i="23"/>
  <c r="N435" i="23" s="1"/>
  <c r="G566" i="1"/>
  <c r="I566" i="1"/>
  <c r="J566" i="1"/>
  <c r="L566" i="1"/>
  <c r="F566" i="1"/>
  <c r="H54" i="23"/>
  <c r="I54" i="23"/>
  <c r="K54" i="23"/>
  <c r="L54" i="23"/>
  <c r="N54" i="23"/>
  <c r="G19" i="23"/>
  <c r="F551" i="1"/>
  <c r="G550" i="1"/>
  <c r="I550" i="1"/>
  <c r="J550" i="1"/>
  <c r="L550" i="1"/>
  <c r="H773" i="23" l="1"/>
  <c r="H772" i="23" s="1"/>
  <c r="H771" i="23" s="1"/>
  <c r="H770" i="23" s="1"/>
  <c r="H769" i="23" s="1"/>
  <c r="H768" i="23" s="1"/>
  <c r="H637" i="23"/>
  <c r="K637" i="23"/>
  <c r="F158" i="1"/>
  <c r="I158" i="1"/>
  <c r="H528" i="1"/>
  <c r="K528" i="1"/>
  <c r="F550" i="1" l="1"/>
  <c r="H559" i="23"/>
  <c r="G553" i="23"/>
  <c r="G520" i="23" s="1"/>
  <c r="G519" i="23" s="1"/>
  <c r="G518" i="23" s="1"/>
  <c r="G497" i="23" s="1"/>
  <c r="F170" i="1"/>
  <c r="L766" i="23"/>
  <c r="I559" i="23"/>
  <c r="F658" i="23" l="1"/>
  <c r="F657" i="23" s="1"/>
  <c r="F362" i="23"/>
  <c r="F338" i="23"/>
  <c r="F249" i="23"/>
  <c r="F248" i="23" s="1"/>
  <c r="J67" i="1"/>
  <c r="G67" i="1"/>
  <c r="G170" i="1"/>
  <c r="D459" i="1" l="1"/>
  <c r="D458" i="1" s="1"/>
  <c r="D361" i="1"/>
  <c r="D299" i="1"/>
  <c r="D298" i="1" s="1"/>
  <c r="D67" i="1"/>
  <c r="K11" i="1" l="1"/>
  <c r="H11" i="1"/>
  <c r="E11" i="1"/>
  <c r="E64" i="1"/>
  <c r="E63" i="1" s="1"/>
  <c r="K197" i="1"/>
  <c r="E359" i="1"/>
  <c r="E417" i="1"/>
  <c r="K467" i="1"/>
  <c r="H467" i="1"/>
  <c r="M751" i="23" l="1"/>
  <c r="M750" i="23" s="1"/>
  <c r="M715" i="23" s="1"/>
  <c r="M672" i="23" s="1"/>
  <c r="E351" i="1"/>
  <c r="E62" i="1"/>
  <c r="H76" i="1"/>
  <c r="H62" i="1" s="1"/>
  <c r="H197" i="1"/>
  <c r="H10" i="1" l="1"/>
  <c r="K10" i="1"/>
  <c r="E10" i="1"/>
  <c r="G720" i="23" l="1"/>
  <c r="G654" i="23"/>
  <c r="J554" i="23"/>
  <c r="J553" i="23" s="1"/>
  <c r="J520" i="23" s="1"/>
  <c r="J519" i="23" s="1"/>
  <c r="J518" i="23" s="1"/>
  <c r="J497" i="23" s="1"/>
  <c r="G471" i="23"/>
  <c r="G285" i="23"/>
  <c r="G257" i="23" s="1"/>
  <c r="G211" i="23"/>
  <c r="G210" i="23" s="1"/>
  <c r="G209" i="23" s="1"/>
  <c r="J162" i="23"/>
  <c r="J161" i="23" s="1"/>
  <c r="J69" i="23"/>
  <c r="G103" i="23"/>
  <c r="G69" i="23" s="1"/>
  <c r="G11" i="23" s="1"/>
  <c r="M11" i="23"/>
  <c r="H362" i="23"/>
  <c r="H338" i="23"/>
  <c r="N507" i="23"/>
  <c r="K507" i="23"/>
  <c r="H507" i="23"/>
  <c r="N526" i="23"/>
  <c r="K526" i="23"/>
  <c r="H526" i="23"/>
  <c r="H658" i="23"/>
  <c r="H657" i="23" s="1"/>
  <c r="F405" i="1"/>
  <c r="N834" i="23"/>
  <c r="K834" i="23"/>
  <c r="H834" i="23"/>
  <c r="G719" i="23" l="1"/>
  <c r="G718" i="23" s="1"/>
  <c r="G717" i="23" s="1"/>
  <c r="G716" i="23" s="1"/>
  <c r="G715" i="23" s="1"/>
  <c r="G672" i="23" s="1"/>
  <c r="J488" i="23"/>
  <c r="J824" i="23"/>
  <c r="J823" i="23" s="1"/>
  <c r="J809" i="23" s="1"/>
  <c r="J808" i="23" s="1"/>
  <c r="G318" i="23"/>
  <c r="G824" i="23"/>
  <c r="G823" i="23" s="1"/>
  <c r="G809" i="23" s="1"/>
  <c r="G808" i="23" s="1"/>
  <c r="M824" i="23"/>
  <c r="M823" i="23" s="1"/>
  <c r="M809" i="23" s="1"/>
  <c r="M808" i="23" s="1"/>
  <c r="J11" i="23"/>
  <c r="G653" i="23"/>
  <c r="G652" i="23" s="1"/>
  <c r="G651" i="23" s="1"/>
  <c r="G650" i="23" s="1"/>
  <c r="G488" i="23" s="1"/>
  <c r="G470" i="23"/>
  <c r="G469" i="23" s="1"/>
  <c r="G468" i="23" s="1"/>
  <c r="G450" i="23" s="1"/>
  <c r="J176" i="23"/>
  <c r="G284" i="23"/>
  <c r="G176" i="23"/>
  <c r="L81" i="1"/>
  <c r="I81" i="1"/>
  <c r="F81" i="1"/>
  <c r="L69" i="1"/>
  <c r="L67" i="1" s="1"/>
  <c r="I69" i="1"/>
  <c r="I67" i="1" s="1"/>
  <c r="F69" i="1"/>
  <c r="F67" i="1" s="1"/>
  <c r="F361" i="1"/>
  <c r="G290" i="23" l="1"/>
  <c r="G10" i="23" s="1"/>
  <c r="J10" i="23"/>
  <c r="J837" i="23" s="1"/>
  <c r="M10" i="23"/>
  <c r="M837" i="23" s="1"/>
  <c r="I543" i="1"/>
  <c r="H521" i="1"/>
  <c r="H576" i="1" s="1"/>
  <c r="F543" i="1"/>
  <c r="E576" i="1"/>
  <c r="L543" i="1"/>
  <c r="K521" i="1"/>
  <c r="K576" i="1" s="1"/>
  <c r="F299" i="1"/>
  <c r="F298" i="1" s="1"/>
  <c r="G837" i="23" l="1"/>
  <c r="F410" i="1"/>
  <c r="L410" i="1"/>
  <c r="J410" i="1"/>
  <c r="I410" i="1"/>
  <c r="G410" i="1"/>
  <c r="D410" i="1"/>
  <c r="H75" i="23" l="1"/>
  <c r="F15" i="1"/>
  <c r="K559" i="23"/>
  <c r="I170" i="1"/>
  <c r="H106" i="23" l="1"/>
  <c r="F547" i="1"/>
  <c r="N766" i="23" l="1"/>
  <c r="H249" i="23" l="1"/>
  <c r="H248" i="23" s="1"/>
  <c r="F459" i="1"/>
  <c r="F458" i="1" s="1"/>
  <c r="N487" i="23" l="1"/>
  <c r="K487" i="23"/>
  <c r="H487" i="23"/>
  <c r="F121" i="1"/>
  <c r="I481" i="1"/>
  <c r="L564" i="1" l="1"/>
  <c r="L560" i="1"/>
  <c r="L558" i="1"/>
  <c r="L556" i="1"/>
  <c r="L554" i="1"/>
  <c r="L546" i="1"/>
  <c r="L542" i="1"/>
  <c r="L540" i="1"/>
  <c r="L538" i="1"/>
  <c r="L537" i="1"/>
  <c r="L535" i="1" s="1"/>
  <c r="L533" i="1"/>
  <c r="L531" i="1" s="1"/>
  <c r="L529" i="1"/>
  <c r="L527" i="1"/>
  <c r="L525" i="1" s="1"/>
  <c r="L524" i="1"/>
  <c r="L523" i="1" s="1"/>
  <c r="L518" i="1"/>
  <c r="L515" i="1"/>
  <c r="L514" i="1"/>
  <c r="L512" i="1"/>
  <c r="L502" i="1"/>
  <c r="L501" i="1" s="1"/>
  <c r="L499" i="1"/>
  <c r="L497" i="1"/>
  <c r="L495" i="1"/>
  <c r="L494" i="1" s="1"/>
  <c r="L493" i="1"/>
  <c r="L492" i="1" s="1"/>
  <c r="L488" i="1"/>
  <c r="L487" i="1"/>
  <c r="L486" i="1" s="1"/>
  <c r="L484" i="1"/>
  <c r="L479" i="1"/>
  <c r="L478" i="1"/>
  <c r="L477" i="1" s="1"/>
  <c r="L473" i="1"/>
  <c r="L472" i="1"/>
  <c r="L471" i="1" s="1"/>
  <c r="L468" i="1"/>
  <c r="L462" i="1"/>
  <c r="L456" i="1"/>
  <c r="L455" i="1" s="1"/>
  <c r="L454" i="1" s="1"/>
  <c r="L451" i="1"/>
  <c r="L450" i="1" s="1"/>
  <c r="L443" i="1"/>
  <c r="L442" i="1" s="1"/>
  <c r="L441" i="1" s="1"/>
  <c r="L437" i="1"/>
  <c r="L434" i="1"/>
  <c r="L433" i="1"/>
  <c r="L420" i="1"/>
  <c r="L419" i="1" s="1"/>
  <c r="L413" i="1"/>
  <c r="L412" i="1" s="1"/>
  <c r="L402" i="1"/>
  <c r="L400" i="1"/>
  <c r="L399" i="1" s="1"/>
  <c r="L394" i="1"/>
  <c r="L392" i="1"/>
  <c r="L391" i="1" s="1"/>
  <c r="L383" i="1"/>
  <c r="L381" i="1"/>
  <c r="L367" i="1"/>
  <c r="L365" i="1"/>
  <c r="L355" i="1"/>
  <c r="L354" i="1"/>
  <c r="L353" i="1" s="1"/>
  <c r="L352" i="1" s="1"/>
  <c r="L349" i="1"/>
  <c r="L347" i="1"/>
  <c r="L345" i="1"/>
  <c r="L343" i="1"/>
  <c r="L340" i="1"/>
  <c r="L339" i="1" s="1"/>
  <c r="L336" i="1"/>
  <c r="L334" i="1"/>
  <c r="L329" i="1"/>
  <c r="L326" i="1"/>
  <c r="L323" i="1"/>
  <c r="L322" i="1"/>
  <c r="L318" i="1"/>
  <c r="L316" i="1"/>
  <c r="L308" i="1"/>
  <c r="L302" i="1"/>
  <c r="L301" i="1" s="1"/>
  <c r="L296" i="1"/>
  <c r="L295" i="1" s="1"/>
  <c r="L292" i="1"/>
  <c r="L291" i="1" s="1"/>
  <c r="L290" i="1" s="1"/>
  <c r="L287" i="1"/>
  <c r="L286" i="1" s="1"/>
  <c r="L284" i="1"/>
  <c r="L280" i="1"/>
  <c r="L279" i="1" s="1"/>
  <c r="L277" i="1"/>
  <c r="L276" i="1" s="1"/>
  <c r="L256" i="1"/>
  <c r="L255" i="1" s="1"/>
  <c r="L253" i="1"/>
  <c r="L251" i="1"/>
  <c r="L249" i="1"/>
  <c r="L248" i="1" s="1"/>
  <c r="L247" i="1" s="1"/>
  <c r="L246" i="1"/>
  <c r="L245" i="1" s="1"/>
  <c r="L244" i="1" s="1"/>
  <c r="L241" i="1"/>
  <c r="L240" i="1" s="1"/>
  <c r="L239" i="1" s="1"/>
  <c r="L238" i="1"/>
  <c r="L237" i="1" s="1"/>
  <c r="L236" i="1" s="1"/>
  <c r="L232" i="1"/>
  <c r="L231" i="1" s="1"/>
  <c r="L228" i="1"/>
  <c r="L227" i="1" s="1"/>
  <c r="L225" i="1"/>
  <c r="L223" i="1"/>
  <c r="L218" i="1"/>
  <c r="L217" i="1"/>
  <c r="L216" i="1" s="1"/>
  <c r="L209" i="1"/>
  <c r="L207" i="1"/>
  <c r="L202" i="1"/>
  <c r="L201" i="1" s="1"/>
  <c r="L199" i="1"/>
  <c r="L194" i="1"/>
  <c r="L193" i="1" s="1"/>
  <c r="L190" i="1"/>
  <c r="L189" i="1" s="1"/>
  <c r="L186" i="1"/>
  <c r="L185" i="1" s="1"/>
  <c r="L182" i="1"/>
  <c r="L181" i="1" s="1"/>
  <c r="L178" i="1"/>
  <c r="L177" i="1" s="1"/>
  <c r="L176" i="1" s="1"/>
  <c r="L167" i="1"/>
  <c r="L166" i="1" s="1"/>
  <c r="L165" i="1" s="1"/>
  <c r="L164" i="1" s="1"/>
  <c r="L155" i="1"/>
  <c r="L154" i="1" s="1"/>
  <c r="L152" i="1"/>
  <c r="L150" i="1"/>
  <c r="L144" i="1"/>
  <c r="L142" i="1"/>
  <c r="L140" i="1"/>
  <c r="L136" i="1"/>
  <c r="L134" i="1"/>
  <c r="L132" i="1"/>
  <c r="L130" i="1"/>
  <c r="L128" i="1"/>
  <c r="L127" i="1"/>
  <c r="L126" i="1" s="1"/>
  <c r="L125" i="1"/>
  <c r="L124" i="1" s="1"/>
  <c r="L120" i="1"/>
  <c r="L119" i="1" s="1"/>
  <c r="L116" i="1"/>
  <c r="L115" i="1"/>
  <c r="L107" i="1" s="1"/>
  <c r="L103" i="1"/>
  <c r="L101" i="1"/>
  <c r="L99" i="1"/>
  <c r="L97" i="1"/>
  <c r="L95" i="1"/>
  <c r="L93" i="1"/>
  <c r="L91" i="1"/>
  <c r="L89" i="1"/>
  <c r="L87" i="1"/>
  <c r="L83" i="1"/>
  <c r="L82" i="1"/>
  <c r="L80" i="1"/>
  <c r="L79" i="1"/>
  <c r="L78" i="1" s="1"/>
  <c r="L72" i="1"/>
  <c r="L66" i="1"/>
  <c r="L65" i="1" s="1"/>
  <c r="L58" i="1"/>
  <c r="L57" i="1" s="1"/>
  <c r="L56" i="1" s="1"/>
  <c r="L48" i="1"/>
  <c r="L46" i="1"/>
  <c r="L28" i="1"/>
  <c r="L25" i="1"/>
  <c r="L23" i="1"/>
  <c r="L19" i="1"/>
  <c r="L17" i="1"/>
  <c r="L14" i="1"/>
  <c r="L13" i="1" s="1"/>
  <c r="I564" i="1"/>
  <c r="I562" i="1"/>
  <c r="I560" i="1"/>
  <c r="I558" i="1"/>
  <c r="I556" i="1"/>
  <c r="I554" i="1"/>
  <c r="I546" i="1"/>
  <c r="I542" i="1"/>
  <c r="I540" i="1"/>
  <c r="I538" i="1"/>
  <c r="I537" i="1"/>
  <c r="I535" i="1" s="1"/>
  <c r="I533" i="1"/>
  <c r="I531" i="1" s="1"/>
  <c r="I529" i="1"/>
  <c r="I525" i="1"/>
  <c r="I522" i="1" s="1"/>
  <c r="I518" i="1"/>
  <c r="I515" i="1"/>
  <c r="I514" i="1"/>
  <c r="I512" i="1"/>
  <c r="I507" i="1"/>
  <c r="I506" i="1" s="1"/>
  <c r="I505" i="1" s="1"/>
  <c r="I504" i="1" s="1"/>
  <c r="I502" i="1"/>
  <c r="I501" i="1" s="1"/>
  <c r="I499" i="1"/>
  <c r="I497" i="1"/>
  <c r="I495" i="1"/>
  <c r="I494" i="1" s="1"/>
  <c r="I493" i="1"/>
  <c r="I492" i="1" s="1"/>
  <c r="I488" i="1"/>
  <c r="I487" i="1"/>
  <c r="I486" i="1" s="1"/>
  <c r="I484" i="1"/>
  <c r="I479" i="1"/>
  <c r="I478" i="1"/>
  <c r="I477" i="1" s="1"/>
  <c r="I473" i="1"/>
  <c r="I472" i="1"/>
  <c r="I471" i="1" s="1"/>
  <c r="I468" i="1"/>
  <c r="I462" i="1"/>
  <c r="I456" i="1"/>
  <c r="I455" i="1" s="1"/>
  <c r="I454" i="1" s="1"/>
  <c r="I452" i="1"/>
  <c r="I451" i="1" s="1"/>
  <c r="I450" i="1" s="1"/>
  <c r="I446" i="1"/>
  <c r="I445" i="1" s="1"/>
  <c r="I444" i="1" s="1"/>
  <c r="I442" i="1"/>
  <c r="I441" i="1" s="1"/>
  <c r="I439" i="1"/>
  <c r="I437" i="1"/>
  <c r="I434" i="1"/>
  <c r="I433" i="1"/>
  <c r="I420" i="1"/>
  <c r="I419" i="1" s="1"/>
  <c r="I413" i="1"/>
  <c r="I412" i="1" s="1"/>
  <c r="I407" i="1"/>
  <c r="I406" i="1" s="1"/>
  <c r="I402" i="1"/>
  <c r="I399" i="1"/>
  <c r="I395" i="1"/>
  <c r="I394" i="1" s="1"/>
  <c r="I392" i="1"/>
  <c r="I391" i="1" s="1"/>
  <c r="I383" i="1"/>
  <c r="I381" i="1"/>
  <c r="I367" i="1"/>
  <c r="I365" i="1"/>
  <c r="I360" i="1" s="1"/>
  <c r="I355" i="1"/>
  <c r="I354" i="1"/>
  <c r="I353" i="1" s="1"/>
  <c r="I352" i="1" s="1"/>
  <c r="I349" i="1"/>
  <c r="I347" i="1"/>
  <c r="I345" i="1"/>
  <c r="I343" i="1"/>
  <c r="I340" i="1"/>
  <c r="I339" i="1" s="1"/>
  <c r="I336" i="1"/>
  <c r="I334" i="1"/>
  <c r="I329" i="1"/>
  <c r="I326" i="1"/>
  <c r="I323" i="1"/>
  <c r="I322" i="1"/>
  <c r="I318" i="1"/>
  <c r="I316" i="1"/>
  <c r="I310" i="1"/>
  <c r="I309" i="1" s="1"/>
  <c r="I308" i="1" s="1"/>
  <c r="I303" i="1"/>
  <c r="I302" i="1" s="1"/>
  <c r="I301" i="1" s="1"/>
  <c r="I296" i="1"/>
  <c r="I295" i="1" s="1"/>
  <c r="I292" i="1"/>
  <c r="I291" i="1" s="1"/>
  <c r="I290" i="1" s="1"/>
  <c r="I289" i="1"/>
  <c r="I287" i="1" s="1"/>
  <c r="I286" i="1" s="1"/>
  <c r="I285" i="1"/>
  <c r="I284" i="1" s="1"/>
  <c r="I280" i="1"/>
  <c r="I279" i="1" s="1"/>
  <c r="I277" i="1"/>
  <c r="I276" i="1" s="1"/>
  <c r="I256" i="1"/>
  <c r="I255" i="1" s="1"/>
  <c r="I254" i="1"/>
  <c r="I253" i="1" s="1"/>
  <c r="I251" i="1"/>
  <c r="I249" i="1"/>
  <c r="I248" i="1" s="1"/>
  <c r="I247" i="1" s="1"/>
  <c r="I246" i="1"/>
  <c r="I245" i="1" s="1"/>
  <c r="I244" i="1" s="1"/>
  <c r="I241" i="1"/>
  <c r="I240" i="1" s="1"/>
  <c r="I239" i="1" s="1"/>
  <c r="I238" i="1"/>
  <c r="I237" i="1" s="1"/>
  <c r="I236" i="1" s="1"/>
  <c r="I228" i="1"/>
  <c r="I227" i="1" s="1"/>
  <c r="I225" i="1"/>
  <c r="I223" i="1"/>
  <c r="I218" i="1"/>
  <c r="I217" i="1"/>
  <c r="I216" i="1" s="1"/>
  <c r="I209" i="1"/>
  <c r="I207" i="1"/>
  <c r="I202" i="1"/>
  <c r="I201" i="1" s="1"/>
  <c r="I199" i="1"/>
  <c r="I194" i="1"/>
  <c r="I193" i="1" s="1"/>
  <c r="I190" i="1"/>
  <c r="I189" i="1" s="1"/>
  <c r="I186" i="1"/>
  <c r="I185" i="1" s="1"/>
  <c r="I182" i="1"/>
  <c r="I181" i="1" s="1"/>
  <c r="I178" i="1"/>
  <c r="I177" i="1" s="1"/>
  <c r="I176" i="1" s="1"/>
  <c r="I167" i="1"/>
  <c r="I166" i="1" s="1"/>
  <c r="I155" i="1"/>
  <c r="I154" i="1" s="1"/>
  <c r="I152" i="1"/>
  <c r="I150" i="1"/>
  <c r="I144" i="1"/>
  <c r="I143" i="1"/>
  <c r="I142" i="1" s="1"/>
  <c r="I140" i="1"/>
  <c r="I136" i="1"/>
  <c r="I134" i="1"/>
  <c r="I130" i="1"/>
  <c r="I128" i="1"/>
  <c r="I127" i="1"/>
  <c r="I126" i="1" s="1"/>
  <c r="I125" i="1"/>
  <c r="I124" i="1" s="1"/>
  <c r="I120" i="1"/>
  <c r="I119" i="1" s="1"/>
  <c r="I116" i="1"/>
  <c r="I115" i="1" s="1"/>
  <c r="I108" i="1"/>
  <c r="I103" i="1"/>
  <c r="I101" i="1"/>
  <c r="I99" i="1"/>
  <c r="I97" i="1"/>
  <c r="I95" i="1"/>
  <c r="I93" i="1"/>
  <c r="I91" i="1"/>
  <c r="I89" i="1"/>
  <c r="I87" i="1"/>
  <c r="I83" i="1"/>
  <c r="I82" i="1"/>
  <c r="I80" i="1"/>
  <c r="I79" i="1"/>
  <c r="I78" i="1" s="1"/>
  <c r="I72" i="1"/>
  <c r="I66" i="1"/>
  <c r="I65" i="1" s="1"/>
  <c r="I60" i="1"/>
  <c r="I58" i="1"/>
  <c r="I48" i="1"/>
  <c r="I46" i="1"/>
  <c r="I28" i="1"/>
  <c r="I25" i="1"/>
  <c r="I23" i="1"/>
  <c r="I19" i="1"/>
  <c r="I17" i="1"/>
  <c r="I15" i="1"/>
  <c r="I14" i="1" s="1"/>
  <c r="I13" i="1" s="1"/>
  <c r="F568" i="1"/>
  <c r="F564" i="1"/>
  <c r="F562" i="1"/>
  <c r="F560" i="1"/>
  <c r="F558" i="1"/>
  <c r="F556" i="1"/>
  <c r="F546" i="1"/>
  <c r="F542" i="1"/>
  <c r="F540" i="1"/>
  <c r="F538" i="1"/>
  <c r="F537" i="1"/>
  <c r="F535" i="1" s="1"/>
  <c r="F533" i="1"/>
  <c r="F531" i="1" s="1"/>
  <c r="F529" i="1"/>
  <c r="F525" i="1"/>
  <c r="F522" i="1" s="1"/>
  <c r="F519" i="1"/>
  <c r="F518" i="1" s="1"/>
  <c r="F515" i="1"/>
  <c r="F514" i="1" s="1"/>
  <c r="F512" i="1"/>
  <c r="F506" i="1"/>
  <c r="F505" i="1" s="1"/>
  <c r="F504" i="1" s="1"/>
  <c r="F502" i="1"/>
  <c r="F501" i="1" s="1"/>
  <c r="F499" i="1"/>
  <c r="F497" i="1"/>
  <c r="F495" i="1"/>
  <c r="F494" i="1" s="1"/>
  <c r="F493" i="1"/>
  <c r="F492" i="1" s="1"/>
  <c r="F488" i="1"/>
  <c r="F486" i="1"/>
  <c r="F484" i="1"/>
  <c r="F479" i="1"/>
  <c r="F478" i="1"/>
  <c r="F477" i="1" s="1"/>
  <c r="F473" i="1"/>
  <c r="F472" i="1"/>
  <c r="F471" i="1" s="1"/>
  <c r="F469" i="1"/>
  <c r="F468" i="1" s="1"/>
  <c r="F465" i="1"/>
  <c r="F463" i="1"/>
  <c r="F456" i="1"/>
  <c r="F455" i="1" s="1"/>
  <c r="F452" i="1"/>
  <c r="F451" i="1" s="1"/>
  <c r="F450" i="1" s="1"/>
  <c r="F446" i="1"/>
  <c r="F445" i="1" s="1"/>
  <c r="F444" i="1" s="1"/>
  <c r="F442" i="1"/>
  <c r="F441" i="1" s="1"/>
  <c r="F437" i="1"/>
  <c r="F434" i="1"/>
  <c r="F433" i="1"/>
  <c r="F420" i="1"/>
  <c r="F419" i="1" s="1"/>
  <c r="F413" i="1"/>
  <c r="F412" i="1" s="1"/>
  <c r="F407" i="1"/>
  <c r="F406" i="1" s="1"/>
  <c r="F404" i="1"/>
  <c r="F395" i="1"/>
  <c r="F394" i="1" s="1"/>
  <c r="F392" i="1"/>
  <c r="F391" i="1" s="1"/>
  <c r="F387" i="1"/>
  <c r="F383" i="1"/>
  <c r="F381" i="1"/>
  <c r="F370" i="1"/>
  <c r="F369" i="1" s="1"/>
  <c r="F355" i="1"/>
  <c r="F354" i="1"/>
  <c r="F353" i="1" s="1"/>
  <c r="F352" i="1" s="1"/>
  <c r="F349" i="1"/>
  <c r="F347" i="1"/>
  <c r="F343" i="1"/>
  <c r="F340" i="1"/>
  <c r="F339" i="1" s="1"/>
  <c r="F336" i="1"/>
  <c r="F334" i="1"/>
  <c r="F329" i="1"/>
  <c r="F326" i="1"/>
  <c r="F323" i="1"/>
  <c r="F322" i="1"/>
  <c r="F318" i="1"/>
  <c r="F315" i="1" s="1"/>
  <c r="F314" i="1" s="1"/>
  <c r="F308" i="1"/>
  <c r="F303" i="1"/>
  <c r="F302" i="1" s="1"/>
  <c r="F301" i="1" s="1"/>
  <c r="F296" i="1"/>
  <c r="F295" i="1" s="1"/>
  <c r="F292" i="1"/>
  <c r="F291" i="1" s="1"/>
  <c r="F290" i="1" s="1"/>
  <c r="F289" i="1"/>
  <c r="F287" i="1" s="1"/>
  <c r="F286" i="1" s="1"/>
  <c r="F285" i="1"/>
  <c r="F284" i="1" s="1"/>
  <c r="F280" i="1"/>
  <c r="F279" i="1" s="1"/>
  <c r="F277" i="1"/>
  <c r="F276" i="1" s="1"/>
  <c r="F268" i="1"/>
  <c r="F267" i="1" s="1"/>
  <c r="F266" i="1" s="1"/>
  <c r="F262" i="1"/>
  <c r="F258" i="1" s="1"/>
  <c r="F256" i="1"/>
  <c r="F255" i="1" s="1"/>
  <c r="F253" i="1"/>
  <c r="F251" i="1"/>
  <c r="F249" i="1"/>
  <c r="F248" i="1" s="1"/>
  <c r="F247" i="1" s="1"/>
  <c r="F245" i="1"/>
  <c r="F244" i="1" s="1"/>
  <c r="F240" i="1"/>
  <c r="F239" i="1" s="1"/>
  <c r="F237" i="1"/>
  <c r="F236" i="1" s="1"/>
  <c r="F232" i="1"/>
  <c r="F231" i="1" s="1"/>
  <c r="F228" i="1"/>
  <c r="F227" i="1" s="1"/>
  <c r="F225" i="1"/>
  <c r="F223" i="1"/>
  <c r="F221" i="1"/>
  <c r="F220" i="1" s="1"/>
  <c r="F218" i="1"/>
  <c r="F217" i="1"/>
  <c r="F216" i="1" s="1"/>
  <c r="F209" i="1"/>
  <c r="F207" i="1"/>
  <c r="F202" i="1"/>
  <c r="F201" i="1" s="1"/>
  <c r="F199" i="1"/>
  <c r="F194" i="1"/>
  <c r="F193" i="1" s="1"/>
  <c r="F190" i="1"/>
  <c r="F189" i="1" s="1"/>
  <c r="F186" i="1"/>
  <c r="F185" i="1" s="1"/>
  <c r="F182" i="1"/>
  <c r="F181" i="1" s="1"/>
  <c r="F178" i="1"/>
  <c r="F177" i="1" s="1"/>
  <c r="F176" i="1" s="1"/>
  <c r="F167" i="1"/>
  <c r="F166" i="1" s="1"/>
  <c r="F165" i="1" s="1"/>
  <c r="F155" i="1"/>
  <c r="F154" i="1" s="1"/>
  <c r="F152" i="1"/>
  <c r="F150" i="1"/>
  <c r="F144" i="1"/>
  <c r="F143" i="1"/>
  <c r="F142" i="1" s="1"/>
  <c r="F140" i="1"/>
  <c r="F136" i="1"/>
  <c r="F130" i="1"/>
  <c r="F128" i="1"/>
  <c r="F127" i="1"/>
  <c r="F126" i="1" s="1"/>
  <c r="F124" i="1"/>
  <c r="F120" i="1"/>
  <c r="F119" i="1" s="1"/>
  <c r="F109" i="1"/>
  <c r="F108" i="1"/>
  <c r="F107" i="1" s="1"/>
  <c r="F103" i="1"/>
  <c r="F101" i="1"/>
  <c r="F99" i="1"/>
  <c r="F97" i="1"/>
  <c r="F95" i="1"/>
  <c r="F93" i="1"/>
  <c r="F91" i="1"/>
  <c r="F89" i="1"/>
  <c r="F87" i="1"/>
  <c r="F83" i="1"/>
  <c r="F82" i="1"/>
  <c r="F80" i="1"/>
  <c r="F78" i="1"/>
  <c r="F72" i="1"/>
  <c r="F65" i="1"/>
  <c r="F60" i="1"/>
  <c r="F58" i="1"/>
  <c r="F48" i="1"/>
  <c r="F46" i="1"/>
  <c r="F28" i="1"/>
  <c r="F25" i="1"/>
  <c r="F23" i="1"/>
  <c r="F19" i="1"/>
  <c r="F17" i="1"/>
  <c r="F14" i="1"/>
  <c r="F13" i="1" s="1"/>
  <c r="N833" i="23"/>
  <c r="N831" i="23"/>
  <c r="N829" i="23"/>
  <c r="N828" i="23"/>
  <c r="N826" i="23" s="1"/>
  <c r="N821" i="23"/>
  <c r="N820" i="23" s="1"/>
  <c r="N819" i="23" s="1"/>
  <c r="N818" i="23" s="1"/>
  <c r="N806" i="23"/>
  <c r="N805" i="23" s="1"/>
  <c r="N804" i="23"/>
  <c r="N802" i="23" s="1"/>
  <c r="N801" i="23"/>
  <c r="N800" i="23" s="1"/>
  <c r="N793" i="23"/>
  <c r="N792" i="23" s="1"/>
  <c r="N791" i="23" s="1"/>
  <c r="N790" i="23" s="1"/>
  <c r="N789" i="23" s="1"/>
  <c r="N788" i="23" s="1"/>
  <c r="N787" i="23" s="1"/>
  <c r="N785" i="23"/>
  <c r="N784" i="23" s="1"/>
  <c r="N783" i="23" s="1"/>
  <c r="N782" i="23" s="1"/>
  <c r="N781" i="23" s="1"/>
  <c r="N780" i="23" s="1"/>
  <c r="N765" i="23"/>
  <c r="N763" i="23"/>
  <c r="N761" i="23"/>
  <c r="N748" i="23"/>
  <c r="N747" i="23" s="1"/>
  <c r="N745" i="23"/>
  <c r="N744" i="23" s="1"/>
  <c r="N731" i="23"/>
  <c r="N730" i="23"/>
  <c r="N729" i="23" s="1"/>
  <c r="N728" i="23" s="1"/>
  <c r="N725" i="23"/>
  <c r="N724" i="23" s="1"/>
  <c r="N723" i="23" s="1"/>
  <c r="N722" i="23"/>
  <c r="N721" i="23" s="1"/>
  <c r="N720" i="23" s="1"/>
  <c r="N713" i="23"/>
  <c r="N712" i="23" s="1"/>
  <c r="N711" i="23" s="1"/>
  <c r="N710" i="23" s="1"/>
  <c r="N709" i="23" s="1"/>
  <c r="N708" i="23" s="1"/>
  <c r="N705" i="23"/>
  <c r="N704" i="23" s="1"/>
  <c r="N702" i="23"/>
  <c r="N696" i="23"/>
  <c r="N695" i="23" s="1"/>
  <c r="N694" i="23" s="1"/>
  <c r="N693" i="23" s="1"/>
  <c r="N692" i="23" s="1"/>
  <c r="N691" i="23" s="1"/>
  <c r="N690" i="23" s="1"/>
  <c r="N686" i="23"/>
  <c r="N685" i="23" s="1"/>
  <c r="N682" i="23"/>
  <c r="N681" i="23" s="1"/>
  <c r="N678" i="23"/>
  <c r="N677" i="23" s="1"/>
  <c r="N667" i="23"/>
  <c r="N661" i="23"/>
  <c r="N660" i="23" s="1"/>
  <c r="N655" i="23"/>
  <c r="N654" i="23" s="1"/>
  <c r="N648" i="23"/>
  <c r="N647" i="23" s="1"/>
  <c r="N646" i="23" s="1"/>
  <c r="N645" i="23" s="1"/>
  <c r="N644" i="23" s="1"/>
  <c r="N643" i="23" s="1"/>
  <c r="N635" i="23"/>
  <c r="N631" i="23"/>
  <c r="N629" i="23"/>
  <c r="N627" i="23"/>
  <c r="N623" i="23"/>
  <c r="N622" i="23" s="1"/>
  <c r="N621" i="23" s="1"/>
  <c r="N615" i="23"/>
  <c r="N614" i="23" s="1"/>
  <c r="N613" i="23" s="1"/>
  <c r="N611" i="23"/>
  <c r="N609" i="23"/>
  <c r="N603" i="23"/>
  <c r="N601" i="23"/>
  <c r="N599" i="23"/>
  <c r="N595" i="23"/>
  <c r="N593" i="23"/>
  <c r="N591" i="23"/>
  <c r="N589" i="23"/>
  <c r="N587" i="23"/>
  <c r="N571" i="23"/>
  <c r="N570" i="23" s="1"/>
  <c r="N569" i="23"/>
  <c r="N568" i="23" s="1"/>
  <c r="N554" i="23"/>
  <c r="N553" i="23" s="1"/>
  <c r="N551" i="23"/>
  <c r="N550" i="23" s="1"/>
  <c r="N549" i="23" s="1"/>
  <c r="N547" i="23"/>
  <c r="N546" i="23" s="1"/>
  <c r="N543" i="23"/>
  <c r="N542" i="23" s="1"/>
  <c r="N540" i="23"/>
  <c r="N536" i="23"/>
  <c r="N534" i="23"/>
  <c r="N532" i="23"/>
  <c r="N528" i="23"/>
  <c r="N527" i="23"/>
  <c r="N525" i="23"/>
  <c r="N524" i="23"/>
  <c r="N523" i="23" s="1"/>
  <c r="N512" i="23"/>
  <c r="N511" i="23" s="1"/>
  <c r="N510" i="23" s="1"/>
  <c r="N508" i="23"/>
  <c r="N505" i="23"/>
  <c r="N504" i="23"/>
  <c r="N503" i="23" s="1"/>
  <c r="N494" i="23"/>
  <c r="N493" i="23" s="1"/>
  <c r="N492" i="23" s="1"/>
  <c r="N491" i="23" s="1"/>
  <c r="N490" i="23" s="1"/>
  <c r="N489" i="23" s="1"/>
  <c r="N486" i="23"/>
  <c r="N485" i="23" s="1"/>
  <c r="N484" i="23" s="1"/>
  <c r="N483" i="23" s="1"/>
  <c r="N482" i="23" s="1"/>
  <c r="N480" i="23"/>
  <c r="N479" i="23" s="1"/>
  <c r="N475" i="23"/>
  <c r="N474" i="23" s="1"/>
  <c r="N472" i="23"/>
  <c r="N466" i="23"/>
  <c r="N465" i="23" s="1"/>
  <c r="N464" i="23" s="1"/>
  <c r="N461" i="23"/>
  <c r="N460" i="23" s="1"/>
  <c r="N456" i="23"/>
  <c r="N455" i="23" s="1"/>
  <c r="N454" i="23" s="1"/>
  <c r="N453" i="23" s="1"/>
  <c r="N452" i="23" s="1"/>
  <c r="N451" i="23" s="1"/>
  <c r="N444" i="23"/>
  <c r="N443" i="23" s="1"/>
  <c r="N442" i="23" s="1"/>
  <c r="N441" i="23" s="1"/>
  <c r="N440" i="23" s="1"/>
  <c r="N439" i="23" s="1"/>
  <c r="N432" i="23"/>
  <c r="N431" i="23"/>
  <c r="N423" i="23" s="1"/>
  <c r="N422" i="23" s="1"/>
  <c r="N421" i="23" s="1"/>
  <c r="N420" i="23" s="1"/>
  <c r="N419" i="23" s="1"/>
  <c r="N418" i="23" s="1"/>
  <c r="N403" i="23"/>
  <c r="N402" i="23"/>
  <c r="N401" i="23" s="1"/>
  <c r="N397" i="23"/>
  <c r="N396" i="23"/>
  <c r="N395" i="23" s="1"/>
  <c r="N392" i="23"/>
  <c r="N388" i="23"/>
  <c r="N382" i="23"/>
  <c r="N381" i="23" s="1"/>
  <c r="N372" i="23"/>
  <c r="N370" i="23"/>
  <c r="N356" i="23"/>
  <c r="N355" i="23"/>
  <c r="N354" i="23" s="1"/>
  <c r="N341" i="23"/>
  <c r="N340" i="23" s="1"/>
  <c r="N332" i="23"/>
  <c r="N330" i="23"/>
  <c r="N329" i="23" s="1"/>
  <c r="N322" i="23"/>
  <c r="N321" i="23" s="1"/>
  <c r="N316" i="23"/>
  <c r="N315" i="23" s="1"/>
  <c r="N314" i="23" s="1"/>
  <c r="N302" i="23"/>
  <c r="N300" i="23"/>
  <c r="N297" i="23"/>
  <c r="N295" i="23"/>
  <c r="N288" i="23"/>
  <c r="N286" i="23" s="1"/>
  <c r="N285" i="23" s="1"/>
  <c r="N284" i="23" s="1"/>
  <c r="N281" i="23"/>
  <c r="N278" i="23"/>
  <c r="N277" i="23"/>
  <c r="N275" i="23"/>
  <c r="N271" i="23"/>
  <c r="N269" i="23"/>
  <c r="N264" i="23"/>
  <c r="N263" i="23" s="1"/>
  <c r="N262" i="23"/>
  <c r="N261" i="23" s="1"/>
  <c r="N260" i="23" s="1"/>
  <c r="N255" i="23"/>
  <c r="N253" i="23"/>
  <c r="N252" i="23" s="1"/>
  <c r="N246" i="23"/>
  <c r="N245" i="23" s="1"/>
  <c r="N244" i="23" s="1"/>
  <c r="N236" i="23"/>
  <c r="N235" i="23" s="1"/>
  <c r="N233" i="23"/>
  <c r="N231" i="23"/>
  <c r="N228" i="23"/>
  <c r="N227" i="23"/>
  <c r="N214" i="23"/>
  <c r="N213" i="23" s="1"/>
  <c r="N207" i="23"/>
  <c r="N206" i="23" s="1"/>
  <c r="N205" i="23" s="1"/>
  <c r="N204" i="23" s="1"/>
  <c r="N200" i="23"/>
  <c r="N199" i="23" s="1"/>
  <c r="N198" i="23" s="1"/>
  <c r="N196" i="23"/>
  <c r="N195" i="23" s="1"/>
  <c r="N194" i="23" s="1"/>
  <c r="N193" i="23" s="1"/>
  <c r="N191" i="23"/>
  <c r="N189" i="23"/>
  <c r="N187" i="23"/>
  <c r="N185" i="23"/>
  <c r="N182" i="23"/>
  <c r="N181" i="23" s="1"/>
  <c r="N174" i="23"/>
  <c r="N173" i="23" s="1"/>
  <c r="N172" i="23" s="1"/>
  <c r="N170" i="23"/>
  <c r="N167" i="23"/>
  <c r="N163" i="23"/>
  <c r="N159" i="23"/>
  <c r="N157" i="23"/>
  <c r="N150" i="23"/>
  <c r="N148" i="23"/>
  <c r="N146" i="23"/>
  <c r="N145" i="23" s="1"/>
  <c r="N144" i="23"/>
  <c r="N143" i="23" s="1"/>
  <c r="N136" i="23"/>
  <c r="N135" i="23"/>
  <c r="N134" i="23" s="1"/>
  <c r="N132" i="23"/>
  <c r="N124" i="23"/>
  <c r="N123" i="23" s="1"/>
  <c r="N122" i="23" s="1"/>
  <c r="N121" i="23" s="1"/>
  <c r="N120" i="23" s="1"/>
  <c r="N119" i="23" s="1"/>
  <c r="N118" i="23" s="1"/>
  <c r="N116" i="23"/>
  <c r="N114" i="23"/>
  <c r="N110" i="23"/>
  <c r="N105" i="23"/>
  <c r="N98" i="23"/>
  <c r="N97" i="23" s="1"/>
  <c r="N94" i="23"/>
  <c r="N93" i="23" s="1"/>
  <c r="N92" i="23" s="1"/>
  <c r="N87" i="23"/>
  <c r="N86" i="23" s="1"/>
  <c r="N83" i="23"/>
  <c r="N82" i="23" s="1"/>
  <c r="N81" i="23" s="1"/>
  <c r="N79" i="23"/>
  <c r="N77" i="23"/>
  <c r="N74" i="23"/>
  <c r="N73" i="23" s="1"/>
  <c r="N62" i="23"/>
  <c r="N61" i="23" s="1"/>
  <c r="N60" i="23" s="1"/>
  <c r="N59" i="23" s="1"/>
  <c r="N58" i="23" s="1"/>
  <c r="N57" i="23" s="1"/>
  <c r="N52" i="23"/>
  <c r="N47" i="23"/>
  <c r="N46" i="23" s="1"/>
  <c r="N45" i="23" s="1"/>
  <c r="N40" i="23"/>
  <c r="N37" i="23"/>
  <c r="N35" i="23"/>
  <c r="N32" i="23"/>
  <c r="N29" i="23"/>
  <c r="N17" i="23"/>
  <c r="N16" i="23" s="1"/>
  <c r="N15" i="23" s="1"/>
  <c r="N14" i="23" s="1"/>
  <c r="N13" i="23" s="1"/>
  <c r="N12" i="23" s="1"/>
  <c r="K833" i="23"/>
  <c r="K831" i="23"/>
  <c r="K829" i="23"/>
  <c r="K828" i="23"/>
  <c r="K826" i="23" s="1"/>
  <c r="K821" i="23"/>
  <c r="K820" i="23" s="1"/>
  <c r="K819" i="23" s="1"/>
  <c r="K818" i="23" s="1"/>
  <c r="K806" i="23"/>
  <c r="K805" i="23" s="1"/>
  <c r="K802" i="23"/>
  <c r="K799" i="23" s="1"/>
  <c r="K793" i="23"/>
  <c r="K792" i="23" s="1"/>
  <c r="K791" i="23" s="1"/>
  <c r="K790" i="23" s="1"/>
  <c r="K789" i="23" s="1"/>
  <c r="K788" i="23" s="1"/>
  <c r="K787" i="23" s="1"/>
  <c r="K785" i="23"/>
  <c r="K784" i="23" s="1"/>
  <c r="K783" i="23" s="1"/>
  <c r="K782" i="23" s="1"/>
  <c r="K781" i="23" s="1"/>
  <c r="K780" i="23" s="1"/>
  <c r="K766" i="23"/>
  <c r="K765" i="23" s="1"/>
  <c r="K764" i="23"/>
  <c r="K763" i="23" s="1"/>
  <c r="K761" i="23"/>
  <c r="K748" i="23"/>
  <c r="K747" i="23" s="1"/>
  <c r="K745" i="23"/>
  <c r="K744" i="23" s="1"/>
  <c r="K733" i="23"/>
  <c r="K732" i="23" s="1"/>
  <c r="K731" i="23" s="1"/>
  <c r="K730" i="23"/>
  <c r="K729" i="23" s="1"/>
  <c r="K728" i="23" s="1"/>
  <c r="K725" i="23"/>
  <c r="K724" i="23" s="1"/>
  <c r="K723" i="23" s="1"/>
  <c r="K722" i="23"/>
  <c r="K721" i="23" s="1"/>
  <c r="K720" i="23" s="1"/>
  <c r="K713" i="23"/>
  <c r="K712" i="23" s="1"/>
  <c r="K711" i="23" s="1"/>
  <c r="K710" i="23" s="1"/>
  <c r="K709" i="23" s="1"/>
  <c r="K708" i="23" s="1"/>
  <c r="K707" i="23"/>
  <c r="K705" i="23" s="1"/>
  <c r="K704" i="23" s="1"/>
  <c r="K703" i="23"/>
  <c r="K702" i="23" s="1"/>
  <c r="K696" i="23"/>
  <c r="K695" i="23" s="1"/>
  <c r="K694" i="23" s="1"/>
  <c r="K693" i="23" s="1"/>
  <c r="K692" i="23" s="1"/>
  <c r="K691" i="23" s="1"/>
  <c r="K690" i="23" s="1"/>
  <c r="K686" i="23"/>
  <c r="K685" i="23" s="1"/>
  <c r="K682" i="23"/>
  <c r="K681" i="23" s="1"/>
  <c r="K679" i="23"/>
  <c r="K678" i="23" s="1"/>
  <c r="K677" i="23" s="1"/>
  <c r="K667" i="23"/>
  <c r="K662" i="23"/>
  <c r="K661" i="23" s="1"/>
  <c r="K660" i="23" s="1"/>
  <c r="K655" i="23"/>
  <c r="K654" i="23" s="1"/>
  <c r="K648" i="23"/>
  <c r="K647" i="23" s="1"/>
  <c r="K646" i="23" s="1"/>
  <c r="K645" i="23" s="1"/>
  <c r="K644" i="23" s="1"/>
  <c r="K643" i="23" s="1"/>
  <c r="K635" i="23"/>
  <c r="K634" i="23" s="1"/>
  <c r="K633" i="23" s="1"/>
  <c r="K631" i="23"/>
  <c r="K629" i="23"/>
  <c r="K627" i="23"/>
  <c r="K623" i="23"/>
  <c r="K622" i="23" s="1"/>
  <c r="K621" i="23" s="1"/>
  <c r="K615" i="23"/>
  <c r="K614" i="23" s="1"/>
  <c r="K613" i="23" s="1"/>
  <c r="K611" i="23"/>
  <c r="K609" i="23"/>
  <c r="K603" i="23"/>
  <c r="K601" i="23"/>
  <c r="K599" i="23"/>
  <c r="K595" i="23"/>
  <c r="K593" i="23"/>
  <c r="K589" i="23"/>
  <c r="K587" i="23"/>
  <c r="K583" i="23"/>
  <c r="K581" i="23" s="1"/>
  <c r="K580" i="23" s="1"/>
  <c r="K579" i="23" s="1"/>
  <c r="K578" i="23" s="1"/>
  <c r="K573" i="23" s="1"/>
  <c r="K572" i="23" s="1"/>
  <c r="K571" i="23"/>
  <c r="K570" i="23" s="1"/>
  <c r="K569" i="23"/>
  <c r="K568" i="23" s="1"/>
  <c r="K556" i="23"/>
  <c r="K555" i="23" s="1"/>
  <c r="K551" i="23"/>
  <c r="K550" i="23" s="1"/>
  <c r="K549" i="23" s="1"/>
  <c r="K547" i="23"/>
  <c r="K546" i="23" s="1"/>
  <c r="K543" i="23"/>
  <c r="K542" i="23" s="1"/>
  <c r="K540" i="23"/>
  <c r="K536" i="23"/>
  <c r="K534" i="23"/>
  <c r="K532" i="23"/>
  <c r="K528" i="23"/>
  <c r="K527" i="23"/>
  <c r="K525" i="23"/>
  <c r="K524" i="23"/>
  <c r="K523" i="23" s="1"/>
  <c r="K512" i="23"/>
  <c r="K511" i="23" s="1"/>
  <c r="K510" i="23" s="1"/>
  <c r="K508" i="23"/>
  <c r="K505" i="23"/>
  <c r="K504" i="23"/>
  <c r="K503" i="23" s="1"/>
  <c r="K495" i="23"/>
  <c r="K494" i="23" s="1"/>
  <c r="K493" i="23" s="1"/>
  <c r="K492" i="23" s="1"/>
  <c r="K491" i="23" s="1"/>
  <c r="K490" i="23" s="1"/>
  <c r="K489" i="23" s="1"/>
  <c r="K486" i="23"/>
  <c r="K485" i="23" s="1"/>
  <c r="K484" i="23" s="1"/>
  <c r="K483" i="23" s="1"/>
  <c r="K482" i="23" s="1"/>
  <c r="K480" i="23"/>
  <c r="K479" i="23" s="1"/>
  <c r="K472" i="23"/>
  <c r="K471" i="23" s="1"/>
  <c r="K466" i="23"/>
  <c r="K465" i="23" s="1"/>
  <c r="K464" i="23" s="1"/>
  <c r="K461" i="23"/>
  <c r="K460" i="23" s="1"/>
  <c r="K456" i="23"/>
  <c r="K455" i="23" s="1"/>
  <c r="K454" i="23" s="1"/>
  <c r="K453" i="23" s="1"/>
  <c r="K452" i="23" s="1"/>
  <c r="K451" i="23" s="1"/>
  <c r="K425" i="23"/>
  <c r="K424" i="23"/>
  <c r="K423" i="23" s="1"/>
  <c r="K422" i="23" s="1"/>
  <c r="K421" i="23" s="1"/>
  <c r="K420" i="23" s="1"/>
  <c r="K419" i="23" s="1"/>
  <c r="K418" i="23" s="1"/>
  <c r="K403" i="23"/>
  <c r="K402" i="23"/>
  <c r="K401" i="23" s="1"/>
  <c r="K392" i="23"/>
  <c r="K389" i="23"/>
  <c r="K388" i="23" s="1"/>
  <c r="K382" i="23"/>
  <c r="K381" i="23" s="1"/>
  <c r="K372" i="23"/>
  <c r="K370" i="23"/>
  <c r="K356" i="23"/>
  <c r="K355" i="23"/>
  <c r="K354" i="23" s="1"/>
  <c r="K341" i="23"/>
  <c r="K340" i="23" s="1"/>
  <c r="K335" i="23"/>
  <c r="K334" i="23" s="1"/>
  <c r="K332" i="23"/>
  <c r="K329" i="23"/>
  <c r="K323" i="23"/>
  <c r="K322" i="23" s="1"/>
  <c r="K321" i="23" s="1"/>
  <c r="K316" i="23"/>
  <c r="K315" i="23" s="1"/>
  <c r="K314" i="23" s="1"/>
  <c r="K312" i="23"/>
  <c r="K311" i="23" s="1"/>
  <c r="K310" i="23" s="1"/>
  <c r="K309" i="23" s="1"/>
  <c r="K308" i="23" s="1"/>
  <c r="K305" i="23"/>
  <c r="K304" i="23" s="1"/>
  <c r="K302" i="23"/>
  <c r="K300" i="23"/>
  <c r="K297" i="23"/>
  <c r="K295" i="23"/>
  <c r="K288" i="23"/>
  <c r="K286" i="23" s="1"/>
  <c r="K285" i="23" s="1"/>
  <c r="K284" i="23" s="1"/>
  <c r="K281" i="23"/>
  <c r="K278" i="23"/>
  <c r="K277" i="23"/>
  <c r="K275" i="23"/>
  <c r="K271" i="23"/>
  <c r="K269" i="23"/>
  <c r="K264" i="23"/>
  <c r="K263" i="23" s="1"/>
  <c r="K262" i="23"/>
  <c r="K261" i="23" s="1"/>
  <c r="K260" i="23" s="1"/>
  <c r="K255" i="23"/>
  <c r="K253" i="23"/>
  <c r="K252" i="23" s="1"/>
  <c r="K246" i="23"/>
  <c r="K245" i="23" s="1"/>
  <c r="K244" i="23" s="1"/>
  <c r="K240" i="23"/>
  <c r="K239" i="23" s="1"/>
  <c r="K238" i="23" s="1"/>
  <c r="K235" i="23"/>
  <c r="K233" i="23"/>
  <c r="K231" i="23"/>
  <c r="K228" i="23"/>
  <c r="K227" i="23"/>
  <c r="K214" i="23"/>
  <c r="K213" i="23" s="1"/>
  <c r="K207" i="23"/>
  <c r="K206" i="23" s="1"/>
  <c r="K205" i="23" s="1"/>
  <c r="K204" i="23" s="1"/>
  <c r="K200" i="23"/>
  <c r="K199" i="23" s="1"/>
  <c r="K198" i="23" s="1"/>
  <c r="K196" i="23"/>
  <c r="K195" i="23" s="1"/>
  <c r="K194" i="23" s="1"/>
  <c r="K193" i="23" s="1"/>
  <c r="K191" i="23"/>
  <c r="K189" i="23"/>
  <c r="K187" i="23"/>
  <c r="K185" i="23"/>
  <c r="K182" i="23"/>
  <c r="K181" i="23" s="1"/>
  <c r="K174" i="23"/>
  <c r="K173" i="23" s="1"/>
  <c r="K172" i="23" s="1"/>
  <c r="K170" i="23"/>
  <c r="K167" i="23"/>
  <c r="K163" i="23"/>
  <c r="K159" i="23"/>
  <c r="K157" i="23"/>
  <c r="K150" i="23"/>
  <c r="K148" i="23"/>
  <c r="K146" i="23"/>
  <c r="K145" i="23" s="1"/>
  <c r="K144" i="23"/>
  <c r="K143" i="23" s="1"/>
  <c r="K136" i="23"/>
  <c r="K135" i="23"/>
  <c r="K134" i="23" s="1"/>
  <c r="K132" i="23"/>
  <c r="K124" i="23"/>
  <c r="K123" i="23" s="1"/>
  <c r="K122" i="23" s="1"/>
  <c r="K121" i="23" s="1"/>
  <c r="K120" i="23" s="1"/>
  <c r="K119" i="23" s="1"/>
  <c r="K118" i="23" s="1"/>
  <c r="K116" i="23"/>
  <c r="K114" i="23"/>
  <c r="K110" i="23"/>
  <c r="K105" i="23"/>
  <c r="K100" i="23"/>
  <c r="K99" i="23" s="1"/>
  <c r="K98" i="23" s="1"/>
  <c r="K97" i="23" s="1"/>
  <c r="K94" i="23"/>
  <c r="K93" i="23" s="1"/>
  <c r="K92" i="23" s="1"/>
  <c r="K90" i="23"/>
  <c r="K88" i="23"/>
  <c r="K83" i="23"/>
  <c r="K82" i="23" s="1"/>
  <c r="K81" i="23" s="1"/>
  <c r="K79" i="23"/>
  <c r="K77" i="23"/>
  <c r="K75" i="23"/>
  <c r="K74" i="23" s="1"/>
  <c r="K73" i="23" s="1"/>
  <c r="K62" i="23"/>
  <c r="K61" i="23" s="1"/>
  <c r="K60" i="23" s="1"/>
  <c r="K59" i="23" s="1"/>
  <c r="K58" i="23" s="1"/>
  <c r="K57" i="23" s="1"/>
  <c r="K52" i="23"/>
  <c r="K47" i="23"/>
  <c r="K46" i="23" s="1"/>
  <c r="K45" i="23" s="1"/>
  <c r="K40" i="23"/>
  <c r="K37" i="23"/>
  <c r="K35" i="23"/>
  <c r="K32" i="23"/>
  <c r="K29" i="23"/>
  <c r="K17" i="23"/>
  <c r="K16" i="23" s="1"/>
  <c r="K15" i="23" s="1"/>
  <c r="K14" i="23" s="1"/>
  <c r="K13" i="23" s="1"/>
  <c r="K12" i="23" s="1"/>
  <c r="H833" i="23"/>
  <c r="H831" i="23"/>
  <c r="H829" i="23"/>
  <c r="H828" i="23"/>
  <c r="H826" i="23" s="1"/>
  <c r="H821" i="23"/>
  <c r="H820" i="23" s="1"/>
  <c r="H819" i="23" s="1"/>
  <c r="H818" i="23" s="1"/>
  <c r="H806" i="23"/>
  <c r="H805" i="23" s="1"/>
  <c r="H802" i="23"/>
  <c r="H799" i="23" s="1"/>
  <c r="H793" i="23"/>
  <c r="H792" i="23" s="1"/>
  <c r="H791" i="23" s="1"/>
  <c r="H790" i="23" s="1"/>
  <c r="H789" i="23" s="1"/>
  <c r="H788" i="23" s="1"/>
  <c r="H787" i="23" s="1"/>
  <c r="H785" i="23"/>
  <c r="H784" i="23" s="1"/>
  <c r="H783" i="23" s="1"/>
  <c r="H782" i="23" s="1"/>
  <c r="H781" i="23" s="1"/>
  <c r="H780" i="23" s="1"/>
  <c r="H766" i="23"/>
  <c r="H765" i="23" s="1"/>
  <c r="H763" i="23"/>
  <c r="H761" i="23"/>
  <c r="H748" i="23"/>
  <c r="H747" i="23" s="1"/>
  <c r="H745" i="23"/>
  <c r="H744" i="23" s="1"/>
  <c r="H735" i="23"/>
  <c r="H733" i="23" s="1"/>
  <c r="H732" i="23" s="1"/>
  <c r="H731" i="23" s="1"/>
  <c r="H729" i="23"/>
  <c r="H728" i="23" s="1"/>
  <c r="H724" i="23"/>
  <c r="H723" i="23" s="1"/>
  <c r="H713" i="23"/>
  <c r="H712" i="23" s="1"/>
  <c r="H711" i="23" s="1"/>
  <c r="H710" i="23" s="1"/>
  <c r="H709" i="23" s="1"/>
  <c r="H708" i="23" s="1"/>
  <c r="H707" i="23"/>
  <c r="H705" i="23" s="1"/>
  <c r="H704" i="23" s="1"/>
  <c r="H703" i="23"/>
  <c r="H702" i="23" s="1"/>
  <c r="H696" i="23"/>
  <c r="H695" i="23" s="1"/>
  <c r="H694" i="23" s="1"/>
  <c r="H693" i="23" s="1"/>
  <c r="H692" i="23" s="1"/>
  <c r="H691" i="23" s="1"/>
  <c r="H690" i="23" s="1"/>
  <c r="H686" i="23"/>
  <c r="H685" i="23" s="1"/>
  <c r="H682" i="23"/>
  <c r="H681" i="23" s="1"/>
  <c r="H678" i="23"/>
  <c r="H677" i="23" s="1"/>
  <c r="H667" i="23"/>
  <c r="H662" i="23"/>
  <c r="H661" i="23" s="1"/>
  <c r="H660" i="23" s="1"/>
  <c r="H655" i="23"/>
  <c r="H654" i="23" s="1"/>
  <c r="H648" i="23"/>
  <c r="H647" i="23" s="1"/>
  <c r="H646" i="23" s="1"/>
  <c r="H645" i="23" s="1"/>
  <c r="H644" i="23" s="1"/>
  <c r="H643" i="23" s="1"/>
  <c r="H635" i="23"/>
  <c r="H631" i="23"/>
  <c r="H629" i="23"/>
  <c r="H627" i="23"/>
  <c r="H623" i="23"/>
  <c r="H622" i="23" s="1"/>
  <c r="H621" i="23" s="1"/>
  <c r="H615" i="23"/>
  <c r="H614" i="23" s="1"/>
  <c r="H613" i="23" s="1"/>
  <c r="H611" i="23"/>
  <c r="H609" i="23"/>
  <c r="H603" i="23"/>
  <c r="H601" i="23"/>
  <c r="H599" i="23"/>
  <c r="H595" i="23"/>
  <c r="H593" i="23"/>
  <c r="H589" i="23"/>
  <c r="H587" i="23"/>
  <c r="H583" i="23"/>
  <c r="H581" i="23" s="1"/>
  <c r="H580" i="23" s="1"/>
  <c r="H579" i="23" s="1"/>
  <c r="H578" i="23" s="1"/>
  <c r="H571" i="23"/>
  <c r="H570" i="23" s="1"/>
  <c r="H568" i="23"/>
  <c r="H556" i="23"/>
  <c r="H555" i="23" s="1"/>
  <c r="H554" i="23" s="1"/>
  <c r="H551" i="23"/>
  <c r="H550" i="23" s="1"/>
  <c r="H549" i="23" s="1"/>
  <c r="H547" i="23"/>
  <c r="H546" i="23" s="1"/>
  <c r="H543" i="23"/>
  <c r="H542" i="23" s="1"/>
  <c r="H540" i="23"/>
  <c r="H536" i="23"/>
  <c r="H534" i="23"/>
  <c r="H532" i="23"/>
  <c r="H528" i="23"/>
  <c r="H527" i="23"/>
  <c r="H525" i="23"/>
  <c r="H523" i="23"/>
  <c r="H512" i="23"/>
  <c r="H511" i="23" s="1"/>
  <c r="H510" i="23" s="1"/>
  <c r="H508" i="23"/>
  <c r="H505" i="23"/>
  <c r="H503" i="23"/>
  <c r="H494" i="23"/>
  <c r="H493" i="23" s="1"/>
  <c r="H492" i="23" s="1"/>
  <c r="H491" i="23" s="1"/>
  <c r="H490" i="23" s="1"/>
  <c r="H489" i="23" s="1"/>
  <c r="H486" i="23"/>
  <c r="H485" i="23" s="1"/>
  <c r="H484" i="23" s="1"/>
  <c r="H483" i="23" s="1"/>
  <c r="H482" i="23" s="1"/>
  <c r="H480" i="23"/>
  <c r="H479" i="23" s="1"/>
  <c r="H475" i="23"/>
  <c r="H474" i="23" s="1"/>
  <c r="H472" i="23"/>
  <c r="H466" i="23"/>
  <c r="H465" i="23" s="1"/>
  <c r="H464" i="23" s="1"/>
  <c r="H461" i="23"/>
  <c r="H460" i="23" s="1"/>
  <c r="H456" i="23"/>
  <c r="H455" i="23" s="1"/>
  <c r="H454" i="23" s="1"/>
  <c r="H453" i="23" s="1"/>
  <c r="H452" i="23" s="1"/>
  <c r="H451" i="23" s="1"/>
  <c r="H447" i="23"/>
  <c r="H446" i="23" s="1"/>
  <c r="H444" i="23" s="1"/>
  <c r="H443" i="23" s="1"/>
  <c r="H442" i="23" s="1"/>
  <c r="H441" i="23" s="1"/>
  <c r="H440" i="23" s="1"/>
  <c r="H439" i="23" s="1"/>
  <c r="H425" i="23"/>
  <c r="H424" i="23"/>
  <c r="H423" i="23" s="1"/>
  <c r="H422" i="23" s="1"/>
  <c r="H421" i="23" s="1"/>
  <c r="H420" i="23" s="1"/>
  <c r="H419" i="23" s="1"/>
  <c r="H418" i="23" s="1"/>
  <c r="H416" i="23"/>
  <c r="H415" i="23" s="1"/>
  <c r="H414" i="23" s="1"/>
  <c r="H413" i="23" s="1"/>
  <c r="H412" i="23" s="1"/>
  <c r="H411" i="23" s="1"/>
  <c r="H410" i="23" s="1"/>
  <c r="H403" i="23"/>
  <c r="H402" i="23"/>
  <c r="H401" i="23" s="1"/>
  <c r="H397" i="23"/>
  <c r="H396" i="23"/>
  <c r="H395" i="23" s="1"/>
  <c r="H393" i="23"/>
  <c r="H392" i="23" s="1"/>
  <c r="H389" i="23"/>
  <c r="H388" i="23" s="1"/>
  <c r="H382" i="23"/>
  <c r="H367" i="23"/>
  <c r="H366" i="23" s="1"/>
  <c r="H356" i="23"/>
  <c r="H355" i="23"/>
  <c r="H354" i="23" s="1"/>
  <c r="H341" i="23"/>
  <c r="H340" i="23" s="1"/>
  <c r="H335" i="23"/>
  <c r="H334" i="23" s="1"/>
  <c r="H323" i="23"/>
  <c r="H322" i="23" s="1"/>
  <c r="H321" i="23" s="1"/>
  <c r="H316" i="23"/>
  <c r="H315" i="23" s="1"/>
  <c r="H314" i="23" s="1"/>
  <c r="H310" i="23"/>
  <c r="H309" i="23" s="1"/>
  <c r="H308" i="23" s="1"/>
  <c r="H300" i="23"/>
  <c r="H298" i="23"/>
  <c r="H297" i="23" s="1"/>
  <c r="H295" i="23"/>
  <c r="H288" i="23"/>
  <c r="H286" i="23" s="1"/>
  <c r="H285" i="23" s="1"/>
  <c r="H284" i="23" s="1"/>
  <c r="H282" i="23"/>
  <c r="H281" i="23" s="1"/>
  <c r="H278" i="23"/>
  <c r="H277" i="23" s="1"/>
  <c r="H275" i="23"/>
  <c r="H271" i="23"/>
  <c r="H269" i="23"/>
  <c r="H264" i="23"/>
  <c r="H263" i="23" s="1"/>
  <c r="H262" i="23"/>
  <c r="H261" i="23" s="1"/>
  <c r="H260" i="23" s="1"/>
  <c r="H255" i="23"/>
  <c r="H253" i="23"/>
  <c r="H246" i="23"/>
  <c r="H245" i="23" s="1"/>
  <c r="H240" i="23"/>
  <c r="H239" i="23" s="1"/>
  <c r="H238" i="23" s="1"/>
  <c r="H235" i="23"/>
  <c r="H231" i="23"/>
  <c r="H228" i="23"/>
  <c r="H227" i="23"/>
  <c r="H214" i="23"/>
  <c r="H213" i="23" s="1"/>
  <c r="H207" i="23"/>
  <c r="H206" i="23" s="1"/>
  <c r="H205" i="23" s="1"/>
  <c r="H204" i="23" s="1"/>
  <c r="H200" i="23"/>
  <c r="H199" i="23" s="1"/>
  <c r="H198" i="23" s="1"/>
  <c r="H196" i="23"/>
  <c r="H195" i="23" s="1"/>
  <c r="H194" i="23" s="1"/>
  <c r="H193" i="23" s="1"/>
  <c r="H191" i="23"/>
  <c r="H189" i="23"/>
  <c r="H187" i="23"/>
  <c r="H185" i="23"/>
  <c r="H182" i="23"/>
  <c r="H181" i="23" s="1"/>
  <c r="H174" i="23"/>
  <c r="H173" i="23" s="1"/>
  <c r="H172" i="23" s="1"/>
  <c r="H170" i="23"/>
  <c r="H167" i="23"/>
  <c r="H164" i="23"/>
  <c r="H163" i="23"/>
  <c r="H159" i="23"/>
  <c r="H157" i="23"/>
  <c r="H150" i="23"/>
  <c r="H148" i="23"/>
  <c r="H146" i="23"/>
  <c r="H145" i="23" s="1"/>
  <c r="H144" i="23"/>
  <c r="H143" i="23" s="1"/>
  <c r="H136" i="23"/>
  <c r="H134" i="23"/>
  <c r="H132" i="23"/>
  <c r="H124" i="23"/>
  <c r="H123" i="23" s="1"/>
  <c r="H122" i="23" s="1"/>
  <c r="H121" i="23" s="1"/>
  <c r="H120" i="23" s="1"/>
  <c r="H119" i="23" s="1"/>
  <c r="H118" i="23" s="1"/>
  <c r="H116" i="23"/>
  <c r="H114" i="23"/>
  <c r="H105" i="23"/>
  <c r="H100" i="23"/>
  <c r="H99" i="23" s="1"/>
  <c r="H98" i="23" s="1"/>
  <c r="H97" i="23" s="1"/>
  <c r="H94" i="23"/>
  <c r="H93" i="23" s="1"/>
  <c r="H92" i="23" s="1"/>
  <c r="H90" i="23"/>
  <c r="H88" i="23"/>
  <c r="H83" i="23"/>
  <c r="H82" i="23" s="1"/>
  <c r="H81" i="23" s="1"/>
  <c r="H79" i="23"/>
  <c r="H77" i="23"/>
  <c r="H74" i="23"/>
  <c r="H73" i="23" s="1"/>
  <c r="H62" i="23"/>
  <c r="H61" i="23" s="1"/>
  <c r="H60" i="23" s="1"/>
  <c r="H59" i="23" s="1"/>
  <c r="H58" i="23" s="1"/>
  <c r="H57" i="23" s="1"/>
  <c r="H52" i="23"/>
  <c r="H47" i="23"/>
  <c r="H46" i="23" s="1"/>
  <c r="H45" i="23" s="1"/>
  <c r="H40" i="23"/>
  <c r="H37" i="23"/>
  <c r="H35" i="23"/>
  <c r="H32" i="23"/>
  <c r="H29" i="23"/>
  <c r="H17" i="23"/>
  <c r="H16" i="23" s="1"/>
  <c r="H15" i="23" s="1"/>
  <c r="H14" i="23" s="1"/>
  <c r="H13" i="23" s="1"/>
  <c r="H12" i="23" s="1"/>
  <c r="L86" i="1" l="1"/>
  <c r="F528" i="1"/>
  <c r="H104" i="23"/>
  <c r="H103" i="23" s="1"/>
  <c r="K391" i="23"/>
  <c r="F380" i="1"/>
  <c r="F521" i="1"/>
  <c r="K361" i="23"/>
  <c r="K360" i="23" s="1"/>
  <c r="K353" i="23" s="1"/>
  <c r="F260" i="1"/>
  <c r="F259" i="1" s="1"/>
  <c r="I266" i="1"/>
  <c r="H634" i="23"/>
  <c r="H633" i="23" s="1"/>
  <c r="I22" i="1"/>
  <c r="I21" i="1" s="1"/>
  <c r="I528" i="1"/>
  <c r="I521" i="1" s="1"/>
  <c r="F22" i="1"/>
  <c r="F21" i="1" s="1"/>
  <c r="L22" i="1"/>
  <c r="L21" i="1" s="1"/>
  <c r="L528" i="1"/>
  <c r="I198" i="1"/>
  <c r="H51" i="23"/>
  <c r="H50" i="23" s="1"/>
  <c r="H553" i="23"/>
  <c r="H825" i="23"/>
  <c r="H824" i="23" s="1"/>
  <c r="H823" i="23" s="1"/>
  <c r="K825" i="23"/>
  <c r="K824" i="23" s="1"/>
  <c r="K823" i="23" s="1"/>
  <c r="N825" i="23"/>
  <c r="N824" i="23" s="1"/>
  <c r="N823" i="23" s="1"/>
  <c r="K51" i="23"/>
  <c r="K50" i="23" s="1"/>
  <c r="N51" i="23"/>
  <c r="N50" i="23" s="1"/>
  <c r="F64" i="1"/>
  <c r="F63" i="1" s="1"/>
  <c r="I64" i="1"/>
  <c r="I63" i="1" s="1"/>
  <c r="I149" i="1"/>
  <c r="I148" i="1" s="1"/>
  <c r="I315" i="1"/>
  <c r="I314" i="1" s="1"/>
  <c r="I432" i="1"/>
  <c r="N294" i="23"/>
  <c r="N293" i="23" s="1"/>
  <c r="N292" i="23" s="1"/>
  <c r="N291" i="23" s="1"/>
  <c r="N459" i="23"/>
  <c r="N458" i="23" s="1"/>
  <c r="N586" i="23"/>
  <c r="N585" i="23" s="1"/>
  <c r="K326" i="23"/>
  <c r="K325" i="23" s="1"/>
  <c r="K320" i="23" s="1"/>
  <c r="K319" i="23" s="1"/>
  <c r="K318" i="23" s="1"/>
  <c r="N226" i="23"/>
  <c r="N259" i="23"/>
  <c r="N268" i="23"/>
  <c r="N267" i="23" s="1"/>
  <c r="N266" i="23" s="1"/>
  <c r="N274" i="23"/>
  <c r="N273" i="23" s="1"/>
  <c r="N326" i="23"/>
  <c r="N325" i="23" s="1"/>
  <c r="N320" i="23" s="1"/>
  <c r="N319" i="23" s="1"/>
  <c r="N318" i="23" s="1"/>
  <c r="H259" i="23"/>
  <c r="H274" i="23"/>
  <c r="H273" i="23" s="1"/>
  <c r="N24" i="23"/>
  <c r="N23" i="23" s="1"/>
  <c r="N22" i="23" s="1"/>
  <c r="F164" i="1"/>
  <c r="I165" i="1"/>
  <c r="I164" i="1" s="1"/>
  <c r="H76" i="23"/>
  <c r="H72" i="23" s="1"/>
  <c r="H87" i="23"/>
  <c r="H86" i="23" s="1"/>
  <c r="H156" i="23"/>
  <c r="H155" i="23" s="1"/>
  <c r="H531" i="23"/>
  <c r="K268" i="23"/>
  <c r="K267" i="23" s="1"/>
  <c r="K266" i="23" s="1"/>
  <c r="K274" i="23"/>
  <c r="K273" i="23" s="1"/>
  <c r="K554" i="23"/>
  <c r="K553" i="23" s="1"/>
  <c r="K598" i="23"/>
  <c r="K597" i="23" s="1"/>
  <c r="H701" i="23"/>
  <c r="H700" i="23" s="1"/>
  <c r="H699" i="23" s="1"/>
  <c r="H698" i="23" s="1"/>
  <c r="H697" i="23" s="1"/>
  <c r="H689" i="23" s="1"/>
  <c r="K162" i="23"/>
  <c r="K161" i="23" s="1"/>
  <c r="N184" i="23"/>
  <c r="N180" i="23" s="1"/>
  <c r="N179" i="23" s="1"/>
  <c r="N178" i="23" s="1"/>
  <c r="N177" i="23" s="1"/>
  <c r="N471" i="23"/>
  <c r="N470" i="23" s="1"/>
  <c r="N469" i="23" s="1"/>
  <c r="N468" i="23" s="1"/>
  <c r="N760" i="23"/>
  <c r="N759" i="23" s="1"/>
  <c r="N758" i="23" s="1"/>
  <c r="H24" i="23"/>
  <c r="H23" i="23" s="1"/>
  <c r="H22" i="23" s="1"/>
  <c r="H268" i="23"/>
  <c r="H267" i="23" s="1"/>
  <c r="H266" i="23" s="1"/>
  <c r="H391" i="23"/>
  <c r="K24" i="23"/>
  <c r="K23" i="23" s="1"/>
  <c r="K22" i="23" s="1"/>
  <c r="K76" i="23"/>
  <c r="K72" i="23" s="1"/>
  <c r="K226" i="23"/>
  <c r="K212" i="23" s="1"/>
  <c r="K502" i="23"/>
  <c r="K501" i="23" s="1"/>
  <c r="K500" i="23" s="1"/>
  <c r="K499" i="23" s="1"/>
  <c r="K498" i="23" s="1"/>
  <c r="N162" i="23"/>
  <c r="N161" i="23" s="1"/>
  <c r="N522" i="23"/>
  <c r="N531" i="23"/>
  <c r="H502" i="23"/>
  <c r="H501" i="23" s="1"/>
  <c r="H522" i="23"/>
  <c r="H598" i="23"/>
  <c r="H597" i="23" s="1"/>
  <c r="H608" i="23"/>
  <c r="H607" i="23" s="1"/>
  <c r="H653" i="23"/>
  <c r="H652" i="23" s="1"/>
  <c r="H651" i="23" s="1"/>
  <c r="H650" i="23" s="1"/>
  <c r="K104" i="23"/>
  <c r="K103" i="23" s="1"/>
  <c r="K184" i="23"/>
  <c r="K180" i="23" s="1"/>
  <c r="K179" i="23" s="1"/>
  <c r="K178" i="23" s="1"/>
  <c r="K177" i="23" s="1"/>
  <c r="K608" i="23"/>
  <c r="K607" i="23" s="1"/>
  <c r="K626" i="23"/>
  <c r="K625" i="23" s="1"/>
  <c r="K620" i="23" s="1"/>
  <c r="K619" i="23" s="1"/>
  <c r="K618" i="23" s="1"/>
  <c r="K617" i="23" s="1"/>
  <c r="K653" i="23"/>
  <c r="K652" i="23" s="1"/>
  <c r="K651" i="23" s="1"/>
  <c r="K650" i="23" s="1"/>
  <c r="I107" i="1"/>
  <c r="L77" i="1"/>
  <c r="I511" i="1"/>
  <c r="I510" i="1" s="1"/>
  <c r="F16" i="1"/>
  <c r="F12" i="1" s="1"/>
  <c r="K294" i="23"/>
  <c r="K293" i="23" s="1"/>
  <c r="K292" i="23" s="1"/>
  <c r="K291" i="23" s="1"/>
  <c r="F77" i="1"/>
  <c r="F149" i="1"/>
  <c r="F148" i="1" s="1"/>
  <c r="L64" i="1"/>
  <c r="L63" i="1" s="1"/>
  <c r="L483" i="1"/>
  <c r="L315" i="1"/>
  <c r="L314" i="1" s="1"/>
  <c r="I57" i="1"/>
  <c r="I56" i="1" s="1"/>
  <c r="I77" i="1"/>
  <c r="L206" i="1"/>
  <c r="L283" i="1"/>
  <c r="L282" i="1" s="1"/>
  <c r="L380" i="1"/>
  <c r="F198" i="1"/>
  <c r="I31" i="1"/>
  <c r="I30" i="1" s="1"/>
  <c r="L198" i="1"/>
  <c r="F333" i="1"/>
  <c r="F332" i="1" s="1"/>
  <c r="F462" i="1"/>
  <c r="F454" i="1" s="1"/>
  <c r="I294" i="1"/>
  <c r="L275" i="1"/>
  <c r="H28" i="23"/>
  <c r="H27" i="23" s="1"/>
  <c r="H142" i="23"/>
  <c r="H141" i="23" s="1"/>
  <c r="H140" i="23" s="1"/>
  <c r="H139" i="23" s="1"/>
  <c r="H252" i="23"/>
  <c r="H244" i="23" s="1"/>
  <c r="H184" i="23"/>
  <c r="H180" i="23" s="1"/>
  <c r="H179" i="23" s="1"/>
  <c r="H178" i="23" s="1"/>
  <c r="H177" i="23" s="1"/>
  <c r="H131" i="23"/>
  <c r="H130" i="23" s="1"/>
  <c r="H129" i="23" s="1"/>
  <c r="H128" i="23" s="1"/>
  <c r="N567" i="23"/>
  <c r="N566" i="23" s="1"/>
  <c r="N565" i="23" s="1"/>
  <c r="N564" i="23" s="1"/>
  <c r="N563" i="23" s="1"/>
  <c r="H743" i="23"/>
  <c r="K131" i="23"/>
  <c r="K130" i="23" s="1"/>
  <c r="K129" i="23" s="1"/>
  <c r="K128" i="23" s="1"/>
  <c r="K142" i="23"/>
  <c r="K141" i="23" s="1"/>
  <c r="K140" i="23" s="1"/>
  <c r="K139" i="23" s="1"/>
  <c r="K701" i="23"/>
  <c r="K700" i="23" s="1"/>
  <c r="K699" i="23" s="1"/>
  <c r="K698" i="23" s="1"/>
  <c r="K697" i="23" s="1"/>
  <c r="K689" i="23" s="1"/>
  <c r="K743" i="23"/>
  <c r="K719" i="23" s="1"/>
  <c r="K718" i="23" s="1"/>
  <c r="K717" i="23" s="1"/>
  <c r="K716" i="23" s="1"/>
  <c r="K760" i="23"/>
  <c r="K759" i="23" s="1"/>
  <c r="K758" i="23" s="1"/>
  <c r="N653" i="23"/>
  <c r="N652" i="23" s="1"/>
  <c r="N651" i="23" s="1"/>
  <c r="N650" i="23" s="1"/>
  <c r="N701" i="23"/>
  <c r="N700" i="23" s="1"/>
  <c r="N699" i="23" s="1"/>
  <c r="N698" i="23" s="1"/>
  <c r="N697" i="23" s="1"/>
  <c r="N689" i="23" s="1"/>
  <c r="N799" i="23"/>
  <c r="N798" i="23" s="1"/>
  <c r="N797" i="23" s="1"/>
  <c r="N796" i="23" s="1"/>
  <c r="N795" i="23" s="1"/>
  <c r="H567" i="23"/>
  <c r="H566" i="23" s="1"/>
  <c r="K87" i="23"/>
  <c r="K86" i="23" s="1"/>
  <c r="K259" i="23"/>
  <c r="K522" i="23"/>
  <c r="K531" i="23"/>
  <c r="K586" i="23"/>
  <c r="K585" i="23" s="1"/>
  <c r="K798" i="23"/>
  <c r="K797" i="23" s="1"/>
  <c r="K796" i="23" s="1"/>
  <c r="K795" i="23" s="1"/>
  <c r="N131" i="23"/>
  <c r="N130" i="23" s="1"/>
  <c r="N129" i="23" s="1"/>
  <c r="N128" i="23" s="1"/>
  <c r="N142" i="23"/>
  <c r="N141" i="23" s="1"/>
  <c r="N140" i="23" s="1"/>
  <c r="N139" i="23" s="1"/>
  <c r="N502" i="23"/>
  <c r="N501" i="23" s="1"/>
  <c r="N500" i="23" s="1"/>
  <c r="N499" i="23" s="1"/>
  <c r="N498" i="23" s="1"/>
  <c r="N608" i="23"/>
  <c r="N607" i="23" s="1"/>
  <c r="F206" i="1"/>
  <c r="I139" i="1"/>
  <c r="I138" i="1" s="1"/>
  <c r="I275" i="1"/>
  <c r="I333" i="1"/>
  <c r="I332" i="1" s="1"/>
  <c r="L16" i="1"/>
  <c r="L12" i="1" s="1"/>
  <c r="L123" i="1"/>
  <c r="L122" i="1" s="1"/>
  <c r="H294" i="23"/>
  <c r="H293" i="23" s="1"/>
  <c r="H292" i="23" s="1"/>
  <c r="H291" i="23" s="1"/>
  <c r="H471" i="23"/>
  <c r="H470" i="23" s="1"/>
  <c r="H469" i="23" s="1"/>
  <c r="H468" i="23" s="1"/>
  <c r="H626" i="23"/>
  <c r="H625" i="23" s="1"/>
  <c r="H760" i="23"/>
  <c r="H759" i="23" s="1"/>
  <c r="H758" i="23" s="1"/>
  <c r="K156" i="23"/>
  <c r="K155" i="23" s="1"/>
  <c r="K676" i="23"/>
  <c r="K675" i="23" s="1"/>
  <c r="K674" i="23" s="1"/>
  <c r="K673" i="23" s="1"/>
  <c r="N28" i="23"/>
  <c r="N27" i="23" s="1"/>
  <c r="N76" i="23"/>
  <c r="N72" i="23" s="1"/>
  <c r="N71" i="23" s="1"/>
  <c r="N70" i="23" s="1"/>
  <c r="N104" i="23"/>
  <c r="N103" i="23" s="1"/>
  <c r="N156" i="23"/>
  <c r="N155" i="23" s="1"/>
  <c r="N626" i="23"/>
  <c r="N625" i="23" s="1"/>
  <c r="N676" i="23"/>
  <c r="N675" i="23" s="1"/>
  <c r="N674" i="23" s="1"/>
  <c r="N673" i="23" s="1"/>
  <c r="N743" i="23"/>
  <c r="N719" i="23" s="1"/>
  <c r="N718" i="23" s="1"/>
  <c r="N717" i="23" s="1"/>
  <c r="N716" i="23" s="1"/>
  <c r="F86" i="1"/>
  <c r="F283" i="1"/>
  <c r="F282" i="1" s="1"/>
  <c r="F321" i="1"/>
  <c r="F320" i="1" s="1"/>
  <c r="F313" i="1" s="1"/>
  <c r="I123" i="1"/>
  <c r="I122" i="1" s="1"/>
  <c r="I491" i="1"/>
  <c r="L294" i="1"/>
  <c r="L398" i="1"/>
  <c r="L397" i="1" s="1"/>
  <c r="L511" i="1"/>
  <c r="L510" i="1" s="1"/>
  <c r="H162" i="23"/>
  <c r="H161" i="23" s="1"/>
  <c r="H586" i="23"/>
  <c r="H585" i="23" s="1"/>
  <c r="K28" i="23"/>
  <c r="K27" i="23" s="1"/>
  <c r="K567" i="23"/>
  <c r="K566" i="23" s="1"/>
  <c r="K565" i="23" s="1"/>
  <c r="K564" i="23" s="1"/>
  <c r="K563" i="23" s="1"/>
  <c r="N361" i="23"/>
  <c r="N360" i="23" s="1"/>
  <c r="N353" i="23" s="1"/>
  <c r="N598" i="23"/>
  <c r="N597" i="23" s="1"/>
  <c r="F57" i="1"/>
  <c r="F56" i="1" s="1"/>
  <c r="F139" i="1"/>
  <c r="F138" i="1" s="1"/>
  <c r="I250" i="1"/>
  <c r="I342" i="1"/>
  <c r="I338" i="1" s="1"/>
  <c r="I380" i="1"/>
  <c r="L321" i="1"/>
  <c r="L320" i="1" s="1"/>
  <c r="L432" i="1"/>
  <c r="K470" i="23"/>
  <c r="K469" i="23" s="1"/>
  <c r="K468" i="23" s="1"/>
  <c r="L31" i="1"/>
  <c r="L30" i="1" s="1"/>
  <c r="I206" i="1"/>
  <c r="I467" i="1"/>
  <c r="I180" i="1"/>
  <c r="L180" i="1"/>
  <c r="F294" i="1"/>
  <c r="F491" i="1"/>
  <c r="F31" i="1"/>
  <c r="F30" i="1" s="1"/>
  <c r="F180" i="1"/>
  <c r="F250" i="1"/>
  <c r="F342" i="1"/>
  <c r="F338" i="1" s="1"/>
  <c r="F511" i="1"/>
  <c r="F510" i="1" s="1"/>
  <c r="I483" i="1"/>
  <c r="L215" i="1"/>
  <c r="L214" i="1" s="1"/>
  <c r="L342" i="1"/>
  <c r="L338" i="1" s="1"/>
  <c r="F275" i="1"/>
  <c r="F467" i="1"/>
  <c r="I215" i="1"/>
  <c r="I214" i="1" s="1"/>
  <c r="L139" i="1"/>
  <c r="L138" i="1" s="1"/>
  <c r="L360" i="1"/>
  <c r="F123" i="1"/>
  <c r="F122" i="1" s="1"/>
  <c r="F483" i="1"/>
  <c r="I16" i="1"/>
  <c r="I12" i="1" s="1"/>
  <c r="I86" i="1"/>
  <c r="I321" i="1"/>
  <c r="I320" i="1" s="1"/>
  <c r="L149" i="1"/>
  <c r="L148" i="1" s="1"/>
  <c r="L250" i="1"/>
  <c r="L333" i="1"/>
  <c r="L332" i="1" s="1"/>
  <c r="L522" i="1"/>
  <c r="L467" i="1"/>
  <c r="L491" i="1"/>
  <c r="I283" i="1"/>
  <c r="I282" i="1" s="1"/>
  <c r="I398" i="1"/>
  <c r="I397" i="1" s="1"/>
  <c r="F215" i="1"/>
  <c r="F214" i="1" s="1"/>
  <c r="N202" i="23"/>
  <c r="N203" i="23"/>
  <c r="N391" i="23"/>
  <c r="K459" i="23"/>
  <c r="K458" i="23" s="1"/>
  <c r="K202" i="23"/>
  <c r="K203" i="23"/>
  <c r="H676" i="23"/>
  <c r="H675" i="23" s="1"/>
  <c r="H674" i="23" s="1"/>
  <c r="H673" i="23" s="1"/>
  <c r="H202" i="23"/>
  <c r="H203" i="23"/>
  <c r="H459" i="23"/>
  <c r="H458" i="23" s="1"/>
  <c r="H798" i="23"/>
  <c r="H797" i="23" s="1"/>
  <c r="H796" i="23" s="1"/>
  <c r="H795" i="23" s="1"/>
  <c r="H445" i="23"/>
  <c r="H500" i="23" l="1"/>
  <c r="H499" i="23" s="1"/>
  <c r="H498" i="23" s="1"/>
  <c r="H565" i="23"/>
  <c r="H564" i="23" s="1"/>
  <c r="H563" i="23" s="1"/>
  <c r="H521" i="23"/>
  <c r="H520" i="23" s="1"/>
  <c r="H519" i="23" s="1"/>
  <c r="H518" i="23" s="1"/>
  <c r="H620" i="23"/>
  <c r="H619" i="23" s="1"/>
  <c r="H618" i="23" s="1"/>
  <c r="H617" i="23" s="1"/>
  <c r="I359" i="1"/>
  <c r="I197" i="1"/>
  <c r="I418" i="1"/>
  <c r="I417" i="1" s="1"/>
  <c r="L418" i="1"/>
  <c r="L417" i="1" s="1"/>
  <c r="K211" i="23"/>
  <c r="K210" i="23" s="1"/>
  <c r="K209" i="23" s="1"/>
  <c r="N212" i="23"/>
  <c r="N211" i="23" s="1"/>
  <c r="N210" i="23" s="1"/>
  <c r="N209" i="23" s="1"/>
  <c r="L197" i="1"/>
  <c r="N450" i="23"/>
  <c r="K584" i="23"/>
  <c r="K577" i="23" s="1"/>
  <c r="K576" i="23" s="1"/>
  <c r="L313" i="1"/>
  <c r="I235" i="1"/>
  <c r="I234" i="1" s="1"/>
  <c r="K154" i="23"/>
  <c r="K153" i="23" s="1"/>
  <c r="K152" i="23" s="1"/>
  <c r="K127" i="23" s="1"/>
  <c r="K521" i="23"/>
  <c r="K520" i="23" s="1"/>
  <c r="H21" i="23"/>
  <c r="H20" i="23" s="1"/>
  <c r="H19" i="23" s="1"/>
  <c r="N21" i="23"/>
  <c r="N20" i="23" s="1"/>
  <c r="N19" i="23" s="1"/>
  <c r="H450" i="23"/>
  <c r="H584" i="23"/>
  <c r="H577" i="23" s="1"/>
  <c r="H576" i="23" s="1"/>
  <c r="I313" i="1"/>
  <c r="L76" i="1"/>
  <c r="L62" i="1" s="1"/>
  <c r="N258" i="23"/>
  <c r="N257" i="23" s="1"/>
  <c r="H71" i="23"/>
  <c r="H70" i="23" s="1"/>
  <c r="H69" i="23" s="1"/>
  <c r="K21" i="23"/>
  <c r="K20" i="23" s="1"/>
  <c r="K19" i="23" s="1"/>
  <c r="K258" i="23"/>
  <c r="K257" i="23" s="1"/>
  <c r="H154" i="23"/>
  <c r="H153" i="23" s="1"/>
  <c r="H152" i="23" s="1"/>
  <c r="H127" i="23" s="1"/>
  <c r="H258" i="23"/>
  <c r="H257" i="23" s="1"/>
  <c r="N69" i="23"/>
  <c r="N154" i="23"/>
  <c r="N153" i="23" s="1"/>
  <c r="N152" i="23" s="1"/>
  <c r="N127" i="23" s="1"/>
  <c r="N521" i="23"/>
  <c r="N520" i="23" s="1"/>
  <c r="N519" i="23" s="1"/>
  <c r="N518" i="23" s="1"/>
  <c r="N584" i="23"/>
  <c r="K352" i="23"/>
  <c r="K351" i="23" s="1"/>
  <c r="K290" i="23" s="1"/>
  <c r="F197" i="1"/>
  <c r="F76" i="1"/>
  <c r="F62" i="1" s="1"/>
  <c r="I11" i="1"/>
  <c r="F331" i="1"/>
  <c r="I76" i="1"/>
  <c r="I62" i="1" s="1"/>
  <c r="L11" i="1"/>
  <c r="L482" i="1"/>
  <c r="L359" i="1"/>
  <c r="L351" i="1" s="1"/>
  <c r="I331" i="1"/>
  <c r="L521" i="1"/>
  <c r="L235" i="1"/>
  <c r="L234" i="1" s="1"/>
  <c r="F482" i="1"/>
  <c r="I482" i="1"/>
  <c r="F11" i="1"/>
  <c r="N352" i="23"/>
  <c r="N351" i="23" s="1"/>
  <c r="N290" i="23" s="1"/>
  <c r="L331" i="1"/>
  <c r="K71" i="23"/>
  <c r="K70" i="23" s="1"/>
  <c r="K69" i="23" s="1"/>
  <c r="K450" i="23"/>
  <c r="I351" i="1"/>
  <c r="F235" i="1"/>
  <c r="F234" i="1" s="1"/>
  <c r="K519" i="23" l="1"/>
  <c r="K518" i="23" s="1"/>
  <c r="K515" i="23"/>
  <c r="K514" i="23" s="1"/>
  <c r="H497" i="23"/>
  <c r="H488" i="23" s="1"/>
  <c r="K497" i="23"/>
  <c r="K488" i="23" s="1"/>
  <c r="K176" i="23"/>
  <c r="N11" i="23"/>
  <c r="H11" i="23"/>
  <c r="N176" i="23"/>
  <c r="K11" i="23"/>
  <c r="L10" i="1"/>
  <c r="L576" i="1" s="1"/>
  <c r="E18" i="25" s="1"/>
  <c r="I10" i="1"/>
  <c r="I576" i="1" s="1"/>
  <c r="D18" i="25" s="1"/>
  <c r="C13" i="25"/>
  <c r="C12" i="25" s="1"/>
  <c r="C11" i="25" s="1"/>
  <c r="D13" i="25"/>
  <c r="D12" i="25" s="1"/>
  <c r="D11" i="25" s="1"/>
  <c r="E13" i="25"/>
  <c r="E12" i="25" s="1"/>
  <c r="E11" i="25" s="1"/>
  <c r="K10" i="23" l="1"/>
  <c r="N10" i="23"/>
  <c r="L667" i="23"/>
  <c r="I667" i="23"/>
  <c r="F667" i="23"/>
  <c r="L554" i="23"/>
  <c r="J308" i="1"/>
  <c r="D308" i="1"/>
  <c r="N757" i="23"/>
  <c r="N755" i="23" s="1"/>
  <c r="N754" i="23" s="1"/>
  <c r="N753" i="23" s="1"/>
  <c r="N752" i="23" s="1"/>
  <c r="N751" i="23" s="1"/>
  <c r="N750" i="23" s="1"/>
  <c r="N715" i="23" s="1"/>
  <c r="N672" i="23" s="1"/>
  <c r="L583" i="23"/>
  <c r="N583" i="23" s="1"/>
  <c r="N581" i="23" s="1"/>
  <c r="N580" i="23" s="1"/>
  <c r="N579" i="23" s="1"/>
  <c r="N578" i="23" s="1"/>
  <c r="N577" i="23" s="1"/>
  <c r="N576" i="23" s="1"/>
  <c r="N497" i="23" s="1"/>
  <c r="J527" i="1"/>
  <c r="L804" i="23"/>
  <c r="J524" i="1"/>
  <c r="J523" i="1" s="1"/>
  <c r="L801" i="23"/>
  <c r="L800" i="23" s="1"/>
  <c r="N817" i="23"/>
  <c r="N815" i="23" s="1"/>
  <c r="N814" i="23" s="1"/>
  <c r="N813" i="23" s="1"/>
  <c r="N812" i="23" l="1"/>
  <c r="N811" i="23"/>
  <c r="N810" i="23" s="1"/>
  <c r="N809" i="23" s="1"/>
  <c r="N808" i="23" s="1"/>
  <c r="L571" i="23"/>
  <c r="I571" i="23"/>
  <c r="F571" i="23"/>
  <c r="L569" i="23"/>
  <c r="I569" i="23"/>
  <c r="F569" i="23"/>
  <c r="J127" i="1"/>
  <c r="G127" i="1"/>
  <c r="D127" i="1"/>
  <c r="J125" i="1"/>
  <c r="G125" i="1"/>
  <c r="D125" i="1"/>
  <c r="D19" i="1" l="1"/>
  <c r="F79" i="23"/>
  <c r="L79" i="23"/>
  <c r="I79" i="23"/>
  <c r="J19" i="1"/>
  <c r="G19" i="1"/>
  <c r="F735" i="23" l="1"/>
  <c r="D262" i="1"/>
  <c r="G407" i="1"/>
  <c r="D407" i="1"/>
  <c r="D406" i="1" s="1"/>
  <c r="I335" i="23"/>
  <c r="F335" i="23"/>
  <c r="D370" i="1"/>
  <c r="G167" i="1"/>
  <c r="D167" i="1"/>
  <c r="L262" i="23" l="1"/>
  <c r="I262" i="23"/>
  <c r="F262" i="23"/>
  <c r="J217" i="1"/>
  <c r="J216" i="1" s="1"/>
  <c r="G217" i="1"/>
  <c r="G216" i="1" s="1"/>
  <c r="D217" i="1"/>
  <c r="D216" i="1" s="1"/>
  <c r="J316" i="1"/>
  <c r="G316" i="1"/>
  <c r="L828" i="23"/>
  <c r="I828" i="23"/>
  <c r="F828" i="23"/>
  <c r="J537" i="1"/>
  <c r="G537" i="1"/>
  <c r="D537" i="1"/>
  <c r="L288" i="23"/>
  <c r="I288" i="23"/>
  <c r="F288" i="23"/>
  <c r="J533" i="1"/>
  <c r="G533" i="1"/>
  <c r="D533" i="1"/>
  <c r="L146" i="23"/>
  <c r="I146" i="23"/>
  <c r="F146" i="23"/>
  <c r="J495" i="1"/>
  <c r="G495" i="1"/>
  <c r="D495" i="1"/>
  <c r="J493" i="1"/>
  <c r="G493" i="1"/>
  <c r="D493" i="1"/>
  <c r="L144" i="23"/>
  <c r="I144" i="23"/>
  <c r="F144" i="23"/>
  <c r="L135" i="23"/>
  <c r="I135" i="23"/>
  <c r="F135" i="23"/>
  <c r="J487" i="1"/>
  <c r="G487" i="1"/>
  <c r="D487" i="1"/>
  <c r="J443" i="1"/>
  <c r="L236" i="23"/>
  <c r="H234" i="23"/>
  <c r="H233" i="23" s="1"/>
  <c r="H226" i="23" s="1"/>
  <c r="H212" i="23" s="1"/>
  <c r="H211" i="23" s="1"/>
  <c r="H210" i="23" s="1"/>
  <c r="H209" i="23" s="1"/>
  <c r="H176" i="23" s="1"/>
  <c r="F440" i="1"/>
  <c r="F439" i="1" s="1"/>
  <c r="F432" i="1" s="1"/>
  <c r="F418" i="1" s="1"/>
  <c r="F417" i="1" s="1"/>
  <c r="H333" i="23"/>
  <c r="H332" i="23" s="1"/>
  <c r="F403" i="1"/>
  <c r="F402" i="1" s="1"/>
  <c r="F398" i="1" s="1"/>
  <c r="F397" i="1" s="1"/>
  <c r="L330" i="23"/>
  <c r="J400" i="1"/>
  <c r="F385" i="23"/>
  <c r="H385" i="23" s="1"/>
  <c r="H384" i="23" s="1"/>
  <c r="H381" i="23" s="1"/>
  <c r="D388" i="1"/>
  <c r="F373" i="23"/>
  <c r="H373" i="23" s="1"/>
  <c r="H372" i="23" s="1"/>
  <c r="F371" i="23"/>
  <c r="H371" i="23" s="1"/>
  <c r="H370" i="23" s="1"/>
  <c r="D368" i="1"/>
  <c r="F368" i="1" s="1"/>
  <c r="F367" i="1" s="1"/>
  <c r="D366" i="1"/>
  <c r="F366" i="1" s="1"/>
  <c r="F365" i="1" s="1"/>
  <c r="F360" i="1" s="1"/>
  <c r="F359" i="1" s="1"/>
  <c r="J329" i="1"/>
  <c r="G329" i="1"/>
  <c r="D329" i="1"/>
  <c r="L170" i="23"/>
  <c r="I170" i="23"/>
  <c r="F170" i="23"/>
  <c r="L167" i="23"/>
  <c r="I167" i="23"/>
  <c r="F167" i="23"/>
  <c r="J326" i="1"/>
  <c r="G326" i="1"/>
  <c r="D326" i="1"/>
  <c r="J318" i="1"/>
  <c r="G318" i="1"/>
  <c r="D318" i="1"/>
  <c r="L159" i="23"/>
  <c r="I159" i="23"/>
  <c r="F159" i="23"/>
  <c r="L157" i="23"/>
  <c r="I157" i="23"/>
  <c r="F157" i="23"/>
  <c r="G289" i="1"/>
  <c r="D289" i="1"/>
  <c r="I707" i="23"/>
  <c r="F707" i="23"/>
  <c r="I703" i="23"/>
  <c r="F703" i="23"/>
  <c r="G285" i="1"/>
  <c r="D285" i="1"/>
  <c r="G254" i="1"/>
  <c r="D254" i="1"/>
  <c r="L763" i="23"/>
  <c r="I764" i="23"/>
  <c r="I763" i="23" s="1"/>
  <c r="F764" i="23"/>
  <c r="L696" i="23"/>
  <c r="I696" i="23"/>
  <c r="F696" i="23"/>
  <c r="J249" i="1"/>
  <c r="G249" i="1"/>
  <c r="D249" i="1"/>
  <c r="J246" i="1"/>
  <c r="G246" i="1"/>
  <c r="L730" i="23"/>
  <c r="I730" i="23"/>
  <c r="L725" i="23"/>
  <c r="I725" i="23"/>
  <c r="J241" i="1"/>
  <c r="G241" i="1"/>
  <c r="J238" i="1"/>
  <c r="G238" i="1"/>
  <c r="L722" i="23"/>
  <c r="I722" i="23"/>
  <c r="H722" i="23"/>
  <c r="H721" i="23" s="1"/>
  <c r="H720" i="23" s="1"/>
  <c r="H719" i="23" s="1"/>
  <c r="H718" i="23" s="1"/>
  <c r="H717" i="23" s="1"/>
  <c r="H716" i="23" s="1"/>
  <c r="D221" i="1"/>
  <c r="D220" i="1" s="1"/>
  <c r="F298" i="23"/>
  <c r="L570" i="23"/>
  <c r="J79" i="1"/>
  <c r="G79" i="1"/>
  <c r="D79" i="1"/>
  <c r="L524" i="23"/>
  <c r="I524" i="23"/>
  <c r="F524" i="23"/>
  <c r="L504" i="23"/>
  <c r="I504" i="23"/>
  <c r="F504" i="23"/>
  <c r="J66" i="1"/>
  <c r="G66" i="1"/>
  <c r="D66" i="1"/>
  <c r="K817" i="23"/>
  <c r="K815" i="23" s="1"/>
  <c r="K814" i="23" s="1"/>
  <c r="K813" i="23" s="1"/>
  <c r="H817" i="23"/>
  <c r="H815" i="23" s="1"/>
  <c r="H814" i="23" s="1"/>
  <c r="H813" i="23" s="1"/>
  <c r="K757" i="23"/>
  <c r="K755" i="23" s="1"/>
  <c r="K754" i="23" s="1"/>
  <c r="K753" i="23" s="1"/>
  <c r="K752" i="23" s="1"/>
  <c r="K751" i="23" s="1"/>
  <c r="K750" i="23" s="1"/>
  <c r="K715" i="23" s="1"/>
  <c r="K672" i="23" s="1"/>
  <c r="H757" i="23"/>
  <c r="H755" i="23" s="1"/>
  <c r="H754" i="23" s="1"/>
  <c r="H753" i="23" s="1"/>
  <c r="H752" i="23" s="1"/>
  <c r="H751" i="23" s="1"/>
  <c r="H750" i="23" s="1"/>
  <c r="I583" i="23"/>
  <c r="F583" i="23"/>
  <c r="I75" i="23"/>
  <c r="G15" i="1"/>
  <c r="D446" i="1"/>
  <c r="F164" i="23"/>
  <c r="L748" i="23"/>
  <c r="L747" i="23" s="1"/>
  <c r="I748" i="23"/>
  <c r="I747" i="23" s="1"/>
  <c r="L745" i="23"/>
  <c r="L744" i="23" s="1"/>
  <c r="I745" i="23"/>
  <c r="I744" i="23" s="1"/>
  <c r="L731" i="23"/>
  <c r="L98" i="23"/>
  <c r="L97" i="23" s="1"/>
  <c r="L472" i="23"/>
  <c r="L475" i="23"/>
  <c r="L474" i="23" s="1"/>
  <c r="I570" i="23"/>
  <c r="L40" i="23"/>
  <c r="I40" i="23"/>
  <c r="H361" i="23" l="1"/>
  <c r="H360" i="23" s="1"/>
  <c r="H353" i="23" s="1"/>
  <c r="H352" i="23" s="1"/>
  <c r="H351" i="23" s="1"/>
  <c r="K812" i="23"/>
  <c r="K811" i="23"/>
  <c r="K810" i="23" s="1"/>
  <c r="K809" i="23" s="1"/>
  <c r="K808" i="23" s="1"/>
  <c r="K837" i="23" s="1"/>
  <c r="H715" i="23"/>
  <c r="H672" i="23" s="1"/>
  <c r="H811" i="23"/>
  <c r="H810" i="23" s="1"/>
  <c r="H809" i="23" s="1"/>
  <c r="H808" i="23" s="1"/>
  <c r="H812" i="23"/>
  <c r="H326" i="23"/>
  <c r="H325" i="23" s="1"/>
  <c r="H320" i="23" s="1"/>
  <c r="H319" i="23" s="1"/>
  <c r="H318" i="23" s="1"/>
  <c r="F351" i="1"/>
  <c r="F10" i="1" s="1"/>
  <c r="F576" i="1" s="1"/>
  <c r="I743" i="23"/>
  <c r="L743" i="23"/>
  <c r="C18" i="25" l="1"/>
  <c r="H290" i="23"/>
  <c r="L145" i="23"/>
  <c r="I145" i="23"/>
  <c r="F145" i="23"/>
  <c r="L316" i="23"/>
  <c r="L315" i="23" s="1"/>
  <c r="L314" i="23" s="1"/>
  <c r="I316" i="23"/>
  <c r="I315" i="23" s="1"/>
  <c r="I314" i="23" s="1"/>
  <c r="F316" i="23"/>
  <c r="F315" i="23" s="1"/>
  <c r="F314" i="23" s="1"/>
  <c r="J494" i="1"/>
  <c r="G494" i="1"/>
  <c r="D494" i="1"/>
  <c r="I334" i="23"/>
  <c r="F334" i="23"/>
  <c r="F416" i="23"/>
  <c r="F415" i="23" s="1"/>
  <c r="F414" i="23" s="1"/>
  <c r="F413" i="23" s="1"/>
  <c r="F412" i="23" s="1"/>
  <c r="F411" i="23" s="1"/>
  <c r="F410" i="23" s="1"/>
  <c r="H10" i="23" l="1"/>
  <c r="H837" i="23" s="1"/>
  <c r="F367" i="23"/>
  <c r="L269" i="23"/>
  <c r="I269" i="23"/>
  <c r="F269" i="23"/>
  <c r="L271" i="23"/>
  <c r="I271" i="23"/>
  <c r="F271" i="23"/>
  <c r="L302" i="23"/>
  <c r="I302" i="23"/>
  <c r="F268" i="23" l="1"/>
  <c r="F267" i="23" s="1"/>
  <c r="L268" i="23"/>
  <c r="L267" i="23" s="1"/>
  <c r="I268" i="23"/>
  <c r="I267" i="23" s="1"/>
  <c r="L47" i="23"/>
  <c r="I47" i="23"/>
  <c r="F47" i="23"/>
  <c r="L547" i="23"/>
  <c r="L546" i="23" s="1"/>
  <c r="I547" i="23"/>
  <c r="I546" i="23" s="1"/>
  <c r="F547" i="23"/>
  <c r="F546" i="23" s="1"/>
  <c r="L785" i="23"/>
  <c r="I785" i="23"/>
  <c r="F785" i="23"/>
  <c r="L713" i="23" l="1"/>
  <c r="L712" i="23" s="1"/>
  <c r="L711" i="23" s="1"/>
  <c r="L710" i="23" s="1"/>
  <c r="L709" i="23" s="1"/>
  <c r="I713" i="23"/>
  <c r="I712" i="23" s="1"/>
  <c r="I711" i="23" s="1"/>
  <c r="I710" i="23" s="1"/>
  <c r="I709" i="23" s="1"/>
  <c r="F713" i="23"/>
  <c r="F712" i="23" s="1"/>
  <c r="F711" i="23" s="1"/>
  <c r="F710" i="23" s="1"/>
  <c r="F709" i="23" s="1"/>
  <c r="L635" i="23"/>
  <c r="I635" i="23"/>
  <c r="F635" i="23"/>
  <c r="F634" i="23" s="1"/>
  <c r="L793" i="23"/>
  <c r="I793" i="23"/>
  <c r="F793" i="23"/>
  <c r="I766" i="23"/>
  <c r="L761" i="23"/>
  <c r="I761" i="23"/>
  <c r="F733" i="23"/>
  <c r="L729" i="23"/>
  <c r="I729" i="23"/>
  <c r="F729" i="23"/>
  <c r="L724" i="23"/>
  <c r="I724" i="23"/>
  <c r="F724" i="23"/>
  <c r="L721" i="23"/>
  <c r="I721" i="23"/>
  <c r="F721" i="23"/>
  <c r="L705" i="23"/>
  <c r="L704" i="23" s="1"/>
  <c r="I705" i="23"/>
  <c r="I704" i="23" s="1"/>
  <c r="F705" i="23"/>
  <c r="F704" i="23" s="1"/>
  <c r="L702" i="23"/>
  <c r="I702" i="23"/>
  <c r="F702" i="23"/>
  <c r="L695" i="23"/>
  <c r="I695" i="23"/>
  <c r="F695" i="23"/>
  <c r="I679" i="23"/>
  <c r="F662" i="23"/>
  <c r="F661" i="23" s="1"/>
  <c r="F660" i="23" s="1"/>
  <c r="L655" i="23"/>
  <c r="I655" i="23"/>
  <c r="L648" i="23"/>
  <c r="I648" i="23"/>
  <c r="F648" i="23"/>
  <c r="L631" i="23"/>
  <c r="I631" i="23"/>
  <c r="F631" i="23"/>
  <c r="L629" i="23"/>
  <c r="I629" i="23"/>
  <c r="F629" i="23"/>
  <c r="L627" i="23"/>
  <c r="I627" i="23"/>
  <c r="F627" i="23"/>
  <c r="L623" i="23"/>
  <c r="I623" i="23"/>
  <c r="F623" i="23"/>
  <c r="L615" i="23"/>
  <c r="I615" i="23"/>
  <c r="F615" i="23"/>
  <c r="L611" i="23"/>
  <c r="I611" i="23"/>
  <c r="F611" i="23"/>
  <c r="L609" i="23"/>
  <c r="I609" i="23"/>
  <c r="F609" i="23"/>
  <c r="L595" i="23"/>
  <c r="I595" i="23"/>
  <c r="F595" i="23"/>
  <c r="L593" i="23"/>
  <c r="I593" i="23"/>
  <c r="F593" i="23"/>
  <c r="L591" i="23"/>
  <c r="L589" i="23"/>
  <c r="I589" i="23"/>
  <c r="F589" i="23"/>
  <c r="L587" i="23"/>
  <c r="I587" i="23"/>
  <c r="F587" i="23"/>
  <c r="L708" i="23" l="1"/>
  <c r="I708" i="23"/>
  <c r="F708" i="23"/>
  <c r="L603" i="23"/>
  <c r="I603" i="23"/>
  <c r="F603" i="23"/>
  <c r="L599" i="23"/>
  <c r="I599" i="23"/>
  <c r="F599" i="23"/>
  <c r="L568" i="23"/>
  <c r="I568" i="23"/>
  <c r="I556" i="23"/>
  <c r="I555" i="23" s="1"/>
  <c r="I554" i="23" s="1"/>
  <c r="F556" i="23"/>
  <c r="F555" i="23" s="1"/>
  <c r="F554" i="23" s="1"/>
  <c r="L543" i="23"/>
  <c r="L542" i="23" s="1"/>
  <c r="I543" i="23"/>
  <c r="I542" i="23" s="1"/>
  <c r="F543" i="23"/>
  <c r="F542" i="23" s="1"/>
  <c r="L540" i="23"/>
  <c r="I540" i="23"/>
  <c r="F540" i="23"/>
  <c r="L536" i="23"/>
  <c r="I536" i="23"/>
  <c r="L534" i="23"/>
  <c r="I534" i="23"/>
  <c r="L528" i="23"/>
  <c r="I528" i="23"/>
  <c r="F528" i="23"/>
  <c r="L523" i="23" l="1"/>
  <c r="I523" i="23"/>
  <c r="J155" i="1"/>
  <c r="G155" i="1"/>
  <c r="D155" i="1"/>
  <c r="D154" i="1" s="1"/>
  <c r="L508" i="23"/>
  <c r="I508" i="23"/>
  <c r="F508" i="23"/>
  <c r="I495" i="23" l="1"/>
  <c r="L503" i="23"/>
  <c r="I503" i="23"/>
  <c r="L486" i="23"/>
  <c r="I486" i="23"/>
  <c r="F486" i="23"/>
  <c r="L480" i="23"/>
  <c r="I480" i="23"/>
  <c r="F480" i="23"/>
  <c r="F475" i="23"/>
  <c r="F447" i="23"/>
  <c r="F446" i="23" s="1"/>
  <c r="F445" i="23" s="1"/>
  <c r="L432" i="23"/>
  <c r="I389" i="23"/>
  <c r="L403" i="23"/>
  <c r="I403" i="23"/>
  <c r="F403" i="23"/>
  <c r="L382" i="23"/>
  <c r="L381" i="23" s="1"/>
  <c r="I382" i="23"/>
  <c r="I381" i="23" s="1"/>
  <c r="L372" i="23"/>
  <c r="I372" i="23"/>
  <c r="L370" i="23"/>
  <c r="I370" i="23"/>
  <c r="F370" i="23"/>
  <c r="F356" i="23"/>
  <c r="L356" i="23"/>
  <c r="I356" i="23"/>
  <c r="L341" i="23"/>
  <c r="L340" i="23" s="1"/>
  <c r="I341" i="23"/>
  <c r="I340" i="23" s="1"/>
  <c r="F341" i="23"/>
  <c r="F340" i="23" s="1"/>
  <c r="L332" i="23"/>
  <c r="I332" i="23"/>
  <c r="L329" i="23"/>
  <c r="I323" i="23"/>
  <c r="F323" i="23"/>
  <c r="I312" i="23"/>
  <c r="I311" i="23" s="1"/>
  <c r="I361" i="23" l="1"/>
  <c r="L361" i="23"/>
  <c r="L326" i="23"/>
  <c r="L325" i="23" s="1"/>
  <c r="L300" i="23"/>
  <c r="I300" i="23"/>
  <c r="F300" i="23"/>
  <c r="L297" i="23"/>
  <c r="I297" i="23"/>
  <c r="F297" i="23"/>
  <c r="L295" i="23"/>
  <c r="I295" i="23"/>
  <c r="F295" i="23"/>
  <c r="L278" i="23"/>
  <c r="I278" i="23"/>
  <c r="L275" i="23"/>
  <c r="I275" i="23"/>
  <c r="F294" i="23" l="1"/>
  <c r="L294" i="23"/>
  <c r="L261" i="23"/>
  <c r="I261" i="23"/>
  <c r="F261" i="23"/>
  <c r="F260" i="23" s="1"/>
  <c r="L255" i="23"/>
  <c r="I255" i="23"/>
  <c r="F255" i="23"/>
  <c r="F253" i="23"/>
  <c r="L253" i="23"/>
  <c r="L252" i="23" s="1"/>
  <c r="I253" i="23"/>
  <c r="I252" i="23" s="1"/>
  <c r="I240" i="23"/>
  <c r="I239" i="23" s="1"/>
  <c r="I238" i="23" s="1"/>
  <c r="F240" i="23"/>
  <c r="F239" i="23" s="1"/>
  <c r="F238" i="23" s="1"/>
  <c r="L233" i="23"/>
  <c r="I233" i="23"/>
  <c r="L228" i="23"/>
  <c r="I228" i="23"/>
  <c r="L214" i="23"/>
  <c r="I214" i="23"/>
  <c r="F214" i="23"/>
  <c r="L207" i="23"/>
  <c r="I207" i="23"/>
  <c r="F207" i="23"/>
  <c r="F252" i="23" l="1"/>
  <c r="L196" i="23"/>
  <c r="I196" i="23"/>
  <c r="F196" i="23"/>
  <c r="L191" i="23"/>
  <c r="I191" i="23"/>
  <c r="F191" i="23"/>
  <c r="L189" i="23"/>
  <c r="I189" i="23"/>
  <c r="F189" i="23"/>
  <c r="L187" i="23"/>
  <c r="I187" i="23"/>
  <c r="F187" i="23"/>
  <c r="L185" i="23"/>
  <c r="I185" i="23"/>
  <c r="F185" i="23"/>
  <c r="L182" i="23"/>
  <c r="I182" i="23"/>
  <c r="F182" i="23"/>
  <c r="F174" i="23"/>
  <c r="L174" i="23"/>
  <c r="I174" i="23"/>
  <c r="L150" i="23"/>
  <c r="I150" i="23"/>
  <c r="F150" i="23"/>
  <c r="L148" i="23"/>
  <c r="I148" i="23"/>
  <c r="F148" i="23"/>
  <c r="L134" i="23"/>
  <c r="I134" i="23"/>
  <c r="F134" i="23"/>
  <c r="L132" i="23"/>
  <c r="I132" i="23"/>
  <c r="F132" i="23"/>
  <c r="L124" i="23"/>
  <c r="I124" i="23"/>
  <c r="F124" i="23"/>
  <c r="I305" i="23"/>
  <c r="I304" i="23" s="1"/>
  <c r="I294" i="23" s="1"/>
  <c r="I100" i="23"/>
  <c r="F100" i="23"/>
  <c r="F99" i="23" s="1"/>
  <c r="F98" i="23" s="1"/>
  <c r="F97" i="23" s="1"/>
  <c r="I90" i="23" l="1"/>
  <c r="F90" i="23"/>
  <c r="I88" i="23"/>
  <c r="F88" i="23"/>
  <c r="L83" i="23"/>
  <c r="L82" i="23" s="1"/>
  <c r="L81" i="23" s="1"/>
  <c r="I83" i="23"/>
  <c r="I82" i="23" s="1"/>
  <c r="I81" i="23" s="1"/>
  <c r="F83" i="23"/>
  <c r="F82" i="23" s="1"/>
  <c r="F81" i="23" s="1"/>
  <c r="L77" i="23"/>
  <c r="L76" i="23" s="1"/>
  <c r="I77" i="23"/>
  <c r="I76" i="23" s="1"/>
  <c r="F77" i="23"/>
  <c r="F76" i="23" s="1"/>
  <c r="L74" i="23"/>
  <c r="L73" i="23" s="1"/>
  <c r="I74" i="23"/>
  <c r="I73" i="23" s="1"/>
  <c r="F74" i="23"/>
  <c r="F73" i="23" s="1"/>
  <c r="L62" i="23"/>
  <c r="L61" i="23" s="1"/>
  <c r="L60" i="23" s="1"/>
  <c r="L59" i="23" s="1"/>
  <c r="L58" i="23" s="1"/>
  <c r="L57" i="23" s="1"/>
  <c r="I62" i="23"/>
  <c r="I61" i="23" s="1"/>
  <c r="I60" i="23" s="1"/>
  <c r="I59" i="23" s="1"/>
  <c r="I58" i="23" s="1"/>
  <c r="I57" i="23" s="1"/>
  <c r="F62" i="23"/>
  <c r="F61" i="23" s="1"/>
  <c r="F60" i="23" s="1"/>
  <c r="F59" i="23" s="1"/>
  <c r="F58" i="23" s="1"/>
  <c r="F57" i="23" s="1"/>
  <c r="F40" i="23"/>
  <c r="L37" i="23"/>
  <c r="I37" i="23"/>
  <c r="F37" i="23"/>
  <c r="L35" i="23"/>
  <c r="I35" i="23"/>
  <c r="F35" i="23"/>
  <c r="L32" i="23"/>
  <c r="I32" i="23"/>
  <c r="F32" i="23"/>
  <c r="L29" i="23"/>
  <c r="I29" i="23"/>
  <c r="F29" i="23"/>
  <c r="L833" i="23"/>
  <c r="I833" i="23"/>
  <c r="L831" i="23"/>
  <c r="I831" i="23"/>
  <c r="F831" i="23"/>
  <c r="L829" i="23"/>
  <c r="I829" i="23"/>
  <c r="F829" i="23"/>
  <c r="L826" i="23"/>
  <c r="I826" i="23"/>
  <c r="F826" i="23"/>
  <c r="L821" i="23"/>
  <c r="L820" i="23" s="1"/>
  <c r="L819" i="23" s="1"/>
  <c r="L818" i="23" s="1"/>
  <c r="I821" i="23"/>
  <c r="I820" i="23" s="1"/>
  <c r="I819" i="23" s="1"/>
  <c r="I818" i="23" s="1"/>
  <c r="F821" i="23"/>
  <c r="F820" i="23" s="1"/>
  <c r="F819" i="23" s="1"/>
  <c r="F818" i="23" s="1"/>
  <c r="L815" i="23"/>
  <c r="L814" i="23" s="1"/>
  <c r="L813" i="23" s="1"/>
  <c r="I815" i="23"/>
  <c r="I814" i="23" s="1"/>
  <c r="I813" i="23" s="1"/>
  <c r="I811" i="23" s="1"/>
  <c r="I810" i="23" s="1"/>
  <c r="F815" i="23"/>
  <c r="F814" i="23" s="1"/>
  <c r="F813" i="23" s="1"/>
  <c r="L806" i="23"/>
  <c r="L805" i="23" s="1"/>
  <c r="I806" i="23"/>
  <c r="I805" i="23" s="1"/>
  <c r="F806" i="23"/>
  <c r="F805" i="23" s="1"/>
  <c r="L802" i="23"/>
  <c r="L799" i="23" s="1"/>
  <c r="I802" i="23"/>
  <c r="I799" i="23" s="1"/>
  <c r="F802" i="23"/>
  <c r="F799" i="23" s="1"/>
  <c r="I792" i="23"/>
  <c r="I791" i="23" s="1"/>
  <c r="I790" i="23" s="1"/>
  <c r="I789" i="23" s="1"/>
  <c r="I788" i="23" s="1"/>
  <c r="I787" i="23" s="1"/>
  <c r="F792" i="23"/>
  <c r="F791" i="23" s="1"/>
  <c r="F790" i="23" s="1"/>
  <c r="F789" i="23" s="1"/>
  <c r="F788" i="23" s="1"/>
  <c r="F787" i="23" s="1"/>
  <c r="L792" i="23"/>
  <c r="L791" i="23" s="1"/>
  <c r="L790" i="23" s="1"/>
  <c r="L789" i="23" s="1"/>
  <c r="L788" i="23" s="1"/>
  <c r="L787" i="23" s="1"/>
  <c r="I784" i="23"/>
  <c r="I783" i="23" s="1"/>
  <c r="I782" i="23" s="1"/>
  <c r="I781" i="23" s="1"/>
  <c r="I780" i="23" s="1"/>
  <c r="F784" i="23"/>
  <c r="F783" i="23" s="1"/>
  <c r="F782" i="23" s="1"/>
  <c r="F781" i="23" s="1"/>
  <c r="F780" i="23" s="1"/>
  <c r="L784" i="23"/>
  <c r="L783" i="23" s="1"/>
  <c r="L782" i="23" s="1"/>
  <c r="L781" i="23" s="1"/>
  <c r="L780" i="23" s="1"/>
  <c r="F774" i="23"/>
  <c r="F773" i="23" s="1"/>
  <c r="F766" i="23"/>
  <c r="F765" i="23" s="1"/>
  <c r="L765" i="23"/>
  <c r="I765" i="23"/>
  <c r="F763" i="23"/>
  <c r="F761" i="23"/>
  <c r="L760" i="23"/>
  <c r="I760" i="23"/>
  <c r="L755" i="23"/>
  <c r="L754" i="23" s="1"/>
  <c r="L753" i="23" s="1"/>
  <c r="L752" i="23" s="1"/>
  <c r="I755" i="23"/>
  <c r="I754" i="23" s="1"/>
  <c r="I753" i="23" s="1"/>
  <c r="I752" i="23" s="1"/>
  <c r="F755" i="23"/>
  <c r="F754" i="23" s="1"/>
  <c r="F753" i="23" s="1"/>
  <c r="F752" i="23" s="1"/>
  <c r="F747" i="23"/>
  <c r="F745" i="23"/>
  <c r="F744" i="23" s="1"/>
  <c r="I733" i="23"/>
  <c r="I732" i="23" s="1"/>
  <c r="I731" i="23" s="1"/>
  <c r="F732" i="23"/>
  <c r="F731" i="23" s="1"/>
  <c r="L728" i="23"/>
  <c r="I728" i="23"/>
  <c r="F728" i="23"/>
  <c r="L723" i="23"/>
  <c r="I723" i="23"/>
  <c r="F723" i="23"/>
  <c r="L720" i="23"/>
  <c r="I720" i="23"/>
  <c r="F720" i="23"/>
  <c r="L701" i="23"/>
  <c r="L700" i="23" s="1"/>
  <c r="L699" i="23" s="1"/>
  <c r="L698" i="23" s="1"/>
  <c r="L697" i="23" s="1"/>
  <c r="I701" i="23"/>
  <c r="I700" i="23" s="1"/>
  <c r="I699" i="23" s="1"/>
  <c r="I698" i="23" s="1"/>
  <c r="I697" i="23" s="1"/>
  <c r="F701" i="23"/>
  <c r="F700" i="23" s="1"/>
  <c r="F699" i="23" s="1"/>
  <c r="F698" i="23" s="1"/>
  <c r="I694" i="23"/>
  <c r="I693" i="23" s="1"/>
  <c r="I692" i="23" s="1"/>
  <c r="I691" i="23" s="1"/>
  <c r="I690" i="23" s="1"/>
  <c r="F694" i="23"/>
  <c r="F693" i="23" s="1"/>
  <c r="F692" i="23" s="1"/>
  <c r="F691" i="23" s="1"/>
  <c r="F690" i="23" s="1"/>
  <c r="L694" i="23"/>
  <c r="L693" i="23" s="1"/>
  <c r="L692" i="23" s="1"/>
  <c r="L691" i="23" s="1"/>
  <c r="L690" i="23" s="1"/>
  <c r="L686" i="23"/>
  <c r="L685" i="23" s="1"/>
  <c r="I686" i="23"/>
  <c r="I685" i="23" s="1"/>
  <c r="F686" i="23"/>
  <c r="F685" i="23" s="1"/>
  <c r="L682" i="23"/>
  <c r="L681" i="23" s="1"/>
  <c r="I682" i="23"/>
  <c r="I681" i="23" s="1"/>
  <c r="F682" i="23"/>
  <c r="F681" i="23" s="1"/>
  <c r="L678" i="23"/>
  <c r="L677" i="23" s="1"/>
  <c r="I678" i="23"/>
  <c r="I677" i="23" s="1"/>
  <c r="F678" i="23"/>
  <c r="F677" i="23" s="1"/>
  <c r="I662" i="23"/>
  <c r="I661" i="23" s="1"/>
  <c r="I660" i="23" s="1"/>
  <c r="L661" i="23"/>
  <c r="L660" i="23" s="1"/>
  <c r="F655" i="23"/>
  <c r="F654" i="23" s="1"/>
  <c r="L654" i="23"/>
  <c r="I654" i="23"/>
  <c r="L647" i="23"/>
  <c r="L646" i="23" s="1"/>
  <c r="L645" i="23" s="1"/>
  <c r="L644" i="23" s="1"/>
  <c r="L643" i="23" s="1"/>
  <c r="I647" i="23"/>
  <c r="I646" i="23" s="1"/>
  <c r="I645" i="23" s="1"/>
  <c r="I644" i="23" s="1"/>
  <c r="I643" i="23" s="1"/>
  <c r="F647" i="23"/>
  <c r="F646" i="23" s="1"/>
  <c r="F645" i="23" s="1"/>
  <c r="F644" i="23" s="1"/>
  <c r="F643" i="23" s="1"/>
  <c r="L626" i="23"/>
  <c r="L625" i="23" s="1"/>
  <c r="I626" i="23"/>
  <c r="I625" i="23" s="1"/>
  <c r="F626" i="23"/>
  <c r="F625" i="23" s="1"/>
  <c r="L622" i="23"/>
  <c r="L621" i="23" s="1"/>
  <c r="I622" i="23"/>
  <c r="I621" i="23" s="1"/>
  <c r="F622" i="23"/>
  <c r="F621" i="23" s="1"/>
  <c r="L614" i="23"/>
  <c r="L613" i="23" s="1"/>
  <c r="I614" i="23"/>
  <c r="I613" i="23" s="1"/>
  <c r="F614" i="23"/>
  <c r="F613" i="23" s="1"/>
  <c r="L608" i="23"/>
  <c r="L607" i="23" s="1"/>
  <c r="I608" i="23"/>
  <c r="I607" i="23" s="1"/>
  <c r="F608" i="23"/>
  <c r="F607" i="23" s="1"/>
  <c r="L586" i="23"/>
  <c r="L585" i="23" s="1"/>
  <c r="I586" i="23"/>
  <c r="I585" i="23" s="1"/>
  <c r="F586" i="23"/>
  <c r="F585" i="23" s="1"/>
  <c r="L581" i="23"/>
  <c r="L580" i="23" s="1"/>
  <c r="L579" i="23" s="1"/>
  <c r="L578" i="23" s="1"/>
  <c r="I581" i="23"/>
  <c r="I580" i="23" s="1"/>
  <c r="I579" i="23" s="1"/>
  <c r="I578" i="23" s="1"/>
  <c r="I573" i="23" s="1"/>
  <c r="I572" i="23" s="1"/>
  <c r="F581" i="23"/>
  <c r="F580" i="23" s="1"/>
  <c r="F579" i="23" s="1"/>
  <c r="F578" i="23" s="1"/>
  <c r="L601" i="23"/>
  <c r="L598" i="23" s="1"/>
  <c r="L597" i="23" s="1"/>
  <c r="I601" i="23"/>
  <c r="I598" i="23" s="1"/>
  <c r="I597" i="23" s="1"/>
  <c r="F601" i="23"/>
  <c r="F598" i="23" s="1"/>
  <c r="F597" i="23" s="1"/>
  <c r="F570" i="23"/>
  <c r="F568" i="23"/>
  <c r="L553" i="23"/>
  <c r="I553" i="23"/>
  <c r="L551" i="23"/>
  <c r="L550" i="23" s="1"/>
  <c r="L549" i="23" s="1"/>
  <c r="I551" i="23"/>
  <c r="I550" i="23" s="1"/>
  <c r="I549" i="23" s="1"/>
  <c r="F551" i="23"/>
  <c r="F550" i="23" s="1"/>
  <c r="F549" i="23" s="1"/>
  <c r="F536" i="23"/>
  <c r="F534" i="23"/>
  <c r="L532" i="23"/>
  <c r="L531" i="23" s="1"/>
  <c r="I532" i="23"/>
  <c r="I531" i="23" s="1"/>
  <c r="F532" i="23"/>
  <c r="L527" i="23"/>
  <c r="I527" i="23"/>
  <c r="F527" i="23"/>
  <c r="I525" i="23"/>
  <c r="F525" i="23"/>
  <c r="L525" i="23"/>
  <c r="F523" i="23"/>
  <c r="L512" i="23"/>
  <c r="L511" i="23" s="1"/>
  <c r="L510" i="23" s="1"/>
  <c r="I512" i="23"/>
  <c r="I511" i="23" s="1"/>
  <c r="I510" i="23" s="1"/>
  <c r="F512" i="23"/>
  <c r="F511" i="23" s="1"/>
  <c r="F510" i="23" s="1"/>
  <c r="L505" i="23"/>
  <c r="I505" i="23"/>
  <c r="F505" i="23"/>
  <c r="F503" i="23"/>
  <c r="L494" i="23"/>
  <c r="L493" i="23" s="1"/>
  <c r="L492" i="23" s="1"/>
  <c r="L491" i="23" s="1"/>
  <c r="L490" i="23" s="1"/>
  <c r="L489" i="23" s="1"/>
  <c r="I494" i="23"/>
  <c r="I493" i="23" s="1"/>
  <c r="I492" i="23" s="1"/>
  <c r="I491" i="23" s="1"/>
  <c r="I490" i="23" s="1"/>
  <c r="I489" i="23" s="1"/>
  <c r="F494" i="23"/>
  <c r="F493" i="23" s="1"/>
  <c r="F492" i="23" s="1"/>
  <c r="F491" i="23" s="1"/>
  <c r="F490" i="23" s="1"/>
  <c r="F489" i="23" s="1"/>
  <c r="L485" i="23"/>
  <c r="L484" i="23" s="1"/>
  <c r="L483" i="23" s="1"/>
  <c r="L482" i="23" s="1"/>
  <c r="I485" i="23"/>
  <c r="I484" i="23" s="1"/>
  <c r="I483" i="23" s="1"/>
  <c r="I482" i="23" s="1"/>
  <c r="F485" i="23"/>
  <c r="F484" i="23" s="1"/>
  <c r="F483" i="23" s="1"/>
  <c r="F482" i="23" s="1"/>
  <c r="L479" i="23"/>
  <c r="I479" i="23"/>
  <c r="F479" i="23"/>
  <c r="F474" i="23"/>
  <c r="L471" i="23"/>
  <c r="L470" i="23" s="1"/>
  <c r="I472" i="23"/>
  <c r="I471" i="23" s="1"/>
  <c r="F472" i="23"/>
  <c r="L466" i="23"/>
  <c r="L465" i="23" s="1"/>
  <c r="L464" i="23" s="1"/>
  <c r="I466" i="23"/>
  <c r="I465" i="23" s="1"/>
  <c r="I464" i="23" s="1"/>
  <c r="F466" i="23"/>
  <c r="F465" i="23" s="1"/>
  <c r="F464" i="23" s="1"/>
  <c r="L461" i="23"/>
  <c r="L460" i="23" s="1"/>
  <c r="I461" i="23"/>
  <c r="I460" i="23" s="1"/>
  <c r="F461" i="23"/>
  <c r="F460" i="23" s="1"/>
  <c r="L456" i="23"/>
  <c r="L455" i="23" s="1"/>
  <c r="L454" i="23" s="1"/>
  <c r="L453" i="23" s="1"/>
  <c r="L452" i="23" s="1"/>
  <c r="L451" i="23" s="1"/>
  <c r="I456" i="23"/>
  <c r="I455" i="23" s="1"/>
  <c r="I454" i="23" s="1"/>
  <c r="I453" i="23" s="1"/>
  <c r="I452" i="23" s="1"/>
  <c r="I451" i="23" s="1"/>
  <c r="F456" i="23"/>
  <c r="F455" i="23" s="1"/>
  <c r="F454" i="23" s="1"/>
  <c r="F453" i="23" s="1"/>
  <c r="F452" i="23" s="1"/>
  <c r="F451" i="23" s="1"/>
  <c r="F444" i="23"/>
  <c r="F443" i="23" s="1"/>
  <c r="F442" i="23" s="1"/>
  <c r="F441" i="23" s="1"/>
  <c r="F440" i="23" s="1"/>
  <c r="F439" i="23" s="1"/>
  <c r="L444" i="23"/>
  <c r="L443" i="23" s="1"/>
  <c r="L442" i="23" s="1"/>
  <c r="L441" i="23" s="1"/>
  <c r="L440" i="23" s="1"/>
  <c r="L439" i="23" s="1"/>
  <c r="L431" i="23"/>
  <c r="L423" i="23" s="1"/>
  <c r="L422" i="23" s="1"/>
  <c r="L421" i="23" s="1"/>
  <c r="L420" i="23" s="1"/>
  <c r="L419" i="23" s="1"/>
  <c r="L418" i="23" s="1"/>
  <c r="F424" i="23"/>
  <c r="I425" i="23"/>
  <c r="I424" i="23"/>
  <c r="I423" i="23" s="1"/>
  <c r="I422" i="23" s="1"/>
  <c r="I421" i="23" s="1"/>
  <c r="I420" i="23" s="1"/>
  <c r="I419" i="23" s="1"/>
  <c r="I418" i="23" s="1"/>
  <c r="L402" i="23"/>
  <c r="L401" i="23" s="1"/>
  <c r="I402" i="23"/>
  <c r="I401" i="23" s="1"/>
  <c r="F402" i="23"/>
  <c r="F401" i="23" s="1"/>
  <c r="L397" i="23"/>
  <c r="F393" i="23"/>
  <c r="F392" i="23" s="1"/>
  <c r="L392" i="23"/>
  <c r="I392" i="23"/>
  <c r="F389" i="23"/>
  <c r="F388" i="23" s="1"/>
  <c r="I388" i="23"/>
  <c r="F384" i="23"/>
  <c r="F381" i="23" s="1"/>
  <c r="F372" i="23"/>
  <c r="F366" i="23"/>
  <c r="L355" i="23"/>
  <c r="L354" i="23" s="1"/>
  <c r="I355" i="23"/>
  <c r="I354" i="23" s="1"/>
  <c r="F355" i="23"/>
  <c r="F354" i="23" s="1"/>
  <c r="F332" i="23"/>
  <c r="F326" i="23" s="1"/>
  <c r="I329" i="23"/>
  <c r="I326" i="23" s="1"/>
  <c r="I325" i="23" s="1"/>
  <c r="L322" i="23"/>
  <c r="L321" i="23" s="1"/>
  <c r="I322" i="23"/>
  <c r="I321" i="23" s="1"/>
  <c r="F322" i="23"/>
  <c r="F321" i="23" s="1"/>
  <c r="L310" i="23"/>
  <c r="L309" i="23" s="1"/>
  <c r="L308" i="23" s="1"/>
  <c r="I310" i="23"/>
  <c r="I309" i="23" s="1"/>
  <c r="I308" i="23" s="1"/>
  <c r="F310" i="23"/>
  <c r="F309" i="23" s="1"/>
  <c r="F308" i="23" s="1"/>
  <c r="L293" i="23"/>
  <c r="I286" i="23"/>
  <c r="I285" i="23" s="1"/>
  <c r="F286" i="23"/>
  <c r="F285" i="23" s="1"/>
  <c r="F284" i="23" s="1"/>
  <c r="L286" i="23"/>
  <c r="L285" i="23" s="1"/>
  <c r="F282" i="23"/>
  <c r="F281" i="23" s="1"/>
  <c r="L281" i="23"/>
  <c r="I281" i="23"/>
  <c r="F278" i="23"/>
  <c r="F277" i="23" s="1"/>
  <c r="L277" i="23"/>
  <c r="L274" i="23" s="1"/>
  <c r="I277" i="23"/>
  <c r="I274" i="23" s="1"/>
  <c r="F275" i="23"/>
  <c r="F264" i="23"/>
  <c r="L264" i="23"/>
  <c r="L263" i="23" s="1"/>
  <c r="I264" i="23"/>
  <c r="I263" i="23" s="1"/>
  <c r="L260" i="23"/>
  <c r="I260" i="23"/>
  <c r="L246" i="23"/>
  <c r="L245" i="23" s="1"/>
  <c r="L244" i="23" s="1"/>
  <c r="I246" i="23"/>
  <c r="I245" i="23" s="1"/>
  <c r="I244" i="23" s="1"/>
  <c r="F246" i="23"/>
  <c r="L235" i="23"/>
  <c r="I235" i="23"/>
  <c r="F235" i="23"/>
  <c r="L231" i="23"/>
  <c r="I231" i="23"/>
  <c r="F228" i="23"/>
  <c r="L227" i="23"/>
  <c r="I227" i="23"/>
  <c r="F227" i="23"/>
  <c r="L213" i="23"/>
  <c r="I213" i="23"/>
  <c r="F213" i="23"/>
  <c r="L206" i="23"/>
  <c r="L205" i="23" s="1"/>
  <c r="L204" i="23" s="1"/>
  <c r="I206" i="23"/>
  <c r="I205" i="23" s="1"/>
  <c r="I204" i="23" s="1"/>
  <c r="F206" i="23"/>
  <c r="F205" i="23" s="1"/>
  <c r="F204" i="23" s="1"/>
  <c r="L200" i="23"/>
  <c r="L199" i="23" s="1"/>
  <c r="L198" i="23" s="1"/>
  <c r="I200" i="23"/>
  <c r="I199" i="23" s="1"/>
  <c r="I198" i="23" s="1"/>
  <c r="F200" i="23"/>
  <c r="F199" i="23" s="1"/>
  <c r="F198" i="23" s="1"/>
  <c r="I195" i="23"/>
  <c r="I194" i="23" s="1"/>
  <c r="I193" i="23" s="1"/>
  <c r="F195" i="23"/>
  <c r="F194" i="23" s="1"/>
  <c r="F193" i="23" s="1"/>
  <c r="L195" i="23"/>
  <c r="L194" i="23" s="1"/>
  <c r="L193" i="23" s="1"/>
  <c r="L184" i="23"/>
  <c r="F184" i="23"/>
  <c r="I184" i="23"/>
  <c r="L181" i="23"/>
  <c r="I181" i="23"/>
  <c r="F181" i="23"/>
  <c r="L173" i="23"/>
  <c r="L172" i="23" s="1"/>
  <c r="I173" i="23"/>
  <c r="I172" i="23" s="1"/>
  <c r="F173" i="23"/>
  <c r="F172" i="23" s="1"/>
  <c r="L163" i="23"/>
  <c r="L162" i="23" s="1"/>
  <c r="L161" i="23" s="1"/>
  <c r="I163" i="23"/>
  <c r="I162" i="23" s="1"/>
  <c r="I161" i="23" s="1"/>
  <c r="F163" i="23"/>
  <c r="F162" i="23" s="1"/>
  <c r="F161" i="23" s="1"/>
  <c r="L156" i="23"/>
  <c r="L155" i="23" s="1"/>
  <c r="I156" i="23"/>
  <c r="I155" i="23" s="1"/>
  <c r="F156" i="23"/>
  <c r="F155" i="23" s="1"/>
  <c r="L143" i="23"/>
  <c r="L142" i="23" s="1"/>
  <c r="L141" i="23" s="1"/>
  <c r="L140" i="23" s="1"/>
  <c r="L139" i="23" s="1"/>
  <c r="I143" i="23"/>
  <c r="I142" i="23" s="1"/>
  <c r="I141" i="23" s="1"/>
  <c r="I140" i="23" s="1"/>
  <c r="I139" i="23" s="1"/>
  <c r="F143" i="23"/>
  <c r="L136" i="23"/>
  <c r="L131" i="23" s="1"/>
  <c r="L130" i="23" s="1"/>
  <c r="L129" i="23" s="1"/>
  <c r="L128" i="23" s="1"/>
  <c r="I136" i="23"/>
  <c r="I131" i="23" s="1"/>
  <c r="I130" i="23" s="1"/>
  <c r="I129" i="23" s="1"/>
  <c r="I128" i="23" s="1"/>
  <c r="F136" i="23"/>
  <c r="F131" i="23" s="1"/>
  <c r="F130" i="23" s="1"/>
  <c r="F129" i="23" s="1"/>
  <c r="F128" i="23" s="1"/>
  <c r="L123" i="23"/>
  <c r="L122" i="23" s="1"/>
  <c r="L121" i="23" s="1"/>
  <c r="L120" i="23" s="1"/>
  <c r="L119" i="23" s="1"/>
  <c r="L118" i="23" s="1"/>
  <c r="I123" i="23"/>
  <c r="I122" i="23" s="1"/>
  <c r="I121" i="23" s="1"/>
  <c r="I120" i="23" s="1"/>
  <c r="I119" i="23" s="1"/>
  <c r="I118" i="23" s="1"/>
  <c r="F123" i="23"/>
  <c r="F122" i="23" s="1"/>
  <c r="F121" i="23" s="1"/>
  <c r="F120" i="23" s="1"/>
  <c r="F119" i="23" s="1"/>
  <c r="F118" i="23" s="1"/>
  <c r="L116" i="23"/>
  <c r="I116" i="23"/>
  <c r="L114" i="23"/>
  <c r="I114" i="23"/>
  <c r="F114" i="23"/>
  <c r="L110" i="23"/>
  <c r="I110" i="23"/>
  <c r="F109" i="23"/>
  <c r="F105" i="23"/>
  <c r="L105" i="23"/>
  <c r="I105" i="23"/>
  <c r="I99" i="23"/>
  <c r="I98" i="23" s="1"/>
  <c r="I97" i="23" s="1"/>
  <c r="L94" i="23"/>
  <c r="L93" i="23" s="1"/>
  <c r="L92" i="23" s="1"/>
  <c r="I94" i="23"/>
  <c r="I93" i="23" s="1"/>
  <c r="I92" i="23" s="1"/>
  <c r="F94" i="23"/>
  <c r="F93" i="23" s="1"/>
  <c r="F92" i="23" s="1"/>
  <c r="L52" i="23"/>
  <c r="I52" i="23"/>
  <c r="F52" i="23"/>
  <c r="L46" i="23"/>
  <c r="L45" i="23" s="1"/>
  <c r="I46" i="23"/>
  <c r="I45" i="23" s="1"/>
  <c r="F46" i="23"/>
  <c r="F45" i="23" s="1"/>
  <c r="F24" i="23"/>
  <c r="F23" i="23" s="1"/>
  <c r="F22" i="23" s="1"/>
  <c r="L24" i="23"/>
  <c r="L23" i="23" s="1"/>
  <c r="L22" i="23" s="1"/>
  <c r="I24" i="23"/>
  <c r="I23" i="23" s="1"/>
  <c r="I22" i="23" s="1"/>
  <c r="L17" i="23"/>
  <c r="L16" i="23" s="1"/>
  <c r="L15" i="23" s="1"/>
  <c r="L14" i="23" s="1"/>
  <c r="L13" i="23" s="1"/>
  <c r="L12" i="23" s="1"/>
  <c r="I17" i="23"/>
  <c r="I16" i="23" s="1"/>
  <c r="I15" i="23" s="1"/>
  <c r="I14" i="23" s="1"/>
  <c r="I13" i="23" s="1"/>
  <c r="I12" i="23" s="1"/>
  <c r="F17" i="23"/>
  <c r="F16" i="23" s="1"/>
  <c r="F15" i="23" s="1"/>
  <c r="I470" i="23" l="1"/>
  <c r="F361" i="23"/>
  <c r="F360" i="23" s="1"/>
  <c r="F245" i="23"/>
  <c r="F244" i="23" s="1"/>
  <c r="L825" i="23"/>
  <c r="F51" i="23"/>
  <c r="F50" i="23" s="1"/>
  <c r="I825" i="23"/>
  <c r="I824" i="23" s="1"/>
  <c r="I823" i="23" s="1"/>
  <c r="I809" i="23" s="1"/>
  <c r="I808" i="23" s="1"/>
  <c r="L51" i="23"/>
  <c r="L50" i="23" s="1"/>
  <c r="I51" i="23"/>
  <c r="I50" i="23" s="1"/>
  <c r="I459" i="23"/>
  <c r="I458" i="23" s="1"/>
  <c r="F325" i="23"/>
  <c r="F320" i="23" s="1"/>
  <c r="F459" i="23"/>
  <c r="F458" i="23" s="1"/>
  <c r="L459" i="23"/>
  <c r="L458" i="23" s="1"/>
  <c r="L292" i="23"/>
  <c r="L291" i="23" s="1"/>
  <c r="F423" i="23"/>
  <c r="F422" i="23" s="1"/>
  <c r="F421" i="23" s="1"/>
  <c r="F420" i="23" s="1"/>
  <c r="F419" i="23" s="1"/>
  <c r="F142" i="23"/>
  <c r="F141" i="23" s="1"/>
  <c r="F140" i="23" s="1"/>
  <c r="F139" i="23" s="1"/>
  <c r="I202" i="23"/>
  <c r="I203" i="23"/>
  <c r="F202" i="23"/>
  <c r="F203" i="23"/>
  <c r="F14" i="23"/>
  <c r="F13" i="23" s="1"/>
  <c r="F12" i="23" s="1"/>
  <c r="L202" i="23"/>
  <c r="L203" i="23"/>
  <c r="I719" i="23"/>
  <c r="I718" i="23" s="1"/>
  <c r="I717" i="23" s="1"/>
  <c r="I716" i="23" s="1"/>
  <c r="L719" i="23"/>
  <c r="L718" i="23" s="1"/>
  <c r="L717" i="23" s="1"/>
  <c r="L716" i="23" s="1"/>
  <c r="L266" i="23"/>
  <c r="I266" i="23"/>
  <c r="F266" i="23"/>
  <c r="I293" i="23"/>
  <c r="I292" i="23" s="1"/>
  <c r="F584" i="23"/>
  <c r="F577" i="23" s="1"/>
  <c r="F576" i="23" s="1"/>
  <c r="I689" i="23"/>
  <c r="L689" i="23"/>
  <c r="L259" i="23"/>
  <c r="I634" i="23"/>
  <c r="I633" i="23" s="1"/>
  <c r="I620" i="23" s="1"/>
  <c r="I619" i="23" s="1"/>
  <c r="I618" i="23" s="1"/>
  <c r="I617" i="23" s="1"/>
  <c r="I584" i="23"/>
  <c r="I577" i="23" s="1"/>
  <c r="I576" i="23" s="1"/>
  <c r="I226" i="23"/>
  <c r="L584" i="23"/>
  <c r="L577" i="23" s="1"/>
  <c r="L576" i="23" s="1"/>
  <c r="F531" i="23"/>
  <c r="L360" i="23"/>
  <c r="L353" i="23" s="1"/>
  <c r="L522" i="23"/>
  <c r="F226" i="23"/>
  <c r="F212" i="23" s="1"/>
  <c r="L28" i="23"/>
  <c r="L27" i="23" s="1"/>
  <c r="L21" i="23" s="1"/>
  <c r="L20" i="23" s="1"/>
  <c r="I28" i="23"/>
  <c r="I27" i="23" s="1"/>
  <c r="I21" i="23" s="1"/>
  <c r="I20" i="23" s="1"/>
  <c r="I320" i="23"/>
  <c r="F274" i="23"/>
  <c r="F273" i="23" s="1"/>
  <c r="I259" i="23"/>
  <c r="L72" i="23"/>
  <c r="F263" i="23"/>
  <c r="F259" i="23" s="1"/>
  <c r="I502" i="23"/>
  <c r="I273" i="23"/>
  <c r="I104" i="23"/>
  <c r="I103" i="23" s="1"/>
  <c r="L104" i="23"/>
  <c r="L103" i="23" s="1"/>
  <c r="F396" i="23"/>
  <c r="F395" i="23" s="1"/>
  <c r="F391" i="23" s="1"/>
  <c r="I87" i="23"/>
  <c r="I86" i="23" s="1"/>
  <c r="L87" i="23"/>
  <c r="L86" i="23" s="1"/>
  <c r="L273" i="23"/>
  <c r="I72" i="23"/>
  <c r="I759" i="23"/>
  <c r="I758" i="23" s="1"/>
  <c r="I751" i="23" s="1"/>
  <c r="I750" i="23" s="1"/>
  <c r="F87" i="23"/>
  <c r="F86" i="23" s="1"/>
  <c r="F72" i="23"/>
  <c r="F154" i="23"/>
  <c r="F153" i="23" s="1"/>
  <c r="F152" i="23" s="1"/>
  <c r="L226" i="23"/>
  <c r="L212" i="23" s="1"/>
  <c r="I154" i="23"/>
  <c r="I153" i="23" s="1"/>
  <c r="I152" i="23" s="1"/>
  <c r="I127" i="23" s="1"/>
  <c r="L502" i="23"/>
  <c r="F397" i="23"/>
  <c r="L396" i="23"/>
  <c r="L395" i="23" s="1"/>
  <c r="L391" i="23" s="1"/>
  <c r="F471" i="23"/>
  <c r="F470" i="23" s="1"/>
  <c r="F469" i="23" s="1"/>
  <c r="F468" i="23" s="1"/>
  <c r="F502" i="23"/>
  <c r="F501" i="23" s="1"/>
  <c r="F500" i="23" s="1"/>
  <c r="I567" i="23"/>
  <c r="I566" i="23" s="1"/>
  <c r="I565" i="23" s="1"/>
  <c r="I564" i="23" s="1"/>
  <c r="I563" i="23" s="1"/>
  <c r="F425" i="23"/>
  <c r="F28" i="23"/>
  <c r="F27" i="23" s="1"/>
  <c r="F21" i="23" s="1"/>
  <c r="F553" i="23"/>
  <c r="I180" i="23"/>
  <c r="I179" i="23" s="1"/>
  <c r="I178" i="23" s="1"/>
  <c r="I177" i="23" s="1"/>
  <c r="I522" i="23"/>
  <c r="F798" i="23"/>
  <c r="F797" i="23" s="1"/>
  <c r="F796" i="23" s="1"/>
  <c r="F795" i="23" s="1"/>
  <c r="F522" i="23"/>
  <c r="L567" i="23"/>
  <c r="L566" i="23" s="1"/>
  <c r="L565" i="23" s="1"/>
  <c r="L564" i="23" s="1"/>
  <c r="L563" i="23" s="1"/>
  <c r="L284" i="23"/>
  <c r="L180" i="23"/>
  <c r="L179" i="23" s="1"/>
  <c r="L178" i="23" s="1"/>
  <c r="L177" i="23" s="1"/>
  <c r="I676" i="23"/>
  <c r="I675" i="23" s="1"/>
  <c r="I674" i="23" s="1"/>
  <c r="I673" i="23" s="1"/>
  <c r="F676" i="23"/>
  <c r="F675" i="23" s="1"/>
  <c r="F674" i="23" s="1"/>
  <c r="F673" i="23" s="1"/>
  <c r="F567" i="23"/>
  <c r="F566" i="23" s="1"/>
  <c r="L154" i="23"/>
  <c r="L153" i="23" s="1"/>
  <c r="L152" i="23" s="1"/>
  <c r="L127" i="23" s="1"/>
  <c r="L676" i="23"/>
  <c r="L675" i="23" s="1"/>
  <c r="L674" i="23" s="1"/>
  <c r="L673" i="23" s="1"/>
  <c r="L824" i="23"/>
  <c r="L823" i="23" s="1"/>
  <c r="L811" i="23"/>
  <c r="L810" i="23" s="1"/>
  <c r="L812" i="23"/>
  <c r="F180" i="23"/>
  <c r="F179" i="23" s="1"/>
  <c r="F178" i="23" s="1"/>
  <c r="F177" i="23" s="1"/>
  <c r="L798" i="23"/>
  <c r="L797" i="23" s="1"/>
  <c r="L796" i="23" s="1"/>
  <c r="L795" i="23" s="1"/>
  <c r="I798" i="23"/>
  <c r="I797" i="23" s="1"/>
  <c r="I796" i="23" s="1"/>
  <c r="I795" i="23" s="1"/>
  <c r="F633" i="23"/>
  <c r="F620" i="23" s="1"/>
  <c r="F619" i="23" s="1"/>
  <c r="F618" i="23" s="1"/>
  <c r="F617" i="23" s="1"/>
  <c r="I653" i="23"/>
  <c r="I652" i="23" s="1"/>
  <c r="I651" i="23" s="1"/>
  <c r="I650" i="23" s="1"/>
  <c r="F697" i="23"/>
  <c r="F689" i="23" s="1"/>
  <c r="F760" i="23"/>
  <c r="F759" i="23" s="1"/>
  <c r="F758" i="23" s="1"/>
  <c r="F751" i="23" s="1"/>
  <c r="F750" i="23" s="1"/>
  <c r="L320" i="23"/>
  <c r="I396" i="23"/>
  <c r="I395" i="23" s="1"/>
  <c r="I391" i="23" s="1"/>
  <c r="F743" i="23"/>
  <c r="F772" i="23"/>
  <c r="F771" i="23" s="1"/>
  <c r="F770" i="23" s="1"/>
  <c r="F769" i="23" s="1"/>
  <c r="F768" i="23" s="1"/>
  <c r="L653" i="23"/>
  <c r="L652" i="23" s="1"/>
  <c r="L651" i="23" s="1"/>
  <c r="L650" i="23" s="1"/>
  <c r="L759" i="23"/>
  <c r="L758" i="23" s="1"/>
  <c r="L751" i="23" s="1"/>
  <c r="L750" i="23" s="1"/>
  <c r="I284" i="23"/>
  <c r="F812" i="23"/>
  <c r="F811" i="23"/>
  <c r="F810" i="23" s="1"/>
  <c r="F833" i="23"/>
  <c r="I397" i="23"/>
  <c r="L469" i="23"/>
  <c r="L468" i="23" s="1"/>
  <c r="F116" i="23"/>
  <c r="F104" i="23" s="1"/>
  <c r="F103" i="23" s="1"/>
  <c r="I469" i="23"/>
  <c r="I468" i="23" s="1"/>
  <c r="I812" i="23"/>
  <c r="F565" i="23" l="1"/>
  <c r="F564" i="23" s="1"/>
  <c r="F563" i="23" s="1"/>
  <c r="F211" i="23"/>
  <c r="F210" i="23" s="1"/>
  <c r="F209" i="23" s="1"/>
  <c r="I212" i="23"/>
  <c r="I211" i="23" s="1"/>
  <c r="I210" i="23" s="1"/>
  <c r="I209" i="23" s="1"/>
  <c r="F825" i="23"/>
  <c r="F824" i="23" s="1"/>
  <c r="F823" i="23" s="1"/>
  <c r="F809" i="23" s="1"/>
  <c r="F808" i="23" s="1"/>
  <c r="F418" i="23"/>
  <c r="I19" i="23"/>
  <c r="L19" i="23"/>
  <c r="I501" i="23"/>
  <c r="L501" i="23"/>
  <c r="L450" i="23"/>
  <c r="I450" i="23"/>
  <c r="L319" i="23"/>
  <c r="L318" i="23" s="1"/>
  <c r="I291" i="23"/>
  <c r="F127" i="23"/>
  <c r="F20" i="23"/>
  <c r="F19" i="23" s="1"/>
  <c r="F71" i="23"/>
  <c r="F70" i="23" s="1"/>
  <c r="F69" i="23" s="1"/>
  <c r="F521" i="23"/>
  <c r="F520" i="23" s="1"/>
  <c r="F519" i="23" s="1"/>
  <c r="F518" i="23" s="1"/>
  <c r="L258" i="23"/>
  <c r="L257" i="23" s="1"/>
  <c r="I521" i="23"/>
  <c r="I520" i="23" s="1"/>
  <c r="L521" i="23"/>
  <c r="L520" i="23" s="1"/>
  <c r="L519" i="23" s="1"/>
  <c r="L518" i="23" s="1"/>
  <c r="F353" i="23"/>
  <c r="F352" i="23" s="1"/>
  <c r="F351" i="23" s="1"/>
  <c r="I360" i="23"/>
  <c r="L71" i="23"/>
  <c r="I258" i="23"/>
  <c r="I257" i="23" s="1"/>
  <c r="F258" i="23"/>
  <c r="F257" i="23" s="1"/>
  <c r="F450" i="23"/>
  <c r="F653" i="23"/>
  <c r="F652" i="23" s="1"/>
  <c r="F651" i="23" s="1"/>
  <c r="F650" i="23" s="1"/>
  <c r="F319" i="23"/>
  <c r="F318" i="23" s="1"/>
  <c r="I319" i="23"/>
  <c r="I318" i="23" s="1"/>
  <c r="I71" i="23"/>
  <c r="I70" i="23" s="1"/>
  <c r="I69" i="23" s="1"/>
  <c r="I11" i="23" s="1"/>
  <c r="L211" i="23"/>
  <c r="L210" i="23" s="1"/>
  <c r="L209" i="23" s="1"/>
  <c r="I715" i="23"/>
  <c r="I672" i="23" s="1"/>
  <c r="F499" i="23"/>
  <c r="F498" i="23" s="1"/>
  <c r="L809" i="23"/>
  <c r="L808" i="23" s="1"/>
  <c r="L715" i="23"/>
  <c r="L672" i="23" s="1"/>
  <c r="F719" i="23"/>
  <c r="F718" i="23" s="1"/>
  <c r="F717" i="23" s="1"/>
  <c r="F716" i="23" s="1"/>
  <c r="F715" i="23" s="1"/>
  <c r="F672" i="23" s="1"/>
  <c r="L352" i="23"/>
  <c r="L351" i="23" s="1"/>
  <c r="F293" i="23"/>
  <c r="F292" i="23" s="1"/>
  <c r="I519" i="23" l="1"/>
  <c r="I518" i="23" s="1"/>
  <c r="I515" i="23"/>
  <c r="I514" i="23" s="1"/>
  <c r="F11" i="23"/>
  <c r="L290" i="23"/>
  <c r="I176" i="23"/>
  <c r="F176" i="23"/>
  <c r="L500" i="23"/>
  <c r="L499" i="23" s="1"/>
  <c r="L498" i="23" s="1"/>
  <c r="L497" i="23" s="1"/>
  <c r="I500" i="23"/>
  <c r="I499" i="23" s="1"/>
  <c r="I498" i="23" s="1"/>
  <c r="I497" i="23" s="1"/>
  <c r="I488" i="23" s="1"/>
  <c r="F291" i="23"/>
  <c r="F290" i="23" s="1"/>
  <c r="L70" i="23"/>
  <c r="L69" i="23" s="1"/>
  <c r="L11" i="23" s="1"/>
  <c r="L176" i="23"/>
  <c r="F497" i="23"/>
  <c r="F488" i="23" s="1"/>
  <c r="I353" i="23"/>
  <c r="I352" i="23" s="1"/>
  <c r="J315" i="1"/>
  <c r="G315" i="1"/>
  <c r="D315" i="1"/>
  <c r="I351" i="23" l="1"/>
  <c r="I290" i="23" s="1"/>
  <c r="I10" i="23" s="1"/>
  <c r="I837" i="23" s="1"/>
  <c r="F10" i="23"/>
  <c r="F837" i="23" s="1"/>
  <c r="L10" i="23"/>
  <c r="D525" i="1"/>
  <c r="D522" i="1" s="1"/>
  <c r="J529" i="1"/>
  <c r="G529" i="1"/>
  <c r="D529" i="1"/>
  <c r="G395" i="1" l="1"/>
  <c r="G394" i="1" s="1"/>
  <c r="D395" i="1"/>
  <c r="D394" i="1" s="1"/>
  <c r="J232" i="1" l="1"/>
  <c r="J231" i="1" s="1"/>
  <c r="G232" i="1"/>
  <c r="G231" i="1" s="1"/>
  <c r="D232" i="1"/>
  <c r="D231" i="1" s="1"/>
  <c r="J355" i="1" l="1"/>
  <c r="G355" i="1"/>
  <c r="D355" i="1"/>
  <c r="J95" i="1" l="1"/>
  <c r="J120" i="1" l="1"/>
  <c r="J119" i="1" s="1"/>
  <c r="G120" i="1"/>
  <c r="G119" i="1" s="1"/>
  <c r="D120" i="1"/>
  <c r="D119" i="1" s="1"/>
  <c r="J99" i="1" l="1"/>
  <c r="J434" i="1" l="1"/>
  <c r="D479" i="1"/>
  <c r="G473" i="1"/>
  <c r="D473" i="1"/>
  <c r="J83" i="1"/>
  <c r="J515" i="1"/>
  <c r="G515" i="1"/>
  <c r="J512" i="1"/>
  <c r="G512" i="1"/>
  <c r="D512" i="1"/>
  <c r="G507" i="1"/>
  <c r="J502" i="1"/>
  <c r="J501" i="1" s="1"/>
  <c r="G502" i="1"/>
  <c r="G501" i="1" s="1"/>
  <c r="D502" i="1"/>
  <c r="J499" i="1"/>
  <c r="G499" i="1"/>
  <c r="D499" i="1"/>
  <c r="J497" i="1"/>
  <c r="G497" i="1"/>
  <c r="D497" i="1"/>
  <c r="J486" i="1"/>
  <c r="G486" i="1"/>
  <c r="D486" i="1"/>
  <c r="J484" i="1"/>
  <c r="G484" i="1"/>
  <c r="D484" i="1"/>
  <c r="J462" i="1"/>
  <c r="G462" i="1"/>
  <c r="D463" i="1"/>
  <c r="D465" i="1"/>
  <c r="G452" i="1"/>
  <c r="D452" i="1"/>
  <c r="J442" i="1"/>
  <c r="G442" i="1"/>
  <c r="G446" i="1"/>
  <c r="G445" i="1" s="1"/>
  <c r="G444" i="1" s="1"/>
  <c r="D445" i="1"/>
  <c r="D444" i="1" s="1"/>
  <c r="D462" i="1" l="1"/>
  <c r="G439" i="1"/>
  <c r="D439" i="1"/>
  <c r="G434" i="1"/>
  <c r="J420" i="1"/>
  <c r="G420" i="1"/>
  <c r="D420" i="1"/>
  <c r="G406" i="1"/>
  <c r="J413" i="1"/>
  <c r="J412" i="1" s="1"/>
  <c r="G413" i="1"/>
  <c r="G412" i="1" s="1"/>
  <c r="D413" i="1"/>
  <c r="D412" i="1" s="1"/>
  <c r="J402" i="1"/>
  <c r="G402" i="1"/>
  <c r="J399" i="1"/>
  <c r="D404" i="1"/>
  <c r="J392" i="1"/>
  <c r="G392" i="1"/>
  <c r="D392" i="1"/>
  <c r="J398" i="1" l="1"/>
  <c r="J397" i="1" s="1"/>
  <c r="J383" i="1" l="1"/>
  <c r="G383" i="1"/>
  <c r="D383" i="1"/>
  <c r="J381" i="1"/>
  <c r="G381" i="1"/>
  <c r="D381" i="1"/>
  <c r="D369" i="1"/>
  <c r="G380" i="1" l="1"/>
  <c r="J380" i="1"/>
  <c r="J367" i="1"/>
  <c r="G367" i="1"/>
  <c r="J365" i="1"/>
  <c r="G365" i="1"/>
  <c r="G360" i="1" s="1"/>
  <c r="D365" i="1"/>
  <c r="J360" i="1" l="1"/>
  <c r="G354" i="1"/>
  <c r="G353" i="1" s="1"/>
  <c r="D354" i="1"/>
  <c r="D353" i="1" s="1"/>
  <c r="J336" i="1"/>
  <c r="G336" i="1"/>
  <c r="J334" i="1"/>
  <c r="G334" i="1"/>
  <c r="D336" i="1"/>
  <c r="D334" i="1"/>
  <c r="J349" i="1"/>
  <c r="G349" i="1"/>
  <c r="D349" i="1"/>
  <c r="J347" i="1"/>
  <c r="G347" i="1"/>
  <c r="D347" i="1"/>
  <c r="J345" i="1"/>
  <c r="G345" i="1"/>
  <c r="J343" i="1"/>
  <c r="G343" i="1"/>
  <c r="D343" i="1"/>
  <c r="J340" i="1"/>
  <c r="G340" i="1"/>
  <c r="D340" i="1"/>
  <c r="J323" i="1"/>
  <c r="G323" i="1"/>
  <c r="D323" i="1"/>
  <c r="G310" i="1"/>
  <c r="G309" i="1" s="1"/>
  <c r="G308" i="1" s="1"/>
  <c r="J296" i="1"/>
  <c r="G296" i="1"/>
  <c r="J277" i="1"/>
  <c r="J276" i="1" s="1"/>
  <c r="G277" i="1"/>
  <c r="G276" i="1" s="1"/>
  <c r="D268" i="1"/>
  <c r="J292" i="1"/>
  <c r="G292" i="1"/>
  <c r="D292" i="1"/>
  <c r="J287" i="1"/>
  <c r="J286" i="1" s="1"/>
  <c r="G287" i="1"/>
  <c r="G286" i="1" s="1"/>
  <c r="D287" i="1"/>
  <c r="D286" i="1" s="1"/>
  <c r="J284" i="1"/>
  <c r="G284" i="1"/>
  <c r="D284" i="1"/>
  <c r="J280" i="1"/>
  <c r="J279" i="1" s="1"/>
  <c r="G280" i="1"/>
  <c r="G279" i="1" s="1"/>
  <c r="D260" i="1"/>
  <c r="D259" i="1" s="1"/>
  <c r="J253" i="1"/>
  <c r="G253" i="1"/>
  <c r="D253" i="1"/>
  <c r="J256" i="1"/>
  <c r="G256" i="1"/>
  <c r="J251" i="1"/>
  <c r="G251" i="1"/>
  <c r="J248" i="1"/>
  <c r="G248" i="1"/>
  <c r="D248" i="1"/>
  <c r="J245" i="1"/>
  <c r="G245" i="1"/>
  <c r="D245" i="1"/>
  <c r="J240" i="1"/>
  <c r="G240" i="1"/>
  <c r="D240" i="1"/>
  <c r="J237" i="1"/>
  <c r="G237" i="1"/>
  <c r="D237" i="1"/>
  <c r="J333" i="1" l="1"/>
  <c r="J332" i="1" s="1"/>
  <c r="G333" i="1"/>
  <c r="G332" i="1" s="1"/>
  <c r="D333" i="1"/>
  <c r="D332" i="1" s="1"/>
  <c r="G275" i="1"/>
  <c r="J275" i="1"/>
  <c r="J225" i="1"/>
  <c r="G225" i="1"/>
  <c r="D225" i="1"/>
  <c r="J228" i="1" l="1"/>
  <c r="G228" i="1"/>
  <c r="D228" i="1"/>
  <c r="J223" i="1"/>
  <c r="G223" i="1"/>
  <c r="D223" i="1"/>
  <c r="J218" i="1"/>
  <c r="G218" i="1"/>
  <c r="D218" i="1"/>
  <c r="J209" i="1"/>
  <c r="G209" i="1"/>
  <c r="D209" i="1"/>
  <c r="J207" i="1"/>
  <c r="G207" i="1"/>
  <c r="D207" i="1"/>
  <c r="J202" i="1"/>
  <c r="J201" i="1" s="1"/>
  <c r="G202" i="1"/>
  <c r="D202" i="1"/>
  <c r="J128" i="1"/>
  <c r="G128" i="1"/>
  <c r="D128" i="1"/>
  <c r="J178" i="1"/>
  <c r="G178" i="1"/>
  <c r="D178" i="1"/>
  <c r="J154" i="1"/>
  <c r="G154" i="1"/>
  <c r="J152" i="1"/>
  <c r="G152" i="1"/>
  <c r="D152" i="1"/>
  <c r="J150" i="1"/>
  <c r="G150" i="1"/>
  <c r="D150" i="1"/>
  <c r="J144" i="1"/>
  <c r="G144" i="1"/>
  <c r="D144" i="1"/>
  <c r="G143" i="1"/>
  <c r="D143" i="1"/>
  <c r="J140" i="1"/>
  <c r="G140" i="1"/>
  <c r="D140" i="1"/>
  <c r="J136" i="1"/>
  <c r="G136" i="1"/>
  <c r="D136" i="1"/>
  <c r="J134" i="1"/>
  <c r="G134" i="1"/>
  <c r="J132" i="1"/>
  <c r="J130" i="1"/>
  <c r="G130" i="1"/>
  <c r="D130" i="1"/>
  <c r="J126" i="1"/>
  <c r="G126" i="1"/>
  <c r="J124" i="1"/>
  <c r="G124" i="1"/>
  <c r="G116" i="1"/>
  <c r="G115" i="1" s="1"/>
  <c r="J116" i="1"/>
  <c r="J103" i="1"/>
  <c r="G103" i="1"/>
  <c r="J101" i="1"/>
  <c r="G101" i="1"/>
  <c r="D101" i="1"/>
  <c r="G99" i="1"/>
  <c r="D99" i="1"/>
  <c r="J97" i="1"/>
  <c r="G97" i="1"/>
  <c r="D97" i="1"/>
  <c r="G95" i="1"/>
  <c r="D95" i="1"/>
  <c r="J93" i="1"/>
  <c r="G93" i="1"/>
  <c r="D93" i="1"/>
  <c r="J91" i="1"/>
  <c r="G91" i="1"/>
  <c r="J89" i="1"/>
  <c r="G89" i="1"/>
  <c r="D89" i="1"/>
  <c r="G83" i="1"/>
  <c r="D83" i="1"/>
  <c r="J78" i="1"/>
  <c r="G78" i="1"/>
  <c r="D78" i="1"/>
  <c r="J72" i="1"/>
  <c r="G72" i="1"/>
  <c r="D72" i="1"/>
  <c r="G60" i="1"/>
  <c r="D60" i="1"/>
  <c r="J58" i="1"/>
  <c r="G58" i="1"/>
  <c r="D58" i="1"/>
  <c r="J48" i="1"/>
  <c r="G48" i="1"/>
  <c r="D48" i="1"/>
  <c r="J46" i="1"/>
  <c r="G46" i="1"/>
  <c r="D46" i="1"/>
  <c r="J28" i="1"/>
  <c r="G28" i="1"/>
  <c r="D28" i="1"/>
  <c r="D25" i="1"/>
  <c r="J23" i="1"/>
  <c r="G23" i="1"/>
  <c r="D23" i="1"/>
  <c r="J17" i="1"/>
  <c r="G17" i="1"/>
  <c r="D17" i="1"/>
  <c r="J14" i="1"/>
  <c r="G14" i="1"/>
  <c r="D14" i="1"/>
  <c r="G13" i="1" l="1"/>
  <c r="D13" i="1"/>
  <c r="J13" i="1"/>
  <c r="J57" i="1"/>
  <c r="G57" i="1"/>
  <c r="D57" i="1"/>
  <c r="D442" i="1" l="1"/>
  <c r="J227" i="1"/>
  <c r="J215" i="1" s="1"/>
  <c r="G227" i="1"/>
  <c r="G215" i="1" s="1"/>
  <c r="G214" i="1" s="1"/>
  <c r="D227" i="1"/>
  <c r="D215" i="1" l="1"/>
  <c r="D214" i="1" s="1"/>
  <c r="G399" i="1" l="1"/>
  <c r="D367" i="1"/>
  <c r="D360" i="1" s="1"/>
  <c r="D553" i="1"/>
  <c r="D469" i="1"/>
  <c r="D402" i="1"/>
  <c r="D387" i="1"/>
  <c r="D380" i="1" s="1"/>
  <c r="D256" i="1"/>
  <c r="D251" i="1"/>
  <c r="D126" i="1"/>
  <c r="D124" i="1"/>
  <c r="G108" i="1"/>
  <c r="D398" i="1" l="1"/>
  <c r="D397" i="1" s="1"/>
  <c r="G398" i="1"/>
  <c r="G397" i="1" s="1"/>
  <c r="D267" i="1" l="1"/>
  <c r="D258" i="1" s="1"/>
  <c r="D266" i="1" l="1"/>
  <c r="D279" i="1" l="1"/>
  <c r="D277" i="1"/>
  <c r="D276" i="1" s="1"/>
  <c r="D275" i="1" l="1"/>
  <c r="D201" i="1" l="1"/>
  <c r="D519" i="1" l="1"/>
  <c r="D91" i="1" l="1"/>
  <c r="D109" i="1" l="1"/>
  <c r="J167" i="1" l="1"/>
  <c r="J166" i="1" s="1"/>
  <c r="J165" i="1" s="1"/>
  <c r="G166" i="1"/>
  <c r="G165" i="1" s="1"/>
  <c r="D166" i="1"/>
  <c r="D165" i="1" s="1"/>
  <c r="D564" i="1" l="1"/>
  <c r="D562" i="1"/>
  <c r="D560" i="1"/>
  <c r="D558" i="1"/>
  <c r="D556" i="1"/>
  <c r="D546" i="1"/>
  <c r="D540" i="1"/>
  <c r="D538" i="1"/>
  <c r="D535" i="1"/>
  <c r="D531" i="1"/>
  <c r="D518" i="1"/>
  <c r="D515" i="1"/>
  <c r="D514" i="1" s="1"/>
  <c r="D511" i="1" s="1"/>
  <c r="D506" i="1"/>
  <c r="D505" i="1" s="1"/>
  <c r="D504" i="1" s="1"/>
  <c r="D501" i="1"/>
  <c r="D492" i="1"/>
  <c r="D491" i="1" s="1"/>
  <c r="D488" i="1"/>
  <c r="D483" i="1" s="1"/>
  <c r="D478" i="1"/>
  <c r="D477" i="1" s="1"/>
  <c r="D468" i="1"/>
  <c r="D456" i="1"/>
  <c r="D451" i="1"/>
  <c r="D450" i="1" s="1"/>
  <c r="D441" i="1"/>
  <c r="D437" i="1"/>
  <c r="D434" i="1"/>
  <c r="D433" i="1"/>
  <c r="D419" i="1"/>
  <c r="D391" i="1"/>
  <c r="D359" i="1" s="1"/>
  <c r="D352" i="1"/>
  <c r="D339" i="1"/>
  <c r="D322" i="1"/>
  <c r="D321" i="1" s="1"/>
  <c r="D320" i="1" s="1"/>
  <c r="D314" i="1"/>
  <c r="D303" i="1"/>
  <c r="D302" i="1" s="1"/>
  <c r="D301" i="1" s="1"/>
  <c r="D296" i="1"/>
  <c r="D295" i="1" s="1"/>
  <c r="D291" i="1"/>
  <c r="D290" i="1" s="1"/>
  <c r="D283" i="1"/>
  <c r="D282" i="1" s="1"/>
  <c r="D255" i="1"/>
  <c r="D250" i="1"/>
  <c r="D247" i="1"/>
  <c r="D244" i="1"/>
  <c r="D239" i="1"/>
  <c r="D236" i="1"/>
  <c r="D206" i="1"/>
  <c r="D199" i="1"/>
  <c r="D194" i="1"/>
  <c r="D193" i="1" s="1"/>
  <c r="D190" i="1"/>
  <c r="D189" i="1" s="1"/>
  <c r="D186" i="1"/>
  <c r="D185" i="1" s="1"/>
  <c r="D182" i="1"/>
  <c r="D181" i="1" s="1"/>
  <c r="D177" i="1"/>
  <c r="D176" i="1" s="1"/>
  <c r="D149" i="1"/>
  <c r="D142" i="1"/>
  <c r="D139" i="1" s="1"/>
  <c r="D138" i="1" s="1"/>
  <c r="D108" i="1"/>
  <c r="D107" i="1" s="1"/>
  <c r="D103" i="1"/>
  <c r="D87" i="1"/>
  <c r="D82" i="1"/>
  <c r="D56" i="1"/>
  <c r="D16" i="1"/>
  <c r="D12" i="1" s="1"/>
  <c r="D455" i="1" l="1"/>
  <c r="D454" i="1" s="1"/>
  <c r="D235" i="1"/>
  <c r="D432" i="1"/>
  <c r="D418" i="1" s="1"/>
  <c r="D198" i="1"/>
  <c r="D197" i="1" s="1"/>
  <c r="D482" i="1"/>
  <c r="D65" i="1"/>
  <c r="D31" i="1"/>
  <c r="D30" i="1" s="1"/>
  <c r="D123" i="1"/>
  <c r="D122" i="1" s="1"/>
  <c r="D86" i="1"/>
  <c r="D164" i="1"/>
  <c r="D472" i="1"/>
  <c r="D471" i="1" s="1"/>
  <c r="D467" i="1" s="1"/>
  <c r="D148" i="1"/>
  <c r="D313" i="1"/>
  <c r="D294" i="1"/>
  <c r="D342" i="1"/>
  <c r="D338" i="1" s="1"/>
  <c r="D331" i="1" s="1"/>
  <c r="D510" i="1"/>
  <c r="D180" i="1"/>
  <c r="D234" i="1" l="1"/>
  <c r="D417" i="1"/>
  <c r="D351" i="1"/>
  <c r="J80" i="1"/>
  <c r="G80" i="1"/>
  <c r="D542" i="1" l="1"/>
  <c r="D528" i="1" s="1"/>
  <c r="D521" i="1" l="1"/>
  <c r="D80" i="1"/>
  <c r="D64" i="1"/>
  <c r="D63" i="1" s="1"/>
  <c r="J492" i="1"/>
  <c r="J491" i="1" s="1"/>
  <c r="G492" i="1"/>
  <c r="G491" i="1" s="1"/>
  <c r="J142" i="1"/>
  <c r="G142" i="1"/>
  <c r="J87" i="1"/>
  <c r="G87" i="1"/>
  <c r="D77" i="1" l="1"/>
  <c r="D76" i="1" s="1"/>
  <c r="D62" i="1" s="1"/>
  <c r="J86" i="1"/>
  <c r="J199" i="1"/>
  <c r="J479" i="1" l="1"/>
  <c r="G479" i="1"/>
  <c r="J473" i="1"/>
  <c r="G199" i="1" l="1"/>
  <c r="D22" i="1" l="1"/>
  <c r="D21" i="1" s="1"/>
  <c r="D11" i="1" s="1"/>
  <c r="D10" i="1" l="1"/>
  <c r="D576" i="1" s="1"/>
  <c r="C17" i="25" l="1"/>
  <c r="C16" i="25" s="1"/>
  <c r="C15" i="25" s="1"/>
  <c r="C10" i="25" s="1"/>
  <c r="C9" i="25" s="1"/>
  <c r="C19" i="25" s="1"/>
  <c r="J488" i="1"/>
  <c r="J483" i="1" s="1"/>
  <c r="G488" i="1"/>
  <c r="G483" i="1" s="1"/>
  <c r="J65" i="1"/>
  <c r="J64" i="1" s="1"/>
  <c r="J63" i="1" s="1"/>
  <c r="G65" i="1"/>
  <c r="G64" i="1" s="1"/>
  <c r="G63" i="1" s="1"/>
  <c r="G437" i="1" l="1"/>
  <c r="J437" i="1"/>
  <c r="G456" i="1" l="1"/>
  <c r="J456" i="1"/>
  <c r="J302" i="1"/>
  <c r="G303" i="1"/>
  <c r="G302" i="1" s="1"/>
  <c r="J25" i="1" l="1"/>
  <c r="J22" i="1" s="1"/>
  <c r="J21" i="1" s="1"/>
  <c r="G25" i="1"/>
  <c r="G22" i="1" s="1"/>
  <c r="G21" i="1" s="1"/>
  <c r="J468" i="1" l="1"/>
  <c r="G468" i="1"/>
  <c r="J339" i="1" l="1"/>
  <c r="G339" i="1"/>
  <c r="J322" i="1"/>
  <c r="J321" i="1" s="1"/>
  <c r="G322" i="1"/>
  <c r="G321" i="1" s="1"/>
  <c r="J301" i="1"/>
  <c r="G301" i="1"/>
  <c r="J255" i="1"/>
  <c r="G255" i="1"/>
  <c r="J115" i="1"/>
  <c r="J107" i="1" s="1"/>
  <c r="G342" i="1" l="1"/>
  <c r="G338" i="1" s="1"/>
  <c r="G331" i="1" s="1"/>
  <c r="J342" i="1"/>
  <c r="J338" i="1" s="1"/>
  <c r="J331" i="1" s="1"/>
  <c r="J564" i="1" l="1"/>
  <c r="G564" i="1"/>
  <c r="G562" i="1"/>
  <c r="J560" i="1"/>
  <c r="G560" i="1"/>
  <c r="J558" i="1"/>
  <c r="G558" i="1"/>
  <c r="J556" i="1"/>
  <c r="G556" i="1"/>
  <c r="J554" i="1"/>
  <c r="G554" i="1"/>
  <c r="J546" i="1"/>
  <c r="G546" i="1"/>
  <c r="J542" i="1"/>
  <c r="G542" i="1"/>
  <c r="J540" i="1"/>
  <c r="G540" i="1"/>
  <c r="J538" i="1"/>
  <c r="G538" i="1"/>
  <c r="J535" i="1"/>
  <c r="G535" i="1"/>
  <c r="J531" i="1"/>
  <c r="G531" i="1"/>
  <c r="J525" i="1"/>
  <c r="G525" i="1"/>
  <c r="J478" i="1"/>
  <c r="J477" i="1" s="1"/>
  <c r="G478" i="1"/>
  <c r="G477" i="1" s="1"/>
  <c r="J472" i="1"/>
  <c r="J471" i="1" s="1"/>
  <c r="G472" i="1"/>
  <c r="G471" i="1" s="1"/>
  <c r="J518" i="1"/>
  <c r="G518" i="1"/>
  <c r="J514" i="1"/>
  <c r="J511" i="1" s="1"/>
  <c r="G514" i="1"/>
  <c r="G511" i="1" s="1"/>
  <c r="J506" i="1"/>
  <c r="J505" i="1" s="1"/>
  <c r="J504" i="1" s="1"/>
  <c r="G506" i="1"/>
  <c r="G505" i="1" s="1"/>
  <c r="G504" i="1" s="1"/>
  <c r="J455" i="1"/>
  <c r="J454" i="1" s="1"/>
  <c r="G455" i="1"/>
  <c r="G454" i="1" s="1"/>
  <c r="J451" i="1"/>
  <c r="J450" i="1" s="1"/>
  <c r="G451" i="1"/>
  <c r="G450" i="1" s="1"/>
  <c r="J441" i="1"/>
  <c r="G441" i="1"/>
  <c r="J433" i="1"/>
  <c r="J432" i="1" s="1"/>
  <c r="G433" i="1"/>
  <c r="G432" i="1" s="1"/>
  <c r="J419" i="1"/>
  <c r="G419" i="1"/>
  <c r="J391" i="1"/>
  <c r="J359" i="1" s="1"/>
  <c r="G391" i="1"/>
  <c r="G359" i="1" s="1"/>
  <c r="J354" i="1"/>
  <c r="J353" i="1" s="1"/>
  <c r="J320" i="1"/>
  <c r="G320" i="1"/>
  <c r="J314" i="1"/>
  <c r="G314" i="1"/>
  <c r="J295" i="1"/>
  <c r="J294" i="1" s="1"/>
  <c r="G295" i="1"/>
  <c r="G294" i="1" s="1"/>
  <c r="J291" i="1"/>
  <c r="J290" i="1" s="1"/>
  <c r="G291" i="1"/>
  <c r="G290" i="1" s="1"/>
  <c r="J283" i="1"/>
  <c r="J282" i="1" s="1"/>
  <c r="G283" i="1"/>
  <c r="G282" i="1" s="1"/>
  <c r="J250" i="1"/>
  <c r="G250" i="1"/>
  <c r="J247" i="1"/>
  <c r="G247" i="1"/>
  <c r="J244" i="1"/>
  <c r="G244" i="1"/>
  <c r="J239" i="1"/>
  <c r="G239" i="1"/>
  <c r="J236" i="1"/>
  <c r="G236" i="1"/>
  <c r="J214" i="1"/>
  <c r="J206" i="1"/>
  <c r="G206" i="1"/>
  <c r="J198" i="1"/>
  <c r="G198" i="1"/>
  <c r="J194" i="1"/>
  <c r="J193" i="1" s="1"/>
  <c r="G194" i="1"/>
  <c r="G193" i="1" s="1"/>
  <c r="J190" i="1"/>
  <c r="J189" i="1" s="1"/>
  <c r="G190" i="1"/>
  <c r="G189" i="1" s="1"/>
  <c r="J186" i="1"/>
  <c r="J185" i="1" s="1"/>
  <c r="G186" i="1"/>
  <c r="G185" i="1" s="1"/>
  <c r="J182" i="1"/>
  <c r="J181" i="1" s="1"/>
  <c r="G182" i="1"/>
  <c r="G181" i="1" s="1"/>
  <c r="J177" i="1"/>
  <c r="J176" i="1" s="1"/>
  <c r="G177" i="1"/>
  <c r="G176" i="1" s="1"/>
  <c r="J164" i="1"/>
  <c r="G164" i="1"/>
  <c r="J149" i="1"/>
  <c r="J148" i="1" s="1"/>
  <c r="G149" i="1"/>
  <c r="G148" i="1" s="1"/>
  <c r="J139" i="1"/>
  <c r="J138" i="1" s="1"/>
  <c r="G139" i="1"/>
  <c r="G138" i="1" s="1"/>
  <c r="G107" i="1"/>
  <c r="G86" i="1"/>
  <c r="J82" i="1"/>
  <c r="G82" i="1"/>
  <c r="J56" i="1"/>
  <c r="G56" i="1"/>
  <c r="J31" i="1"/>
  <c r="J30" i="1" s="1"/>
  <c r="G31" i="1"/>
  <c r="G30" i="1" s="1"/>
  <c r="J16" i="1"/>
  <c r="J12" i="1" s="1"/>
  <c r="G16" i="1"/>
  <c r="G12" i="1" s="1"/>
  <c r="J418" i="1" l="1"/>
  <c r="J417" i="1" s="1"/>
  <c r="G528" i="1"/>
  <c r="G418" i="1"/>
  <c r="G417" i="1" s="1"/>
  <c r="J528" i="1"/>
  <c r="J197" i="1"/>
  <c r="G197" i="1"/>
  <c r="J522" i="1"/>
  <c r="G522" i="1"/>
  <c r="J235" i="1"/>
  <c r="J234" i="1" s="1"/>
  <c r="J482" i="1"/>
  <c r="G482" i="1"/>
  <c r="G352" i="1"/>
  <c r="J352" i="1"/>
  <c r="J123" i="1"/>
  <c r="J122" i="1" s="1"/>
  <c r="J77" i="1"/>
  <c r="J76" i="1" s="1"/>
  <c r="G123" i="1"/>
  <c r="G122" i="1" s="1"/>
  <c r="J510" i="1"/>
  <c r="J313" i="1"/>
  <c r="G11" i="1"/>
  <c r="J11" i="1"/>
  <c r="J467" i="1"/>
  <c r="G510" i="1"/>
  <c r="G180" i="1"/>
  <c r="G467" i="1"/>
  <c r="G77" i="1"/>
  <c r="G76" i="1" s="1"/>
  <c r="J180" i="1"/>
  <c r="G313" i="1"/>
  <c r="G521" i="1" l="1"/>
  <c r="J521" i="1"/>
  <c r="G235" i="1"/>
  <c r="G234" i="1" s="1"/>
  <c r="J62" i="1"/>
  <c r="J351" i="1"/>
  <c r="G351" i="1"/>
  <c r="G62" i="1"/>
  <c r="J10" i="1" l="1"/>
  <c r="G10" i="1"/>
  <c r="G576" i="1" s="1"/>
  <c r="D15" i="25" l="1"/>
  <c r="D10" i="25" s="1"/>
  <c r="D9" i="25" s="1"/>
  <c r="D19" i="25" s="1"/>
  <c r="D16" i="25"/>
  <c r="D17" i="25"/>
  <c r="J576" i="1"/>
  <c r="E16" i="25" l="1"/>
  <c r="E17" i="25"/>
  <c r="E15" i="25"/>
  <c r="E10" i="25" s="1"/>
  <c r="E9" i="25" s="1"/>
  <c r="E19" i="25" s="1"/>
  <c r="L634" i="23" l="1"/>
  <c r="L633" i="23" s="1"/>
  <c r="N637" i="23"/>
  <c r="N634" i="23" s="1"/>
  <c r="N633" i="23" s="1"/>
  <c r="L620" i="23" l="1"/>
  <c r="L619" i="23" s="1"/>
  <c r="L618" i="23" s="1"/>
  <c r="L617" i="23" s="1"/>
  <c r="L488" i="23" s="1"/>
  <c r="L837" i="23" s="1"/>
  <c r="N620" i="23"/>
  <c r="N619" i="23" s="1"/>
  <c r="N618" i="23" s="1"/>
  <c r="N617" i="23" s="1"/>
  <c r="N488" i="23" s="1"/>
  <c r="N837" i="23" s="1"/>
  <c r="D64" i="36" l="1"/>
  <c r="D65" i="36" s="1"/>
  <c r="D62" i="36"/>
</calcChain>
</file>

<file path=xl/sharedStrings.xml><?xml version="1.0" encoding="utf-8"?>
<sst xmlns="http://schemas.openxmlformats.org/spreadsheetml/2006/main" count="2989" uniqueCount="956">
  <si>
    <t>Целевая статья</t>
  </si>
  <si>
    <t>Вид расходов</t>
  </si>
  <si>
    <t>Направление расходов (отрасль), наименование показателя</t>
  </si>
  <si>
    <t>2024 год</t>
  </si>
  <si>
    <t>2025 год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</si>
  <si>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</si>
  <si>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</si>
  <si>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</si>
  <si>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</si>
  <si>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</si>
  <si>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</si>
  <si>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</si>
  <si>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</si>
  <si>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</si>
  <si>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</si>
  <si>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</si>
  <si>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</si>
  <si>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</si>
  <si>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</si>
  <si>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</si>
  <si>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</si>
  <si>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</si>
  <si>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</si>
  <si>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</si>
  <si>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</si>
  <si>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</si>
  <si>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</si>
  <si>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</si>
  <si>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</si>
  <si>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</si>
  <si>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</si>
  <si>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</si>
  <si>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</si>
  <si>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</si>
  <si>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</si>
  <si>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</si>
  <si>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</si>
  <si>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</si>
  <si>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</si>
  <si>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</si>
  <si>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</si>
  <si>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</si>
  <si>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</si>
  <si>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</si>
  <si>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</si>
  <si>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</si>
  <si>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</si>
  <si>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</si>
  <si>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</si>
  <si>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</si>
  <si>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</si>
  <si>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</si>
  <si>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</si>
  <si>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</si>
  <si>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</si>
  <si>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</si>
  <si>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</si>
  <si>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</si>
  <si>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</si>
  <si>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</si>
  <si>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</si>
  <si>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</si>
  <si>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</si>
  <si>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</si>
  <si>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</si>
  <si>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</si>
  <si>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</si>
  <si>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</si>
  <si>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</si>
  <si>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</si>
  <si>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</si>
  <si>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</si>
  <si>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</si>
  <si>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</si>
  <si>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</si>
  <si>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</si>
  <si>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</si>
  <si>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</si>
  <si>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</si>
  <si>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</si>
  <si>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</si>
  <si>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</si>
  <si>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</si>
  <si>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</si>
  <si>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</si>
  <si>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</si>
  <si>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</si>
  <si>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</si>
  <si>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</si>
  <si>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</si>
  <si>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</si>
  <si>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</si>
  <si>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</si>
  <si>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</si>
  <si>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</si>
  <si>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</si>
  <si>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</si>
  <si>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</si>
  <si>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</si>
  <si>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</si>
  <si>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</si>
  <si>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</si>
  <si>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</si>
  <si>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(целевая субсидия)</t>
  </si>
  <si>
    <t>за счет краевого бюджета (единая субсидия)</t>
  </si>
  <si>
    <t>за счет местного бюджета</t>
  </si>
  <si>
    <t>Строительство интерната Майкорская ОШИ Юсьвинского муниципального округа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</si>
  <si>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</si>
  <si>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</si>
  <si>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</si>
  <si>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</si>
  <si>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</si>
  <si>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</si>
  <si>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</si>
  <si>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</si>
  <si>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</si>
  <si>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</si>
  <si>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</si>
  <si>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</si>
  <si>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</si>
  <si>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</si>
  <si>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</si>
  <si>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</si>
  <si>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</si>
  <si>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</si>
  <si>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</si>
  <si>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</si>
  <si>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</si>
  <si>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</si>
  <si>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</si>
  <si>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</si>
  <si>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</si>
  <si>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</si>
  <si>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</si>
  <si>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</si>
  <si>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</si>
  <si>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</si>
  <si>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</si>
  <si>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</si>
  <si>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</si>
  <si>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</si>
  <si>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</si>
  <si>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</si>
  <si>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</si>
  <si>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</si>
  <si>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</si>
  <si>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</si>
  <si>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</si>
  <si>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</si>
  <si>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</si>
  <si>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</si>
  <si>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Крохалево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</si>
  <si>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</si>
  <si>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</si>
  <si>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</si>
  <si>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</si>
  <si>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</si>
  <si>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</si>
  <si>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</si>
  <si>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</si>
  <si>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</si>
  <si>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</si>
  <si>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</si>
  <si>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</si>
  <si>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</si>
  <si>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</si>
  <si>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</si>
  <si>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</si>
  <si>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</si>
  <si>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</si>
  <si>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</si>
  <si>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</si>
  <si>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</si>
  <si>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</si>
  <si>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</si>
  <si>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</si>
  <si>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</si>
  <si>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</si>
  <si>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</si>
  <si>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</si>
  <si>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</si>
  <si>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</si>
  <si>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</si>
  <si>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</si>
  <si>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</si>
  <si>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</si>
  <si>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</si>
  <si>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</si>
  <si>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</si>
  <si>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04 0 20 00000</t>
  </si>
  <si>
    <t>Основное мероприятие "Обеспечение жильем отдельных категорий граждан, установленных законодательством"</t>
  </si>
  <si>
    <t>04 0 20 2С190</t>
  </si>
  <si>
    <t xml:space="preserve">Обеспечение жилыми помещениями реабилитированных лиц, имеющих инвалидность или являющимся пенсионерами, и проживающим совместно членов их семей 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</si>
  <si>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</si>
  <si>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</si>
  <si>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</si>
  <si>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</si>
  <si>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</si>
  <si>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</si>
  <si>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</si>
  <si>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</si>
  <si>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</si>
  <si>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</si>
  <si>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</si>
  <si>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</si>
  <si>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</si>
  <si>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</si>
  <si>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</si>
  <si>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</si>
  <si>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</si>
  <si>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</si>
  <si>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</si>
  <si>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</si>
  <si>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</si>
  <si>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</si>
  <si>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</si>
  <si>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</si>
  <si>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</si>
  <si>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</si>
  <si>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</si>
  <si>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</si>
  <si>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</si>
  <si>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</si>
  <si>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</si>
  <si>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</si>
  <si>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</si>
  <si>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</si>
  <si>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</si>
  <si>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</si>
  <si>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</si>
  <si>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</si>
  <si>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</si>
  <si>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</si>
  <si>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</si>
  <si>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</si>
  <si>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</si>
  <si>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</si>
  <si>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</si>
  <si>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</si>
  <si>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</si>
  <si>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 xml:space="preserve">Ремонтные работы (текущий ремонт в отношении зданий домов культур (и их филиалов), расположенных в населенных пунктах с численностью жителей до 50 тысяч человек                                                                                                         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</si>
  <si>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</si>
  <si>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</si>
  <si>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</si>
  <si>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</si>
  <si>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</si>
  <si>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</si>
  <si>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</si>
  <si>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</si>
  <si>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</si>
  <si>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</si>
  <si>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</si>
  <si>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</si>
  <si>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</si>
  <si>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</si>
  <si>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</si>
  <si>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</si>
  <si>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</si>
  <si>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</si>
  <si>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</si>
  <si>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</si>
  <si>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</si>
  <si>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</si>
  <si>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</si>
  <si>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</si>
  <si>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</si>
  <si>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Капитальный ремонт объектов спортивной инфраструктуры муниципального значения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</si>
  <si>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</si>
  <si>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</si>
  <si>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</si>
  <si>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</si>
  <si>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</si>
  <si>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</si>
  <si>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</si>
  <si>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</si>
  <si>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</si>
  <si>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</si>
  <si>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</si>
  <si>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</si>
  <si>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</si>
  <si>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</si>
  <si>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</si>
  <si>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</si>
  <si>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</si>
  <si>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</si>
  <si>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</si>
  <si>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</si>
  <si>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</si>
  <si>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</si>
  <si>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</si>
  <si>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</si>
  <si>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</si>
  <si>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</si>
  <si>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</si>
  <si>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</si>
  <si>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</si>
  <si>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</si>
  <si>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</si>
  <si>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</si>
  <si>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</si>
  <si>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</si>
  <si>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</si>
  <si>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</si>
  <si>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</si>
  <si>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</si>
  <si>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</si>
  <si>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</si>
  <si>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</si>
  <si>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</si>
  <si>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</si>
  <si>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</si>
  <si>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</si>
  <si>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</si>
  <si>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</si>
  <si>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</si>
  <si>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</si>
  <si>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</si>
  <si>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</si>
  <si>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</si>
  <si>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</si>
  <si>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</si>
  <si>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</si>
  <si>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</si>
  <si>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</si>
  <si>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</si>
  <si>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</si>
  <si>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</si>
  <si>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</si>
  <si>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</si>
  <si>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</si>
  <si>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</si>
  <si>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</si>
  <si>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</si>
  <si>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</si>
  <si>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</si>
  <si>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</si>
  <si>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</si>
  <si>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</si>
  <si>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</si>
  <si>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</si>
  <si>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</si>
  <si>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</si>
  <si>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</si>
  <si>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</si>
  <si>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</si>
  <si>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</si>
  <si>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</si>
  <si>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</si>
  <si>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</si>
  <si>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</si>
  <si>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</si>
  <si>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</si>
  <si>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</si>
  <si>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</si>
  <si>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</si>
  <si>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</si>
  <si>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</si>
  <si>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</si>
  <si>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</si>
  <si>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</si>
  <si>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</si>
  <si>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</si>
  <si>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</si>
  <si>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</si>
  <si>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</si>
  <si>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</si>
  <si>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</si>
  <si>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</si>
  <si>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</si>
  <si>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</si>
  <si>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</si>
  <si>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</si>
  <si>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</si>
  <si>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</si>
  <si>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14 0 00 00000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</si>
  <si>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</si>
  <si>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14 2 00 00000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</si>
  <si>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</si>
  <si>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</si>
  <si>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Реализация мероприятий по переселению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</si>
  <si>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</si>
  <si>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</si>
  <si>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</si>
  <si>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</si>
  <si>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</si>
  <si>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</si>
  <si>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</si>
  <si>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</si>
  <si>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</si>
  <si>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</si>
  <si>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</si>
  <si>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</si>
  <si>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</si>
  <si>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</si>
  <si>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</si>
  <si>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</si>
  <si>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</si>
  <si>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</si>
  <si>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</si>
  <si>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</si>
  <si>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</si>
  <si>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</si>
  <si>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</si>
  <si>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</si>
  <si>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</si>
  <si>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</si>
  <si>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</si>
  <si>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</si>
  <si>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</si>
  <si>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</si>
  <si>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</si>
  <si>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</si>
  <si>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</si>
  <si>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</si>
  <si>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</si>
  <si>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</si>
  <si>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</si>
  <si>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</si>
  <si>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</si>
  <si>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</si>
  <si>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</si>
  <si>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</si>
  <si>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</si>
  <si>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</si>
  <si>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</si>
  <si>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</si>
  <si>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</si>
  <si>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</si>
  <si>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</si>
  <si>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</si>
  <si>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</si>
  <si>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</si>
  <si>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</si>
  <si>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30 SН071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</si>
  <si>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</si>
  <si>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</si>
  <si>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</si>
  <si>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</si>
  <si>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</si>
  <si>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</si>
  <si>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</si>
  <si>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07 0 30 00000</t>
  </si>
  <si>
    <t>Основное мероприятие "Капитальный ремонт объектов спортивной инфраструктуры муниципального значения"</t>
  </si>
  <si>
    <t>07 0 30 SФ350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</si>
  <si>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</si>
  <si>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</si>
  <si>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</si>
  <si>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</si>
  <si>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</si>
  <si>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</si>
  <si>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</si>
  <si>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</si>
  <si>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</si>
  <si>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</si>
  <si>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</si>
  <si>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</si>
  <si>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</si>
  <si>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</si>
  <si>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</si>
  <si>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</si>
  <si>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</si>
  <si>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</si>
  <si>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</si>
  <si>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</si>
  <si>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</si>
  <si>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</si>
  <si>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</si>
  <si>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</si>
  <si>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</si>
  <si>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14 2 10 SЖ160</t>
  </si>
  <si>
    <t>14 2 10 00000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</si>
  <si>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</si>
  <si>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</si>
  <si>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</si>
  <si>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Приложение 1</t>
  </si>
  <si>
    <t>к решению Думы Юсьвинского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</si>
  <si>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</si>
  <si>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</si>
  <si>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</si>
  <si>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</si>
  <si>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</si>
  <si>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</si>
  <si>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</si>
  <si>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</si>
  <si>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</si>
  <si>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</si>
  <si>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</si>
  <si>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</si>
  <si>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изменения</t>
  </si>
  <si>
    <t>02 6 10 SP350</t>
  </si>
  <si>
    <t>02 2 30 SН072</t>
  </si>
  <si>
    <t>06 1 А2 55195</t>
  </si>
  <si>
    <t>06 1 А2 55196</t>
  </si>
  <si>
    <t>Строительство Купросского сельского дома культуры на 50 мест в с. Купрос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</si>
  <si>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</si>
  <si>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</si>
  <si>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</si>
  <si>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2026 год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</si>
  <si>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</si>
  <si>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</si>
  <si>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</si>
  <si>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</si>
  <si>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</si>
  <si>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</si>
  <si>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</si>
  <si>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 xml:space="preserve">Приведение в нормативное состояние муниципального жилищного фонда»  </t>
  </si>
  <si>
    <t>02 2 20 SН420</t>
  </si>
  <si>
    <t>05 0 10 4И080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</si>
  <si>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</si>
  <si>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</si>
  <si>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</si>
  <si>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</si>
  <si>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</si>
  <si>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</si>
  <si>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</si>
  <si>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</si>
  <si>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</si>
  <si>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</si>
  <si>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</si>
  <si>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</si>
  <si>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</si>
  <si>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</si>
  <si>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</si>
  <si>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</si>
  <si>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92 0 00 00500</t>
  </si>
  <si>
    <t>Подготовка и проведение выборов в Думу Юсьвинского муниципального округа</t>
  </si>
  <si>
    <t>Муниципальная программа "Муниципальное управление в Юсьвинском муниципальном округе Пермского края"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</si>
  <si>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</si>
  <si>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Основное мероприятие "Размещение информации о деятельности органов местного самоуправления Юсьвинского муниципального округа Пермского края"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</si>
  <si>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</si>
  <si>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</si>
  <si>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</si>
  <si>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Муниципальная программа "Образование Юсьвинского муниципального округа Пермского края"</t>
  </si>
  <si>
    <t>Подпрограмма "Реализация государственной национальной политики в сфере образования"</t>
  </si>
  <si>
    <t xml:space="preserve">Организация и проведение общественно-значимых мероприятий с участием инвалидов </t>
  </si>
  <si>
    <t xml:space="preserve">Организация и проведение конкурса по  здоровому образу жизни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</si>
  <si>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</si>
  <si>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</si>
  <si>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</si>
  <si>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05 0 20 00000</t>
  </si>
  <si>
    <t>05 0 20 4И050</t>
  </si>
  <si>
    <t xml:space="preserve">Приобретение (выкуп) в муниципальную собственность объектов недвижимости </t>
  </si>
  <si>
    <t>Основное мероприятие "Приобретение (выкуп) в муниципальную собственность объектов недвижимости "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</si>
  <si>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</si>
  <si>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Государственная поддержка отрасли культуры (оказание государственной поддержки лучшим сельским учреждениям культуры)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</si>
  <si>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</si>
  <si>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</si>
  <si>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</si>
  <si>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</si>
  <si>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</si>
  <si>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</si>
  <si>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</si>
  <si>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</si>
  <si>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</si>
  <si>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</si>
  <si>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</si>
  <si>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</si>
  <si>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</si>
  <si>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</si>
  <si>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</si>
  <si>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</si>
  <si>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Обустройство пожарных водоемов, пожарных гидрантов в населенных пунктах Юсьвинского муниципального округа Пермского края</t>
  </si>
  <si>
    <t>92 0 00 00150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</si>
  <si>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</si>
  <si>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</si>
  <si>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</si>
  <si>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</si>
  <si>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</si>
  <si>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</si>
  <si>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</si>
  <si>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</si>
  <si>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</si>
  <si>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</si>
  <si>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</si>
  <si>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</si>
  <si>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</si>
  <si>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</si>
  <si>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</si>
  <si>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</si>
  <si>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</si>
  <si>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</si>
  <si>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</si>
  <si>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</si>
  <si>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</si>
  <si>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</si>
  <si>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</si>
  <si>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</si>
  <si>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</si>
  <si>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</si>
  <si>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</si>
  <si>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</si>
  <si>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</si>
  <si>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</si>
  <si>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</si>
  <si>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</si>
  <si>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</si>
  <si>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</si>
  <si>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</si>
  <si>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</si>
  <si>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</si>
  <si>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</si>
  <si>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</si>
  <si>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</si>
  <si>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</si>
  <si>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</si>
  <si>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</si>
  <si>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</si>
  <si>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</si>
  <si>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</si>
  <si>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</si>
  <si>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</si>
  <si>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</si>
  <si>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</si>
  <si>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</si>
  <si>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</si>
  <si>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</si>
  <si>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</si>
  <si>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</si>
  <si>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</si>
  <si>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</si>
  <si>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</si>
  <si>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</si>
  <si>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</si>
  <si>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</si>
  <si>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</si>
  <si>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</si>
  <si>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</si>
  <si>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</si>
  <si>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</si>
  <si>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</si>
  <si>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</si>
  <si>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</si>
  <si>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</si>
  <si>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</si>
  <si>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</si>
  <si>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</si>
  <si>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</si>
  <si>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</si>
  <si>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</si>
  <si>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</si>
  <si>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</si>
  <si>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</si>
  <si>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</si>
  <si>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</si>
  <si>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</si>
  <si>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</si>
  <si>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</si>
  <si>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</si>
  <si>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</si>
  <si>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</si>
  <si>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</si>
  <si>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</si>
  <si>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</si>
  <si>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</si>
  <si>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</si>
  <si>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</si>
  <si>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</si>
  <si>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</si>
  <si>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</si>
  <si>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</si>
  <si>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</si>
  <si>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</si>
  <si>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</si>
  <si>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</si>
  <si>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</si>
  <si>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</si>
  <si>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Ведомственная структура расходов Юсьвинского муниципального округа Пермского края  на 2024 год и на плановый период 2025-2026 годы</t>
  </si>
  <si>
    <t xml:space="preserve"> за счет краевого бюджета</t>
  </si>
  <si>
    <t>Приобретение (выкуп) в муниципальную собственность объектов недвижимости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</si>
  <si>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</si>
  <si>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</si>
  <si>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</si>
  <si>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</si>
  <si>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</si>
  <si>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Текущее содержание (ремонт) объектов благоустройства, организация освещения улиц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</si>
  <si>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</si>
  <si>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</si>
  <si>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</si>
  <si>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>Проектирование объекта "Строительство интерната Майкорская ОШИ Юсьвинского муниципального округа"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</si>
  <si>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</si>
  <si>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</si>
  <si>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</si>
  <si>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</si>
  <si>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</si>
  <si>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</si>
  <si>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</si>
  <si>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</si>
  <si>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</si>
  <si>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</si>
  <si>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</si>
  <si>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</si>
  <si>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</si>
  <si>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Содержание общедомового имущества многоквартирных домов</t>
  </si>
  <si>
    <t>Организация  и проведение  Конкурса по развитию волонтерской (добровольческой деятельности)</t>
  </si>
  <si>
    <t>Организация  и проведение Конкурса по развитию волонтерской (добровольческой деятельности)</t>
  </si>
  <si>
    <t>Всего</t>
  </si>
  <si>
    <t>Уменьшение прочих остатков денежных средств бюджетов муниципальных округов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</si>
  <si>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</si>
  <si>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</si>
  <si>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</si>
  <si>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</si>
  <si>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</si>
  <si>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</si>
  <si>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</si>
  <si>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Увеличение прочих остатков денежных средств бюджетов муниципальных округов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</si>
  <si>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</si>
  <si>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</si>
  <si>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</si>
  <si>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</si>
  <si>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</si>
  <si>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</si>
  <si>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</si>
  <si>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</si>
  <si>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</si>
  <si>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</si>
  <si>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</si>
  <si>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</si>
  <si>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</si>
  <si>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(тыс.руб.)</t>
  </si>
  <si>
    <t>муниципального округа Пермского края</t>
  </si>
  <si>
    <t>Приложение 5</t>
  </si>
  <si>
    <t>Источники финансирования дефицита бюджета Юсьвинского муниципального округа Пермского края на 2024 год и на плановый период 2025 и 2026 годов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</si>
  <si>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</si>
  <si>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</si>
  <si>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Итого</t>
  </si>
  <si>
    <t>средства местного бюджета</t>
  </si>
  <si>
    <t>средства краевого бюджета</t>
  </si>
  <si>
    <t>№ п/п</t>
  </si>
  <si>
    <t>Приложение 3</t>
  </si>
  <si>
    <t>Приложение 4</t>
  </si>
  <si>
    <t xml:space="preserve">к  решению Думы Юсьвинского </t>
  </si>
  <si>
    <t>муниципального округа</t>
  </si>
  <si>
    <t>Наименование направлений расходов</t>
  </si>
  <si>
    <t>Сумма (тыс.руб.)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</si>
  <si>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</si>
  <si>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</si>
  <si>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</si>
  <si>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</si>
  <si>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</si>
  <si>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</si>
  <si>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</si>
  <si>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</si>
  <si>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</si>
  <si>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</si>
  <si>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</si>
  <si>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</si>
  <si>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</si>
  <si>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Распределение средств дорожного фонда Юсьвинского муниципального округа  Пермского края на 2024 год и на плановый период 2025-2026 годы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</si>
  <si>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</si>
  <si>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</si>
  <si>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</si>
  <si>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</si>
  <si>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</si>
  <si>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</si>
  <si>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</si>
  <si>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</si>
  <si>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</si>
  <si>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</si>
  <si>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</si>
  <si>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</si>
  <si>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</si>
  <si>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</si>
  <si>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</si>
  <si>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1.3.</t>
  </si>
  <si>
    <t>1.4.</t>
  </si>
  <si>
    <t>Дотации на выравнивание бюджетной обеспеченности</t>
  </si>
  <si>
    <t>1. Доходы</t>
  </si>
  <si>
    <t>2.Расходы</t>
  </si>
  <si>
    <t>Пермского края</t>
  </si>
  <si>
    <t>Приложение 6</t>
  </si>
  <si>
    <t>Приложение 7</t>
  </si>
  <si>
    <t>Перечень муниципальных программ Юсьвинского муниципального округа Пермского края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</si>
  <si>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2024-2026 годы</t>
  </si>
  <si>
    <t>Приложение 2</t>
  </si>
  <si>
    <t>Реестр источников доходов бюджета Юсьвинского муниципального округа Пермского края</t>
  </si>
  <si>
    <t>Справочно 4</t>
  </si>
  <si>
    <t>Справочно 3</t>
  </si>
  <si>
    <t>Ожидаемое исполнение бюджета</t>
  </si>
  <si>
    <t>Справочно 2</t>
  </si>
  <si>
    <t>Структура муниципального долга Юсьвинского муниципального округа Пермского края</t>
  </si>
  <si>
    <t>Справочно 1</t>
  </si>
  <si>
    <t>Перечень приложений к проекту решения Думы Юсьвинского муниципального округа Пермского края "О бюджете Юсьвинского муниципального округа Пермского края на 2024 год и на плановый период 2025-2026 годов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</si>
  <si>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  видов  расходов классификации расходов  на 2024-2026 годы</t>
  </si>
  <si>
    <t xml:space="preserve">Перечень объектов капитального строительства на 2024 год и на плановый период 2025-2026 годов </t>
  </si>
  <si>
    <t>Распределение средств дорожного фонда Юсьвинского муниципального округа Пермского края  на 2024 год и на плановый период 2025-2026 годы</t>
  </si>
  <si>
    <t>Источники внутреннего финансирования дефицита бюджета Юсьвинского муниципального округа Пермского края на 2024 год и плановый период 2025 - 2026 годов</t>
  </si>
  <si>
    <t>Программа муниципальных внутренних заимствований Юсьвинского муниципального округа Пермского края на 2024 год и на плановый период 2025-2026 годов</t>
  </si>
  <si>
    <t>Программа муниципальных гарантий Юсьвинского муниципального округа Пермского края  на 2024 год и на плановый период 2025-2026 годов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</si>
  <si>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</si>
  <si>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</si>
  <si>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</si>
  <si>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</si>
  <si>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</si>
  <si>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 xml:space="preserve">Приведение в нормативное состояние муниципального жилищного фонда  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</si>
  <si>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</si>
  <si>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</si>
  <si>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</si>
  <si>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</si>
  <si>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</si>
  <si>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</si>
  <si>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</si>
  <si>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</si>
  <si>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</si>
  <si>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</si>
  <si>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</si>
  <si>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Ремонт моста через р. Купроска на автомобильной дороге "Габово-Купрос" - участок "Евсино-Купрос"</t>
  </si>
  <si>
    <t>Капитальный ремонт моста в п. Майкор</t>
  </si>
  <si>
    <t>Ремонт моста через р. Юсьва автомобильной дороги "Сивашер-Обирино-Сыскино"</t>
  </si>
  <si>
    <t>Ремонт моста через р. Проста автомобильной дороги "Габово-Купрос"</t>
  </si>
  <si>
    <t>Ремонт водопропускной трубы на участке автомобильной дороги по ул. Парковая км 0+330 д. М.Мочга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</si>
  <si>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</si>
  <si>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</si>
  <si>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</si>
  <si>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</si>
  <si>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</si>
  <si>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</si>
  <si>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</si>
  <si>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</si>
  <si>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</si>
  <si>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</si>
  <si>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</si>
  <si>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</si>
  <si>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</si>
  <si>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</si>
  <si>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</si>
  <si>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</si>
  <si>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</si>
  <si>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</si>
  <si>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</si>
  <si>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</si>
  <si>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>07 0 10 SФ320</t>
  </si>
  <si>
    <t>Реализация мероприятия "Умею плавать!"</t>
  </si>
  <si>
    <t xml:space="preserve">10 2 20 SP080 </t>
  </si>
  <si>
    <t>Реализация проектов инициативного бюджетирования</t>
  </si>
  <si>
    <t>10 3 10 4М076</t>
  </si>
  <si>
    <t>2024 год (утверждено)</t>
  </si>
  <si>
    <t>2025 год (утверждено)</t>
  </si>
  <si>
    <t>2026 год (утверждено)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</si>
  <si>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</si>
  <si>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</si>
  <si>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</si>
  <si>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</si>
  <si>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</si>
  <si>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</si>
  <si>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</si>
  <si>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</si>
  <si>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</si>
  <si>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</si>
  <si>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</si>
  <si>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</si>
  <si>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</si>
  <si>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</si>
  <si>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</si>
  <si>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</si>
  <si>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>Нераспределенные средства субсидии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</si>
  <si>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</si>
  <si>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</si>
  <si>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</si>
  <si>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</si>
  <si>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10 3 30 4М082</t>
  </si>
  <si>
    <t>Проектирование блочно-модульных газовых котельных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</si>
  <si>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</si>
  <si>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</si>
  <si>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</si>
  <si>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</si>
  <si>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</si>
  <si>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Остаток средств дорожного фонда по состоянию на 01.01.2024 г. - 4 843,35506 тыс. рублей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</si>
  <si>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</si>
  <si>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</si>
  <si>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</si>
  <si>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</si>
  <si>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Укрепление покрытия проезжей части участка автомобильной дороги по ул.Мира п.Майкор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</si>
  <si>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</si>
  <si>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92 0 00 00430</t>
  </si>
  <si>
    <t>Обеспечение проведения выборов и референдумов</t>
  </si>
  <si>
    <t>0107</t>
  </si>
  <si>
    <t>Благоустройство территорий кладбищ</t>
  </si>
  <si>
    <t>10 2 20 4М096</t>
  </si>
  <si>
    <t>Восстановление профиля проезжей части участка  ул.Береговая (от ул.Центральная до дома № 3) с.Они</t>
  </si>
  <si>
    <t>Актуализация схем теплоснабжения, водоснабжения и водоотведения Юсьвинского муниципального округа Пермского края</t>
  </si>
  <si>
    <t>Благоустройство общественных пространств (парков)</t>
  </si>
  <si>
    <t>02 5 30 SС240</t>
  </si>
  <si>
    <t>Обеспечение работников муниципальных учреждений путевками на санаторно-курортное лечение и оздоровление</t>
  </si>
  <si>
    <t>КЦСР</t>
  </si>
  <si>
    <t>Направление расходования</t>
  </si>
  <si>
    <t>Ремонт моста в л.Урманово</t>
  </si>
  <si>
    <t>10 2 20 SК320</t>
  </si>
  <si>
    <t>06 1 70 SP420</t>
  </si>
  <si>
    <t>Ремонт сценической площадки МБУК "Юсьвинский КДЦ" по приоритетному проекту «Культурная реновация» программы «Комфортный край»</t>
  </si>
  <si>
    <t>06 1 70 SК310</t>
  </si>
  <si>
    <t>10 2 20 4М097</t>
  </si>
  <si>
    <t>Разработка проектно-сметной документации по благоустройству общественных пространств (парков)</t>
  </si>
  <si>
    <t>Обеспечение соответствующего качества воды водного объекта и санитарного состояния территории</t>
  </si>
  <si>
    <t>10 2 30 4М033</t>
  </si>
  <si>
    <t xml:space="preserve">06 1 60 4К091 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</si>
  <si>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</si>
  <si>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доходы без платных</t>
  </si>
  <si>
    <t>платные ЕУЦ</t>
  </si>
  <si>
    <t>платные ЕСЦ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</si>
  <si>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</si>
  <si>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4Н100</t>
  </si>
  <si>
    <t>остаток</t>
  </si>
  <si>
    <t>доходы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</si>
  <si>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</si>
  <si>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нераспределенный остаток</t>
  </si>
  <si>
    <t>дефицит утвержденный</t>
  </si>
  <si>
    <t>остатки на счетах на 01.01.2024 МБ</t>
  </si>
  <si>
    <t>возврат МБТ за счет остатка</t>
  </si>
  <si>
    <t>предельный объем дефицита</t>
  </si>
  <si>
    <t>предельный объем увеличения дефицита</t>
  </si>
  <si>
    <t>увеличение дефицита</t>
  </si>
  <si>
    <t>Обеспечение функционирования очистных сооружений в с. Юсьва</t>
  </si>
  <si>
    <t>92 0 00 00600</t>
  </si>
  <si>
    <t>10 3 10 SP410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</si>
  <si>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</si>
  <si>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02 6 10 4Н130</t>
  </si>
  <si>
    <t>11 1 20 4Д023</t>
  </si>
  <si>
    <t>Предпроектное обследование моста через р. Лысковка автомобильной дороги "Подъезд к пристани Пожва" км 0+677</t>
  </si>
  <si>
    <t>платные</t>
  </si>
  <si>
    <t>Селиной И.С.</t>
  </si>
  <si>
    <t>ремонт здания котельной МБУ "Универсал"</t>
  </si>
  <si>
    <t>дотации</t>
  </si>
  <si>
    <t>акцизы</t>
  </si>
  <si>
    <t>УСН</t>
  </si>
  <si>
    <t>ЗН</t>
  </si>
  <si>
    <t>ГП</t>
  </si>
  <si>
    <t>АЗ</t>
  </si>
  <si>
    <t>АИ</t>
  </si>
  <si>
    <t>найм</t>
  </si>
  <si>
    <t>нег</t>
  </si>
  <si>
    <t>комп</t>
  </si>
  <si>
    <t>ПрЗ</t>
  </si>
  <si>
    <t>штрафы</t>
  </si>
  <si>
    <t>07 0 20  4Ф130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</si>
  <si>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  (расходы, не софинансируемые из краевого бюджета)</t>
  </si>
  <si>
    <t>Не хватает (+) лишнее (-)</t>
  </si>
  <si>
    <t>92 0 00 00420</t>
  </si>
  <si>
    <t>Установка новогодних елей на территории Юсьвинского муниципального округа Пермского края</t>
  </si>
  <si>
    <t>ндфл</t>
  </si>
  <si>
    <t>Приведение в нормативное состояние учреждений культуры и образовательных учреждений в сфере культуры</t>
  </si>
  <si>
    <t>налоговые неналоговые и 218</t>
  </si>
  <si>
    <t>06 1 60 4К090</t>
  </si>
  <si>
    <t>Приведение в нормативное состояние учреждений культуры  и образовательных учреждений в сфере культуры</t>
  </si>
  <si>
    <t>06 1 70 4К090</t>
  </si>
  <si>
    <t xml:space="preserve">06 1 70 4К090 </t>
  </si>
  <si>
    <t>Ремонт моста через р. Купроска на автомобильной дороге "Купрос-Тимино-Тукачево"</t>
  </si>
  <si>
    <t>с учетом распределенного остатка на 01.01.2024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</si>
  <si>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</si>
  <si>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</si>
  <si>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Ремонт участка автомобильной дороги "Асаново-Белюково" (км 000+750 - км 001+700)</t>
  </si>
  <si>
    <t>Ремонт моста через р. Почашорка автомобильной дороги ул. Паньковская с. Юсьва</t>
  </si>
  <si>
    <t>Содержание очистных сооружений (потребность 1 277,6 т.р.)</t>
  </si>
  <si>
    <t xml:space="preserve"> Обеспечение деятельности  муниципального казенного учреждения «Единый сервисный центр» (платные 118,5, ремонты 110,3)</t>
  </si>
  <si>
    <t>Исполнение решений судов, вступивших в законную силу, и оплата государственной пошлины (селина И.С. - 30,0 т.р., укус собаки - 10,0 т.р.)</t>
  </si>
  <si>
    <t>от 13.12.2024 № 36</t>
  </si>
  <si>
    <t xml:space="preserve">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</si>
</sst>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#,##0.000"/>
    <numFmt numFmtId="170" formatCode="0.00000"/>
  </numFmts>
  <fonts count="8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4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80" fillId="0" borderId="0"/>
  </cellStyleXfs>
  <cellXfs count="339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8" fillId="0" borderId="0" xfId="0" applyFont="1"/>
    <xf numFmtId="0" fontId="3" fillId="0" borderId="0" xfId="1" applyFont="1" applyFill="1" applyBorder="1" applyAlignment="1">
      <alignment horizontal="right" vertical="center" wrapText="1"/>
    </xf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top"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left" vertical="top" wrapText="1"/>
    </xf>
    <xf numFmtId="49" fontId="6" fillId="5" borderId="2" xfId="1" applyNumberFormat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2" borderId="2" xfId="1" applyNumberFormat="1" applyFont="1" applyFill="1" applyBorder="1" applyAlignment="1">
      <alignment horizontal="center" vertical="top" wrapText="1"/>
    </xf>
    <xf numFmtId="168" fontId="6" fillId="5" borderId="2" xfId="0" applyNumberFormat="1" applyFont="1" applyFill="1" applyBorder="1" applyAlignment="1">
      <alignment horizontal="center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0" fontId="64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49" fontId="64" fillId="2" borderId="2" xfId="1" applyNumberFormat="1" applyFont="1" applyFill="1" applyBorder="1" applyAlignment="1">
      <alignment horizontal="center" wrapText="1"/>
    </xf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49" fontId="66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wrapText="1"/>
    </xf>
    <xf numFmtId="0" fontId="65" fillId="0" borderId="0" xfId="0" applyFont="1"/>
    <xf numFmtId="49" fontId="70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vertical="top" wrapText="1"/>
    </xf>
    <xf numFmtId="49" fontId="66" fillId="2" borderId="2" xfId="1" applyNumberFormat="1" applyFont="1" applyFill="1" applyBorder="1" applyAlignment="1">
      <alignment horizontal="center" vertical="center" wrapText="1"/>
    </xf>
    <xf numFmtId="0" fontId="58" fillId="0" borderId="2" xfId="0" applyFont="1" applyBorder="1"/>
    <xf numFmtId="0" fontId="58" fillId="2" borderId="2" xfId="0" applyFont="1" applyFill="1" applyBorder="1"/>
    <xf numFmtId="0" fontId="60" fillId="5" borderId="2" xfId="0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wrapText="1"/>
    </xf>
    <xf numFmtId="0" fontId="6" fillId="69" borderId="2" xfId="1" applyFont="1" applyFill="1" applyBorder="1" applyAlignment="1">
      <alignment horizontal="center" vertical="top" wrapText="1"/>
    </xf>
    <xf numFmtId="49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vertical="top" wrapText="1"/>
    </xf>
    <xf numFmtId="168" fontId="6" fillId="69" borderId="2" xfId="1" applyNumberFormat="1" applyFont="1" applyFill="1" applyBorder="1" applyAlignment="1">
      <alignment horizontal="center" vertical="top" wrapText="1"/>
    </xf>
    <xf numFmtId="0" fontId="60" fillId="0" borderId="2" xfId="0" applyFont="1" applyBorder="1"/>
    <xf numFmtId="0" fontId="6" fillId="2" borderId="2" xfId="1" applyFont="1" applyFill="1" applyBorder="1" applyAlignment="1">
      <alignment wrapText="1"/>
    </xf>
    <xf numFmtId="0" fontId="60" fillId="66" borderId="2" xfId="0" applyFont="1" applyFill="1" applyBorder="1"/>
    <xf numFmtId="0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left" vertical="top" wrapText="1"/>
    </xf>
    <xf numFmtId="168" fontId="6" fillId="66" borderId="2" xfId="1" applyNumberFormat="1" applyFont="1" applyFill="1" applyBorder="1" applyAlignment="1">
      <alignment horizontal="center"/>
    </xf>
    <xf numFmtId="0" fontId="60" fillId="70" borderId="2" xfId="0" applyFont="1" applyFill="1" applyBorder="1"/>
    <xf numFmtId="0" fontId="6" fillId="70" borderId="2" xfId="1" applyNumberFormat="1" applyFont="1" applyFill="1" applyBorder="1" applyAlignment="1">
      <alignment horizontal="center" vertical="top" wrapText="1"/>
    </xf>
    <xf numFmtId="49" fontId="6" fillId="70" borderId="2" xfId="1" applyNumberFormat="1" applyFont="1" applyFill="1" applyBorder="1" applyAlignment="1">
      <alignment horizontal="center" vertical="top" wrapText="1"/>
    </xf>
    <xf numFmtId="0" fontId="6" fillId="70" borderId="2" xfId="1" applyFont="1" applyFill="1" applyBorder="1" applyAlignment="1">
      <alignment horizontal="left" vertical="top" wrapText="1"/>
    </xf>
    <xf numFmtId="168" fontId="6" fillId="70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168" fontId="6" fillId="2" borderId="2" xfId="1" applyNumberFormat="1" applyFont="1" applyFill="1" applyBorder="1" applyAlignment="1">
      <alignment horizontal="center"/>
    </xf>
    <xf numFmtId="0" fontId="62" fillId="0" borderId="0" xfId="0" applyFont="1"/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vertical="top" wrapText="1"/>
    </xf>
    <xf numFmtId="168" fontId="6" fillId="68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center" vertical="top" wrapText="1"/>
    </xf>
    <xf numFmtId="168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wrapText="1"/>
    </xf>
    <xf numFmtId="168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vertical="top" wrapText="1"/>
    </xf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0" fontId="58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8" fillId="7" borderId="2" xfId="0" applyFont="1" applyFill="1" applyBorder="1"/>
    <xf numFmtId="0" fontId="58" fillId="0" borderId="2" xfId="0" applyFont="1" applyFill="1" applyBorder="1"/>
    <xf numFmtId="0" fontId="6" fillId="0" borderId="2" xfId="1" applyFont="1" applyFill="1" applyBorder="1" applyAlignment="1">
      <alignment vertical="top" wrapText="1"/>
    </xf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8" fillId="5" borderId="2" xfId="0" applyFont="1" applyFill="1" applyBorder="1"/>
    <xf numFmtId="168" fontId="6" fillId="0" borderId="2" xfId="1" applyNumberFormat="1" applyFont="1" applyFill="1" applyBorder="1" applyAlignment="1">
      <alignment horizontal="center" vertical="top" wrapText="1"/>
    </xf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horizontal="left" vertical="top" wrapText="1"/>
    </xf>
    <xf numFmtId="0" fontId="6" fillId="68" borderId="2" xfId="1" applyFont="1" applyFill="1" applyBorder="1" applyAlignment="1">
      <alignment horizontal="left" vertical="top" wrapText="1"/>
    </xf>
    <xf numFmtId="0" fontId="6" fillId="71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8" fillId="69" borderId="2" xfId="0" applyFont="1" applyFill="1" applyBorder="1"/>
    <xf numFmtId="0" fontId="58" fillId="68" borderId="2" xfId="0" applyFont="1" applyFill="1" applyBorder="1"/>
    <xf numFmtId="168" fontId="6" fillId="69" borderId="2" xfId="1" applyNumberFormat="1" applyFont="1" applyFill="1" applyBorder="1" applyAlignment="1">
      <alignment horizontal="center" wrapText="1"/>
    </xf>
    <xf numFmtId="168" fontId="6" fillId="68" borderId="2" xfId="1" applyNumberFormat="1" applyFont="1" applyFill="1" applyBorder="1" applyAlignment="1">
      <alignment horizontal="center" wrapText="1"/>
    </xf>
    <xf numFmtId="0" fontId="58" fillId="6" borderId="2" xfId="0" applyFont="1" applyFill="1" applyBorder="1"/>
    <xf numFmtId="49" fontId="71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justify"/>
    </xf>
    <xf numFmtId="0" fontId="61" fillId="2" borderId="0" xfId="0" applyFont="1" applyFill="1"/>
    <xf numFmtId="168" fontId="0" fillId="0" borderId="0" xfId="0" applyNumberFormat="1"/>
    <xf numFmtId="168" fontId="72" fillId="0" borderId="2" xfId="0" applyNumberFormat="1" applyFont="1" applyBorder="1" applyAlignment="1">
      <alignment horizontal="center"/>
    </xf>
    <xf numFmtId="0" fontId="72" fillId="0" borderId="2" xfId="0" applyFont="1" applyBorder="1" applyAlignment="1">
      <alignment horizontal="center" wrapText="1"/>
    </xf>
    <xf numFmtId="0" fontId="72" fillId="0" borderId="2" xfId="0" applyFont="1" applyBorder="1" applyAlignment="1">
      <alignment horizontal="center"/>
    </xf>
    <xf numFmtId="168" fontId="73" fillId="0" borderId="2" xfId="0" applyNumberFormat="1" applyFont="1" applyBorder="1" applyAlignment="1">
      <alignment horizontal="center"/>
    </xf>
    <xf numFmtId="0" fontId="73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/>
    </xf>
    <xf numFmtId="168" fontId="74" fillId="0" borderId="2" xfId="0" applyNumberFormat="1" applyFont="1" applyBorder="1" applyAlignment="1">
      <alignment horizontal="center"/>
    </xf>
    <xf numFmtId="0" fontId="74" fillId="0" borderId="2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/>
    </xf>
    <xf numFmtId="0" fontId="72" fillId="0" borderId="2" xfId="0" applyFont="1" applyBorder="1" applyAlignment="1">
      <alignment horizontal="center" vertical="center" wrapText="1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Alignment="1"/>
    <xf numFmtId="0" fontId="3" fillId="2" borderId="0" xfId="1" applyFont="1" applyFill="1" applyAlignment="1">
      <alignment vertical="center" wrapText="1"/>
    </xf>
    <xf numFmtId="0" fontId="69" fillId="0" borderId="0" xfId="0" applyFont="1" applyAlignment="1"/>
    <xf numFmtId="0" fontId="77" fillId="0" borderId="1" xfId="0" applyFont="1" applyBorder="1" applyAlignment="1">
      <alignment horizontal="center" vertical="center" wrapText="1"/>
    </xf>
    <xf numFmtId="0" fontId="63" fillId="67" borderId="2" xfId="0" applyFont="1" applyFill="1" applyBorder="1" applyAlignment="1">
      <alignment horizontal="center" vertical="top" wrapText="1"/>
    </xf>
    <xf numFmtId="0" fontId="63" fillId="67" borderId="2" xfId="0" applyFont="1" applyFill="1" applyBorder="1" applyAlignment="1">
      <alignment vertical="top" wrapText="1"/>
    </xf>
    <xf numFmtId="0" fontId="63" fillId="5" borderId="2" xfId="0" applyFont="1" applyFill="1" applyBorder="1" applyAlignment="1">
      <alignment horizontal="center" vertical="top" wrapText="1"/>
    </xf>
    <xf numFmtId="0" fontId="63" fillId="5" borderId="2" xfId="0" applyFont="1" applyFill="1" applyBorder="1" applyAlignment="1">
      <alignment vertical="top" wrapText="1"/>
    </xf>
    <xf numFmtId="0" fontId="0" fillId="5" borderId="0" xfId="0" applyFill="1"/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0" fillId="6" borderId="0" xfId="0" applyFill="1"/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0" fillId="2" borderId="0" xfId="0" applyFill="1"/>
    <xf numFmtId="0" fontId="57" fillId="6" borderId="2" xfId="0" applyFont="1" applyFill="1" applyBorder="1" applyAlignment="1">
      <alignment vertical="justify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0" fillId="0" borderId="0" xfId="0" applyBorder="1"/>
    <xf numFmtId="0" fontId="57" fillId="0" borderId="0" xfId="0" applyFont="1" applyBorder="1" applyAlignment="1">
      <alignment vertical="justify" wrapText="1"/>
    </xf>
    <xf numFmtId="165" fontId="57" fillId="0" borderId="0" xfId="0" applyNumberFormat="1" applyFont="1" applyBorder="1" applyAlignment="1">
      <alignment horizontal="center" vertical="center" wrapText="1"/>
    </xf>
    <xf numFmtId="0" fontId="76" fillId="0" borderId="0" xfId="0" applyFont="1" applyAlignment="1">
      <alignment wrapText="1"/>
    </xf>
    <xf numFmtId="168" fontId="63" fillId="67" borderId="2" xfId="0" applyNumberFormat="1" applyFont="1" applyFill="1" applyBorder="1" applyAlignment="1">
      <alignment horizontal="center" vertical="center" wrapText="1"/>
    </xf>
    <xf numFmtId="168" fontId="63" fillId="5" borderId="2" xfId="0" applyNumberFormat="1" applyFont="1" applyFill="1" applyBorder="1" applyAlignment="1">
      <alignment horizontal="center" vertical="center" wrapText="1"/>
    </xf>
    <xf numFmtId="168" fontId="57" fillId="6" borderId="2" xfId="0" applyNumberFormat="1" applyFont="1" applyFill="1" applyBorder="1" applyAlignment="1">
      <alignment horizontal="center" vertical="center" wrapText="1"/>
    </xf>
    <xf numFmtId="168" fontId="57" fillId="2" borderId="2" xfId="0" applyNumberFormat="1" applyFont="1" applyFill="1" applyBorder="1" applyAlignment="1">
      <alignment horizontal="center" vertical="center" wrapText="1"/>
    </xf>
    <xf numFmtId="168" fontId="78" fillId="6" borderId="2" xfId="0" applyNumberFormat="1" applyFont="1" applyFill="1" applyBorder="1" applyAlignment="1">
      <alignment horizontal="center" vertical="center"/>
    </xf>
    <xf numFmtId="168" fontId="78" fillId="2" borderId="2" xfId="0" applyNumberFormat="1" applyFont="1" applyFill="1" applyBorder="1" applyAlignment="1">
      <alignment horizontal="center" vertical="center"/>
    </xf>
    <xf numFmtId="168" fontId="79" fillId="5" borderId="2" xfId="0" applyNumberFormat="1" applyFont="1" applyFill="1" applyBorder="1" applyAlignment="1">
      <alignment horizontal="center" vertical="center"/>
    </xf>
    <xf numFmtId="168" fontId="63" fillId="6" borderId="2" xfId="0" applyNumberFormat="1" applyFont="1" applyFill="1" applyBorder="1" applyAlignment="1">
      <alignment horizontal="center" vertical="center" wrapText="1"/>
    </xf>
    <xf numFmtId="168" fontId="79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Border="1" applyAlignment="1">
      <alignment horizontal="center" vertical="center" wrapText="1"/>
    </xf>
    <xf numFmtId="168" fontId="78" fillId="0" borderId="2" xfId="0" applyNumberFormat="1" applyFont="1" applyBorder="1" applyAlignment="1">
      <alignment horizontal="center" vertical="center"/>
    </xf>
    <xf numFmtId="168" fontId="73" fillId="0" borderId="2" xfId="0" applyNumberFormat="1" applyFont="1" applyBorder="1" applyAlignment="1">
      <alignment horizontal="center" vertical="center"/>
    </xf>
    <xf numFmtId="0" fontId="57" fillId="0" borderId="2" xfId="663" applyFont="1" applyBorder="1" applyAlignment="1">
      <alignment horizontal="center" vertical="center"/>
    </xf>
    <xf numFmtId="0" fontId="63" fillId="72" borderId="2" xfId="663" applyFont="1" applyFill="1" applyBorder="1" applyAlignment="1">
      <alignment vertical="center" wrapText="1"/>
    </xf>
    <xf numFmtId="168" fontId="63" fillId="0" borderId="2" xfId="0" applyNumberFormat="1" applyFont="1" applyBorder="1" applyAlignment="1">
      <alignment horizontal="right" vertical="center" wrapText="1"/>
    </xf>
    <xf numFmtId="168" fontId="77" fillId="0" borderId="2" xfId="0" applyNumberFormat="1" applyFont="1" applyBorder="1" applyAlignment="1">
      <alignment horizontal="right" vertical="center" wrapText="1"/>
    </xf>
    <xf numFmtId="168" fontId="81" fillId="0" borderId="2" xfId="0" applyNumberFormat="1" applyFont="1" applyBorder="1" applyAlignment="1">
      <alignment horizontal="right" vertical="center" wrapText="1"/>
    </xf>
    <xf numFmtId="0" fontId="57" fillId="72" borderId="2" xfId="663" applyFont="1" applyFill="1" applyBorder="1" applyAlignment="1">
      <alignment horizontal="left" vertical="center" wrapText="1" indent="1"/>
    </xf>
    <xf numFmtId="168" fontId="63" fillId="72" borderId="2" xfId="663" applyNumberFormat="1" applyFont="1" applyFill="1" applyBorder="1" applyAlignment="1">
      <alignment horizontal="right" vertical="center" wrapText="1"/>
    </xf>
    <xf numFmtId="168" fontId="57" fillId="72" borderId="2" xfId="663" applyNumberFormat="1" applyFont="1" applyFill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horizontal="right" vertical="center" wrapText="1"/>
    </xf>
    <xf numFmtId="169" fontId="63" fillId="72" borderId="0" xfId="663" applyNumberFormat="1" applyFont="1" applyFill="1" applyBorder="1" applyAlignment="1">
      <alignment horizontal="right" vertical="center" wrapText="1"/>
    </xf>
    <xf numFmtId="169" fontId="57" fillId="72" borderId="0" xfId="663" applyNumberFormat="1" applyFont="1" applyFill="1" applyBorder="1" applyAlignment="1">
      <alignment horizontal="right" vertical="center" wrapText="1"/>
    </xf>
    <xf numFmtId="168" fontId="63" fillId="0" borderId="0" xfId="0" applyNumberFormat="1" applyFont="1" applyBorder="1" applyAlignment="1">
      <alignment horizontal="right" vertical="center" wrapText="1"/>
    </xf>
    <xf numFmtId="168" fontId="57" fillId="2" borderId="0" xfId="0" applyNumberFormat="1" applyFont="1" applyFill="1" applyBorder="1" applyAlignment="1">
      <alignment horizontal="right" vertical="center" wrapText="1"/>
    </xf>
    <xf numFmtId="0" fontId="57" fillId="0" borderId="0" xfId="663" applyFont="1" applyBorder="1" applyAlignment="1">
      <alignment horizontal="center" vertical="center"/>
    </xf>
    <xf numFmtId="0" fontId="57" fillId="72" borderId="0" xfId="663" applyFont="1" applyFill="1" applyBorder="1" applyAlignment="1">
      <alignment horizontal="left" vertical="center" wrapText="1" indent="1"/>
    </xf>
    <xf numFmtId="0" fontId="57" fillId="0" borderId="0" xfId="1" applyFont="1" applyAlignment="1">
      <alignment wrapText="1"/>
    </xf>
    <xf numFmtId="0" fontId="73" fillId="0" borderId="2" xfId="0" applyFont="1" applyBorder="1" applyAlignment="1">
      <alignment vertical="center" wrapText="1"/>
    </xf>
    <xf numFmtId="0" fontId="73" fillId="2" borderId="2" xfId="0" applyFont="1" applyFill="1" applyBorder="1" applyAlignment="1">
      <alignment vertical="center"/>
    </xf>
    <xf numFmtId="0" fontId="73" fillId="2" borderId="2" xfId="0" applyFont="1" applyFill="1" applyBorder="1" applyAlignment="1">
      <alignment vertical="center" wrapText="1"/>
    </xf>
    <xf numFmtId="0" fontId="73" fillId="0" borderId="2" xfId="0" applyFont="1" applyBorder="1" applyAlignment="1">
      <alignment vertical="center"/>
    </xf>
    <xf numFmtId="0" fontId="67" fillId="2" borderId="2" xfId="0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168" fontId="74" fillId="0" borderId="2" xfId="0" applyNumberFormat="1" applyFont="1" applyBorder="1" applyAlignment="1">
      <alignment horizontal="center" vertical="center"/>
    </xf>
    <xf numFmtId="168" fontId="82" fillId="0" borderId="2" xfId="0" applyNumberFormat="1" applyFont="1" applyBorder="1" applyAlignment="1">
      <alignment horizontal="center" vertical="center"/>
    </xf>
    <xf numFmtId="168" fontId="83" fillId="0" borderId="2" xfId="0" applyNumberFormat="1" applyFont="1" applyBorder="1" applyAlignment="1">
      <alignment horizontal="center" vertical="center" wrapText="1"/>
    </xf>
    <xf numFmtId="0" fontId="83" fillId="0" borderId="2" xfId="0" applyFont="1" applyBorder="1" applyAlignment="1">
      <alignment vertical="justify" wrapText="1"/>
    </xf>
    <xf numFmtId="168" fontId="83" fillId="2" borderId="2" xfId="0" applyNumberFormat="1" applyFont="1" applyFill="1" applyBorder="1" applyAlignment="1">
      <alignment horizontal="center" vertical="center" wrapText="1"/>
    </xf>
    <xf numFmtId="168" fontId="82" fillId="2" borderId="2" xfId="0" applyNumberFormat="1" applyFont="1" applyFill="1" applyBorder="1" applyAlignment="1">
      <alignment horizontal="center" vertical="center"/>
    </xf>
    <xf numFmtId="0" fontId="84" fillId="0" borderId="2" xfId="0" applyFont="1" applyBorder="1" applyAlignment="1">
      <alignment wrapText="1"/>
    </xf>
    <xf numFmtId="168" fontId="0" fillId="2" borderId="0" xfId="0" applyNumberFormat="1" applyFill="1"/>
    <xf numFmtId="0" fontId="83" fillId="2" borderId="2" xfId="0" applyFont="1" applyFill="1" applyBorder="1" applyAlignment="1">
      <alignment vertical="justify" wrapText="1"/>
    </xf>
    <xf numFmtId="0" fontId="83" fillId="2" borderId="2" xfId="0" applyFont="1" applyFill="1" applyBorder="1" applyAlignment="1">
      <alignment horizontal="center" vertical="top" wrapText="1"/>
    </xf>
    <xf numFmtId="0" fontId="68" fillId="2" borderId="0" xfId="0" applyFont="1" applyFill="1"/>
    <xf numFmtId="0" fontId="57" fillId="67" borderId="2" xfId="663" applyFont="1" applyFill="1" applyBorder="1" applyAlignment="1">
      <alignment horizontal="center" vertical="center"/>
    </xf>
    <xf numFmtId="0" fontId="63" fillId="67" borderId="2" xfId="663" applyFont="1" applyFill="1" applyBorder="1" applyAlignment="1">
      <alignment vertical="center" wrapText="1"/>
    </xf>
    <xf numFmtId="168" fontId="63" fillId="67" borderId="2" xfId="0" applyNumberFormat="1" applyFont="1" applyFill="1" applyBorder="1" applyAlignment="1">
      <alignment horizontal="right" vertical="center" wrapText="1"/>
    </xf>
    <xf numFmtId="0" fontId="58" fillId="73" borderId="2" xfId="0" applyFont="1" applyFill="1" applyBorder="1"/>
    <xf numFmtId="49" fontId="6" fillId="73" borderId="2" xfId="1" applyNumberFormat="1" applyFont="1" applyFill="1" applyBorder="1" applyAlignment="1">
      <alignment horizontal="center" wrapText="1"/>
    </xf>
    <xf numFmtId="0" fontId="6" fillId="73" borderId="2" xfId="1" applyFont="1" applyFill="1" applyBorder="1" applyAlignment="1">
      <alignment wrapText="1"/>
    </xf>
    <xf numFmtId="168" fontId="6" fillId="73" borderId="2" xfId="1" applyNumberFormat="1" applyFont="1" applyFill="1" applyBorder="1" applyAlignment="1">
      <alignment horizontal="center" wrapText="1"/>
    </xf>
    <xf numFmtId="168" fontId="63" fillId="72" borderId="0" xfId="663" applyNumberFormat="1" applyFont="1" applyFill="1" applyBorder="1" applyAlignment="1">
      <alignment horizontal="right" vertical="center" wrapText="1"/>
    </xf>
    <xf numFmtId="168" fontId="57" fillId="72" borderId="0" xfId="663" applyNumberFormat="1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vertical="justify" wrapText="1"/>
    </xf>
    <xf numFmtId="168" fontId="83" fillId="0" borderId="2" xfId="0" applyNumberFormat="1" applyFont="1" applyFill="1" applyBorder="1" applyAlignment="1">
      <alignment horizontal="center" vertical="center" wrapText="1"/>
    </xf>
    <xf numFmtId="0" fontId="83" fillId="0" borderId="2" xfId="0" applyFont="1" applyFill="1" applyBorder="1" applyAlignment="1">
      <alignment vertical="justify" wrapText="1"/>
    </xf>
    <xf numFmtId="0" fontId="63" fillId="0" borderId="2" xfId="0" applyFont="1" applyFill="1" applyBorder="1" applyAlignment="1">
      <alignment vertical="justify" wrapText="1"/>
    </xf>
    <xf numFmtId="0" fontId="77" fillId="0" borderId="0" xfId="0" applyFont="1" applyBorder="1" applyAlignment="1">
      <alignment horizontal="left" vertical="center"/>
    </xf>
    <xf numFmtId="0" fontId="86" fillId="0" borderId="0" xfId="0" applyFont="1"/>
    <xf numFmtId="168" fontId="86" fillId="0" borderId="0" xfId="0" applyNumberFormat="1" applyFont="1"/>
    <xf numFmtId="168" fontId="58" fillId="0" borderId="0" xfId="0" applyNumberFormat="1" applyFont="1"/>
    <xf numFmtId="49" fontId="3" fillId="6" borderId="2" xfId="1" applyNumberFormat="1" applyFont="1" applyFill="1" applyBorder="1" applyAlignment="1">
      <alignment horizontal="center" wrapText="1"/>
    </xf>
    <xf numFmtId="0" fontId="57" fillId="0" borderId="0" xfId="0" applyFont="1" applyFill="1" applyBorder="1" applyAlignment="1">
      <alignment vertical="justify" wrapText="1"/>
    </xf>
    <xf numFmtId="170" fontId="58" fillId="0" borderId="0" xfId="0" applyNumberFormat="1" applyFont="1"/>
    <xf numFmtId="0" fontId="85" fillId="0" borderId="2" xfId="0" applyFont="1" applyBorder="1"/>
    <xf numFmtId="0" fontId="64" fillId="0" borderId="2" xfId="0" applyFont="1" applyBorder="1"/>
    <xf numFmtId="49" fontId="83" fillId="2" borderId="2" xfId="0" applyNumberFormat="1" applyFont="1" applyFill="1" applyBorder="1" applyAlignment="1">
      <alignment vertical="justify"/>
    </xf>
    <xf numFmtId="170" fontId="0" fillId="0" borderId="0" xfId="0" applyNumberFormat="1"/>
    <xf numFmtId="168" fontId="64" fillId="0" borderId="2" xfId="0" applyNumberFormat="1" applyFont="1" applyBorder="1" applyAlignment="1">
      <alignment horizontal="center"/>
    </xf>
    <xf numFmtId="168" fontId="64" fillId="0" borderId="2" xfId="0" applyNumberFormat="1" applyFont="1" applyFill="1" applyBorder="1" applyAlignment="1">
      <alignment horizontal="center"/>
    </xf>
    <xf numFmtId="168" fontId="85" fillId="0" borderId="2" xfId="0" applyNumberFormat="1" applyFont="1" applyFill="1" applyBorder="1"/>
    <xf numFmtId="0" fontId="57" fillId="0" borderId="0" xfId="0" applyFont="1" applyAlignment="1"/>
    <xf numFmtId="0" fontId="69" fillId="2" borderId="0" xfId="1" applyFont="1" applyFill="1" applyAlignment="1">
      <alignment vertical="center"/>
    </xf>
    <xf numFmtId="0" fontId="57" fillId="2" borderId="0" xfId="1" applyFont="1" applyFill="1" applyAlignment="1">
      <alignment vertical="center" wrapText="1"/>
    </xf>
    <xf numFmtId="0" fontId="58" fillId="0" borderId="0" xfId="0" applyFont="1" applyAlignment="1"/>
    <xf numFmtId="168" fontId="66" fillId="2" borderId="2" xfId="1" applyNumberFormat="1" applyFont="1" applyFill="1" applyBorder="1" applyAlignment="1">
      <alignment horizontal="center" wrapText="1"/>
    </xf>
    <xf numFmtId="0" fontId="66" fillId="2" borderId="2" xfId="1" applyFont="1" applyFill="1" applyBorder="1" applyAlignment="1">
      <alignment wrapText="1"/>
    </xf>
    <xf numFmtId="168" fontId="66" fillId="0" borderId="2" xfId="1" applyNumberFormat="1" applyFont="1" applyFill="1" applyBorder="1" applyAlignment="1">
      <alignment horizontal="center" vertical="top" wrapText="1"/>
    </xf>
    <xf numFmtId="168" fontId="87" fillId="0" borderId="2" xfId="0" applyNumberFormat="1" applyFont="1" applyFill="1" applyBorder="1"/>
    <xf numFmtId="168" fontId="66" fillId="0" borderId="2" xfId="0" applyNumberFormat="1" applyFont="1" applyFill="1" applyBorder="1" applyAlignment="1">
      <alignment horizontal="center"/>
    </xf>
    <xf numFmtId="168" fontId="3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66" fillId="0" borderId="2" xfId="1" applyNumberFormat="1" applyFont="1" applyFill="1" applyBorder="1" applyAlignment="1">
      <alignment horizontal="center" wrapText="1"/>
    </xf>
    <xf numFmtId="0" fontId="58" fillId="70" borderId="2" xfId="0" applyFont="1" applyFill="1" applyBorder="1"/>
    <xf numFmtId="49" fontId="6" fillId="70" borderId="2" xfId="1" applyNumberFormat="1" applyFont="1" applyFill="1" applyBorder="1" applyAlignment="1">
      <alignment horizontal="center" wrapText="1"/>
    </xf>
    <xf numFmtId="0" fontId="6" fillId="70" borderId="2" xfId="1" applyFont="1" applyFill="1" applyBorder="1" applyAlignment="1">
      <alignment wrapText="1"/>
    </xf>
    <xf numFmtId="168" fontId="6" fillId="70" borderId="2" xfId="1" applyNumberFormat="1" applyFont="1" applyFill="1" applyBorder="1" applyAlignment="1">
      <alignment horizontal="center" wrapText="1"/>
    </xf>
    <xf numFmtId="0" fontId="63" fillId="0" borderId="2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top" wrapText="1"/>
    </xf>
    <xf numFmtId="168" fontId="63" fillId="2" borderId="2" xfId="0" applyNumberFormat="1" applyFont="1" applyFill="1" applyBorder="1" applyAlignment="1">
      <alignment horizontal="center" vertical="center" wrapText="1"/>
    </xf>
    <xf numFmtId="0" fontId="88" fillId="2" borderId="0" xfId="0" applyFont="1" applyFill="1"/>
    <xf numFmtId="49" fontId="66" fillId="2" borderId="2" xfId="1" applyNumberFormat="1" applyFont="1" applyFill="1" applyBorder="1" applyAlignment="1">
      <alignment horizontal="center" vertical="top" wrapText="1"/>
    </xf>
    <xf numFmtId="0" fontId="66" fillId="2" borderId="2" xfId="1" applyFont="1" applyFill="1" applyBorder="1" applyAlignment="1">
      <alignment vertical="top" wrapText="1"/>
    </xf>
    <xf numFmtId="0" fontId="66" fillId="0" borderId="2" xfId="1" applyFont="1" applyBorder="1" applyAlignment="1">
      <alignment wrapText="1"/>
    </xf>
    <xf numFmtId="0" fontId="66" fillId="0" borderId="2" xfId="0" applyFont="1" applyBorder="1" applyAlignment="1">
      <alignment horizontal="center"/>
    </xf>
    <xf numFmtId="0" fontId="87" fillId="0" borderId="2" xfId="0" applyFont="1" applyBorder="1"/>
    <xf numFmtId="0" fontId="87" fillId="0" borderId="2" xfId="0" applyFont="1" applyBorder="1" applyAlignment="1">
      <alignment horizontal="center"/>
    </xf>
    <xf numFmtId="49" fontId="3" fillId="67" borderId="2" xfId="1" applyNumberFormat="1" applyFont="1" applyFill="1" applyBorder="1" applyAlignment="1">
      <alignment horizontal="center" wrapText="1"/>
    </xf>
    <xf numFmtId="0" fontId="3" fillId="67" borderId="2" xfId="1" applyFont="1" applyFill="1" applyBorder="1" applyAlignment="1">
      <alignment wrapText="1"/>
    </xf>
    <xf numFmtId="168" fontId="3" fillId="67" borderId="2" xfId="1" applyNumberFormat="1" applyFont="1" applyFill="1" applyBorder="1" applyAlignment="1">
      <alignment horizontal="center" wrapText="1"/>
    </xf>
    <xf numFmtId="0" fontId="3" fillId="67" borderId="2" xfId="1" applyFont="1" applyFill="1" applyBorder="1" applyAlignment="1">
      <alignment vertical="top" wrapText="1"/>
    </xf>
    <xf numFmtId="0" fontId="69" fillId="0" borderId="0" xfId="0" applyFont="1" applyAlignment="1">
      <alignment horizontal="left"/>
    </xf>
    <xf numFmtId="0" fontId="72" fillId="0" borderId="0" xfId="0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9" fillId="2" borderId="0" xfId="1" applyFont="1" applyFill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2" borderId="0" xfId="1" applyFont="1" applyFill="1" applyAlignment="1">
      <alignment horizontal="center" vertical="center"/>
    </xf>
    <xf numFmtId="0" fontId="77" fillId="0" borderId="0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63" fillId="0" borderId="0" xfId="663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right"/>
    </xf>
    <xf numFmtId="0" fontId="57" fillId="2" borderId="0" xfId="1" applyFont="1" applyFill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 refreshError="1"/>
      <sheetData sheetId="1" refreshError="1"/>
      <sheetData sheetId="2" refreshError="1"/>
      <sheetData sheetId="3" refreshError="1">
        <row r="218">
          <cell r="F218">
            <v>39572.673840000003</v>
          </cell>
          <cell r="G218">
            <v>47403.956680000003</v>
          </cell>
        </row>
        <row r="219">
          <cell r="F219">
            <v>2082.7723099999998</v>
          </cell>
          <cell r="G219">
            <v>2494.9450700000002</v>
          </cell>
        </row>
        <row r="220">
          <cell r="F220">
            <v>209.32384999999999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10" sqref="D10"/>
    </sheetView>
  </sheetViews>
  <sheetFormatPr defaultColWidth="9.140625" defaultRowHeight="15" x14ac:dyDescent="0.25"/>
  <cols>
    <col min="1" max="1" width="17.28515625" style="186" customWidth="1"/>
    <col min="2" max="2" width="64.5703125" style="186" customWidth="1"/>
    <col min="3" max="16384" width="9.140625" style="186"/>
  </cols>
  <sheetData>
    <row r="1" spans="1:2" ht="61.15" customHeight="1" x14ac:dyDescent="0.25">
      <c r="A1" s="318" t="s">
        <v>781</v>
      </c>
      <c r="B1" s="318"/>
    </row>
    <row r="3" spans="1:2" ht="60" x14ac:dyDescent="0.25">
      <c r="A3" s="239" t="s">
        <v>474</v>
      </c>
      <c r="B3" s="240" t="s">
        <v>782</v>
      </c>
    </row>
    <row r="4" spans="1:2" ht="45" x14ac:dyDescent="0.25">
      <c r="A4" s="239" t="s">
        <v>773</v>
      </c>
      <c r="B4" s="240" t="s">
        <v>666</v>
      </c>
    </row>
    <row r="5" spans="1:2" ht="30" x14ac:dyDescent="0.25">
      <c r="A5" s="239" t="s">
        <v>728</v>
      </c>
      <c r="B5" s="240" t="s">
        <v>783</v>
      </c>
    </row>
    <row r="6" spans="1:2" ht="45" x14ac:dyDescent="0.25">
      <c r="A6" s="242" t="s">
        <v>729</v>
      </c>
      <c r="B6" s="240" t="s">
        <v>784</v>
      </c>
    </row>
    <row r="7" spans="1:2" ht="45" x14ac:dyDescent="0.25">
      <c r="A7" s="242" t="s">
        <v>720</v>
      </c>
      <c r="B7" s="240" t="s">
        <v>785</v>
      </c>
    </row>
    <row r="8" spans="1:2" ht="45" x14ac:dyDescent="0.25">
      <c r="A8" s="239" t="s">
        <v>769</v>
      </c>
      <c r="B8" s="240" t="s">
        <v>786</v>
      </c>
    </row>
    <row r="9" spans="1:2" ht="45" x14ac:dyDescent="0.25">
      <c r="A9" s="239" t="s">
        <v>770</v>
      </c>
      <c r="B9" s="240" t="s">
        <v>787</v>
      </c>
    </row>
    <row r="10" spans="1:2" ht="30" x14ac:dyDescent="0.25">
      <c r="A10" s="239" t="s">
        <v>780</v>
      </c>
      <c r="B10" s="238" t="s">
        <v>779</v>
      </c>
    </row>
    <row r="11" spans="1:2" x14ac:dyDescent="0.25">
      <c r="A11" s="241" t="s">
        <v>778</v>
      </c>
      <c r="B11" s="238" t="s">
        <v>777</v>
      </c>
    </row>
    <row r="12" spans="1:2" ht="30" x14ac:dyDescent="0.25">
      <c r="A12" s="239" t="s">
        <v>776</v>
      </c>
      <c r="B12" s="240" t="s">
        <v>771</v>
      </c>
    </row>
    <row r="13" spans="1:2" ht="30" x14ac:dyDescent="0.25">
      <c r="A13" s="239" t="s">
        <v>775</v>
      </c>
      <c r="B13" s="238" t="s">
        <v>774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9"/>
  <sheetViews>
    <sheetView view="pageBreakPreview" zoomScale="85" zoomScaleSheetLayoutView="85" workbookViewId="0">
      <selection activeCell="L10" sqref="L10"/>
    </sheetView>
  </sheetViews>
  <sheetFormatPr defaultColWidth="9.140625" defaultRowHeight="15" x14ac:dyDescent="0.25"/>
  <cols>
    <col min="1" max="1" width="14.42578125" style="25" customWidth="1"/>
    <col min="2" max="2" width="7.5703125" style="25" customWidth="1"/>
    <col min="3" max="3" width="62.140625" style="25" customWidth="1"/>
    <col min="4" max="5" width="15.42578125" style="25" hidden="1" customWidth="1"/>
    <col min="6" max="6" width="15.42578125" style="25" customWidth="1"/>
    <col min="7" max="8" width="15.42578125" style="25" hidden="1" customWidth="1"/>
    <col min="9" max="9" width="15.42578125" style="25" customWidth="1"/>
    <col min="10" max="11" width="15.42578125" style="25" hidden="1" customWidth="1"/>
    <col min="12" max="12" width="15.42578125" style="25" customWidth="1"/>
    <col min="13" max="16384" width="9.140625" style="25"/>
  </cols>
  <sheetData>
    <row r="1" spans="1:12" ht="15.75" x14ac:dyDescent="0.25">
      <c r="E1" s="284"/>
      <c r="F1" s="320" t="s">
        <v>474</v>
      </c>
      <c r="G1" s="320"/>
      <c r="H1" s="320"/>
      <c r="I1" s="320"/>
      <c r="J1" s="320"/>
      <c r="K1" s="320"/>
      <c r="L1" s="320"/>
    </row>
    <row r="2" spans="1:12" ht="15.75" x14ac:dyDescent="0.25">
      <c r="E2" s="284"/>
      <c r="F2" s="320" t="s">
        <v>475</v>
      </c>
      <c r="G2" s="320"/>
      <c r="H2" s="320"/>
      <c r="I2" s="320"/>
      <c r="J2" s="320"/>
      <c r="K2" s="320"/>
      <c r="L2" s="320"/>
    </row>
    <row r="3" spans="1:12" ht="15.75" x14ac:dyDescent="0.25">
      <c r="E3" s="284"/>
      <c r="F3" s="320" t="s">
        <v>731</v>
      </c>
      <c r="G3" s="320"/>
      <c r="H3" s="320"/>
      <c r="I3" s="320"/>
      <c r="J3" s="320"/>
      <c r="K3" s="320"/>
      <c r="L3" s="320"/>
    </row>
    <row r="4" spans="1:12" ht="15.75" x14ac:dyDescent="0.25">
      <c r="E4" s="284"/>
      <c r="F4" s="320" t="s">
        <v>768</v>
      </c>
      <c r="G4" s="320"/>
      <c r="H4" s="320"/>
      <c r="I4" s="320"/>
      <c r="J4" s="320"/>
      <c r="K4" s="320"/>
      <c r="L4" s="320"/>
    </row>
    <row r="5" spans="1:12" ht="15.75" x14ac:dyDescent="0.25">
      <c r="D5" s="287"/>
      <c r="E5" s="287"/>
      <c r="F5" s="321" t="s">
        <v>954</v>
      </c>
      <c r="G5" s="321"/>
      <c r="H5" s="321"/>
      <c r="I5" s="321"/>
      <c r="J5" s="321"/>
      <c r="K5" s="321"/>
      <c r="L5" s="321"/>
    </row>
    <row r="7" spans="1:12" ht="30" customHeight="1" x14ac:dyDescent="0.25">
      <c r="A7" s="319" t="s">
        <v>772</v>
      </c>
      <c r="B7" s="319"/>
      <c r="C7" s="319"/>
      <c r="D7" s="319"/>
      <c r="E7" s="319"/>
      <c r="F7" s="319"/>
      <c r="G7" s="319"/>
      <c r="H7" s="319"/>
      <c r="I7" s="319"/>
      <c r="J7" s="319"/>
      <c r="K7" s="245"/>
      <c r="L7" s="245"/>
    </row>
    <row r="8" spans="1:12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4"/>
      <c r="K8" s="244"/>
      <c r="L8" s="244" t="s">
        <v>718</v>
      </c>
    </row>
    <row r="9" spans="1:12" ht="43.9" customHeight="1" x14ac:dyDescent="0.25">
      <c r="A9" s="88" t="s">
        <v>0</v>
      </c>
      <c r="B9" s="88" t="s">
        <v>1</v>
      </c>
      <c r="C9" s="88" t="s">
        <v>2</v>
      </c>
      <c r="D9" s="88" t="s">
        <v>835</v>
      </c>
      <c r="E9" s="88" t="s">
        <v>488</v>
      </c>
      <c r="F9" s="88" t="s">
        <v>3</v>
      </c>
      <c r="G9" s="88" t="s">
        <v>836</v>
      </c>
      <c r="H9" s="88" t="s">
        <v>488</v>
      </c>
      <c r="I9" s="88" t="s">
        <v>4</v>
      </c>
      <c r="J9" s="88" t="s">
        <v>837</v>
      </c>
      <c r="K9" s="88" t="s">
        <v>488</v>
      </c>
      <c r="L9" s="88" t="s">
        <v>497</v>
      </c>
    </row>
    <row r="10" spans="1:12" ht="24.75" x14ac:dyDescent="0.25">
      <c r="A10" s="27" t="s">
        <v>5</v>
      </c>
      <c r="B10" s="27"/>
      <c r="C10" s="28" t="s">
        <v>6</v>
      </c>
      <c r="D10" s="74">
        <f t="shared" ref="D10:L10" si="0">D11+D62+D180+D197+D214+D234+D294+D313+D331+D351+D417+D482+D504+D510+D467</f>
        <v>960425.85550000006</v>
      </c>
      <c r="E10" s="74">
        <f t="shared" si="0"/>
        <v>-976.63000000000045</v>
      </c>
      <c r="F10" s="74">
        <f t="shared" si="0"/>
        <v>959449.22549999994</v>
      </c>
      <c r="G10" s="74">
        <f t="shared" si="0"/>
        <v>872382.68080999993</v>
      </c>
      <c r="H10" s="74">
        <f t="shared" si="0"/>
        <v>116.3</v>
      </c>
      <c r="I10" s="74">
        <f t="shared" si="0"/>
        <v>872498.98080999998</v>
      </c>
      <c r="J10" s="74">
        <f t="shared" si="0"/>
        <v>795801.29795999988</v>
      </c>
      <c r="K10" s="74">
        <f t="shared" si="0"/>
        <v>116.3</v>
      </c>
      <c r="L10" s="74">
        <f t="shared" si="0"/>
        <v>795917.59795999993</v>
      </c>
    </row>
    <row r="11" spans="1:12" ht="26.25" x14ac:dyDescent="0.25">
      <c r="A11" s="29" t="s">
        <v>7</v>
      </c>
      <c r="B11" s="29"/>
      <c r="C11" s="30" t="s">
        <v>526</v>
      </c>
      <c r="D11" s="72">
        <f t="shared" ref="D11:L11" si="1">D12+D21+D30+D56</f>
        <v>79721.499999999985</v>
      </c>
      <c r="E11" s="72">
        <f t="shared" si="1"/>
        <v>69.3</v>
      </c>
      <c r="F11" s="72">
        <f t="shared" si="1"/>
        <v>79790.799999999988</v>
      </c>
      <c r="G11" s="72">
        <f t="shared" si="1"/>
        <v>81039.8</v>
      </c>
      <c r="H11" s="72">
        <f t="shared" si="1"/>
        <v>0</v>
      </c>
      <c r="I11" s="72">
        <f t="shared" si="1"/>
        <v>81039.8</v>
      </c>
      <c r="J11" s="72">
        <f t="shared" si="1"/>
        <v>79371.600000000006</v>
      </c>
      <c r="K11" s="72">
        <f t="shared" si="1"/>
        <v>0</v>
      </c>
      <c r="L11" s="72">
        <f t="shared" si="1"/>
        <v>79371.600000000006</v>
      </c>
    </row>
    <row r="12" spans="1:12" ht="26.25" x14ac:dyDescent="0.25">
      <c r="A12" s="31" t="s">
        <v>9</v>
      </c>
      <c r="B12" s="31"/>
      <c r="C12" s="32" t="s">
        <v>10</v>
      </c>
      <c r="D12" s="75">
        <f>D13+D16</f>
        <v>908.7</v>
      </c>
      <c r="E12" s="75"/>
      <c r="F12" s="75">
        <f>F13+F16</f>
        <v>908.7</v>
      </c>
      <c r="G12" s="75">
        <f>G13+G16</f>
        <v>1058.5000000000002</v>
      </c>
      <c r="H12" s="75"/>
      <c r="I12" s="75">
        <f>I13+I16</f>
        <v>1058.5000000000002</v>
      </c>
      <c r="J12" s="75">
        <f>J13+J16</f>
        <v>56</v>
      </c>
      <c r="K12" s="75"/>
      <c r="L12" s="75">
        <f>L13+L16</f>
        <v>56</v>
      </c>
    </row>
    <row r="13" spans="1:12" ht="26.25" x14ac:dyDescent="0.25">
      <c r="A13" s="33" t="s">
        <v>11</v>
      </c>
      <c r="B13" s="33"/>
      <c r="C13" s="34" t="s">
        <v>12</v>
      </c>
      <c r="D13" s="71">
        <f t="shared" ref="D13:J14" si="2">D14</f>
        <v>810.7</v>
      </c>
      <c r="E13" s="71"/>
      <c r="F13" s="71">
        <f t="shared" si="2"/>
        <v>810.7</v>
      </c>
      <c r="G13" s="71">
        <f t="shared" si="2"/>
        <v>960.50000000000023</v>
      </c>
      <c r="H13" s="71"/>
      <c r="I13" s="71">
        <f t="shared" si="2"/>
        <v>960.50000000000023</v>
      </c>
      <c r="J13" s="71">
        <f t="shared" si="2"/>
        <v>0</v>
      </c>
      <c r="K13" s="71"/>
      <c r="L13" s="71">
        <f>L14</f>
        <v>0</v>
      </c>
    </row>
    <row r="14" spans="1:12" ht="51.75" x14ac:dyDescent="0.25">
      <c r="A14" s="6" t="s">
        <v>13</v>
      </c>
      <c r="B14" s="12"/>
      <c r="C14" s="3" t="s">
        <v>527</v>
      </c>
      <c r="D14" s="70">
        <f t="shared" si="2"/>
        <v>810.7</v>
      </c>
      <c r="E14" s="70"/>
      <c r="F14" s="70">
        <f t="shared" si="2"/>
        <v>810.7</v>
      </c>
      <c r="G14" s="70">
        <f t="shared" si="2"/>
        <v>960.50000000000023</v>
      </c>
      <c r="H14" s="70"/>
      <c r="I14" s="70">
        <f t="shared" si="2"/>
        <v>960.50000000000023</v>
      </c>
      <c r="J14" s="70">
        <f t="shared" si="2"/>
        <v>0</v>
      </c>
      <c r="K14" s="70"/>
      <c r="L14" s="70">
        <f>L15</f>
        <v>0</v>
      </c>
    </row>
    <row r="15" spans="1:12" ht="26.25" x14ac:dyDescent="0.25">
      <c r="A15" s="6"/>
      <c r="B15" s="6" t="s">
        <v>281</v>
      </c>
      <c r="C15" s="3" t="s">
        <v>282</v>
      </c>
      <c r="D15" s="70">
        <v>810.7</v>
      </c>
      <c r="E15" s="70"/>
      <c r="F15" s="70">
        <f>D15+E15</f>
        <v>810.7</v>
      </c>
      <c r="G15" s="70">
        <f>2639.3-1678.8</f>
        <v>960.50000000000023</v>
      </c>
      <c r="H15" s="70"/>
      <c r="I15" s="70">
        <f>2639.3-1678.8</f>
        <v>960.50000000000023</v>
      </c>
      <c r="J15" s="70">
        <v>0</v>
      </c>
      <c r="K15" s="70"/>
      <c r="L15" s="70">
        <v>0</v>
      </c>
    </row>
    <row r="16" spans="1:12" ht="39" x14ac:dyDescent="0.25">
      <c r="A16" s="33" t="s">
        <v>15</v>
      </c>
      <c r="B16" s="33"/>
      <c r="C16" s="34" t="s">
        <v>528</v>
      </c>
      <c r="D16" s="78">
        <f>D17+D19</f>
        <v>98</v>
      </c>
      <c r="E16" s="78"/>
      <c r="F16" s="78">
        <f>F17+F19</f>
        <v>98</v>
      </c>
      <c r="G16" s="78">
        <f>G17+G19</f>
        <v>98</v>
      </c>
      <c r="H16" s="78"/>
      <c r="I16" s="78">
        <f>I17+I19</f>
        <v>98</v>
      </c>
      <c r="J16" s="78">
        <f>J17+J19</f>
        <v>56</v>
      </c>
      <c r="K16" s="78"/>
      <c r="L16" s="78">
        <f>L17+L19</f>
        <v>56</v>
      </c>
    </row>
    <row r="17" spans="1:12" ht="26.25" x14ac:dyDescent="0.25">
      <c r="A17" s="6" t="s">
        <v>17</v>
      </c>
      <c r="B17" s="6"/>
      <c r="C17" s="3" t="s">
        <v>431</v>
      </c>
      <c r="D17" s="70">
        <f>D18</f>
        <v>56</v>
      </c>
      <c r="E17" s="70"/>
      <c r="F17" s="70">
        <f>F18</f>
        <v>56</v>
      </c>
      <c r="G17" s="70">
        <f>G18</f>
        <v>56</v>
      </c>
      <c r="H17" s="70"/>
      <c r="I17" s="70">
        <f>I18</f>
        <v>56</v>
      </c>
      <c r="J17" s="70">
        <f>J18</f>
        <v>56</v>
      </c>
      <c r="K17" s="70"/>
      <c r="L17" s="70">
        <f>L18</f>
        <v>56</v>
      </c>
    </row>
    <row r="18" spans="1:12" ht="26.25" x14ac:dyDescent="0.25">
      <c r="A18" s="6"/>
      <c r="B18" s="6" t="s">
        <v>281</v>
      </c>
      <c r="C18" s="3" t="s">
        <v>282</v>
      </c>
      <c r="D18" s="70">
        <v>56</v>
      </c>
      <c r="E18" s="70"/>
      <c r="F18" s="70">
        <v>56</v>
      </c>
      <c r="G18" s="70">
        <v>56</v>
      </c>
      <c r="H18" s="70"/>
      <c r="I18" s="70">
        <v>56</v>
      </c>
      <c r="J18" s="70">
        <v>56</v>
      </c>
      <c r="K18" s="70"/>
      <c r="L18" s="70">
        <v>56</v>
      </c>
    </row>
    <row r="19" spans="1:12" ht="39" x14ac:dyDescent="0.25">
      <c r="A19" s="6" t="s">
        <v>18</v>
      </c>
      <c r="B19" s="6"/>
      <c r="C19" s="8" t="s">
        <v>529</v>
      </c>
      <c r="D19" s="70">
        <f>D20</f>
        <v>42</v>
      </c>
      <c r="E19" s="70"/>
      <c r="F19" s="70">
        <f>F20</f>
        <v>42</v>
      </c>
      <c r="G19" s="70">
        <f>G20</f>
        <v>42</v>
      </c>
      <c r="H19" s="70"/>
      <c r="I19" s="70">
        <f>I20</f>
        <v>42</v>
      </c>
      <c r="J19" s="70">
        <f>J20</f>
        <v>0</v>
      </c>
      <c r="K19" s="70"/>
      <c r="L19" s="70">
        <f>L20</f>
        <v>0</v>
      </c>
    </row>
    <row r="20" spans="1:12" ht="26.25" x14ac:dyDescent="0.25">
      <c r="A20" s="6"/>
      <c r="B20" s="6" t="s">
        <v>281</v>
      </c>
      <c r="C20" s="3" t="s">
        <v>282</v>
      </c>
      <c r="D20" s="70">
        <v>42</v>
      </c>
      <c r="E20" s="70"/>
      <c r="F20" s="70">
        <v>42</v>
      </c>
      <c r="G20" s="70">
        <v>42</v>
      </c>
      <c r="H20" s="70"/>
      <c r="I20" s="70">
        <v>42</v>
      </c>
      <c r="J20" s="70">
        <v>0</v>
      </c>
      <c r="K20" s="70"/>
      <c r="L20" s="70">
        <v>0</v>
      </c>
    </row>
    <row r="21" spans="1:12" ht="39" x14ac:dyDescent="0.25">
      <c r="A21" s="31" t="s">
        <v>20</v>
      </c>
      <c r="B21" s="31"/>
      <c r="C21" s="35" t="s">
        <v>21</v>
      </c>
      <c r="D21" s="75">
        <f>D22</f>
        <v>74498.599999999991</v>
      </c>
      <c r="E21" s="75">
        <f>E22</f>
        <v>69.3</v>
      </c>
      <c r="F21" s="75">
        <f>F22</f>
        <v>74567.899999999994</v>
      </c>
      <c r="G21" s="75">
        <f>G22</f>
        <v>75524.3</v>
      </c>
      <c r="H21" s="75"/>
      <c r="I21" s="75">
        <f>I22</f>
        <v>75524.3</v>
      </c>
      <c r="J21" s="75">
        <f>J22</f>
        <v>74907.3</v>
      </c>
      <c r="K21" s="75"/>
      <c r="L21" s="75">
        <f>L22</f>
        <v>74907.3</v>
      </c>
    </row>
    <row r="22" spans="1:12" ht="39" x14ac:dyDescent="0.25">
      <c r="A22" s="33" t="s">
        <v>22</v>
      </c>
      <c r="B22" s="33"/>
      <c r="C22" s="34" t="s">
        <v>23</v>
      </c>
      <c r="D22" s="71">
        <f>D23+D25+D28</f>
        <v>74498.599999999991</v>
      </c>
      <c r="E22" s="71">
        <f>E23+E25+E28</f>
        <v>69.3</v>
      </c>
      <c r="F22" s="71">
        <f t="shared" ref="F22:L22" si="3">F23+F25+F28</f>
        <v>74567.899999999994</v>
      </c>
      <c r="G22" s="71">
        <f t="shared" si="3"/>
        <v>75524.3</v>
      </c>
      <c r="H22" s="71"/>
      <c r="I22" s="71">
        <f t="shared" si="3"/>
        <v>75524.3</v>
      </c>
      <c r="J22" s="71">
        <f t="shared" si="3"/>
        <v>74907.3</v>
      </c>
      <c r="K22" s="71"/>
      <c r="L22" s="71">
        <f t="shared" si="3"/>
        <v>74907.3</v>
      </c>
    </row>
    <row r="23" spans="1:12" ht="26.25" x14ac:dyDescent="0.25">
      <c r="A23" s="6" t="s">
        <v>24</v>
      </c>
      <c r="B23" s="6"/>
      <c r="C23" s="3" t="s">
        <v>25</v>
      </c>
      <c r="D23" s="70">
        <f t="shared" ref="D23:L23" si="4">D24</f>
        <v>2328.4</v>
      </c>
      <c r="E23" s="70">
        <f>E24</f>
        <v>192.5</v>
      </c>
      <c r="F23" s="70">
        <f t="shared" si="4"/>
        <v>2520.9</v>
      </c>
      <c r="G23" s="70">
        <f t="shared" si="4"/>
        <v>2415.6</v>
      </c>
      <c r="H23" s="70"/>
      <c r="I23" s="70">
        <f t="shared" si="4"/>
        <v>2415.6</v>
      </c>
      <c r="J23" s="70">
        <f t="shared" si="4"/>
        <v>2415.6</v>
      </c>
      <c r="K23" s="70"/>
      <c r="L23" s="70">
        <f t="shared" si="4"/>
        <v>2415.6</v>
      </c>
    </row>
    <row r="24" spans="1:12" ht="51.75" x14ac:dyDescent="0.25">
      <c r="A24" s="6"/>
      <c r="B24" s="6" t="s">
        <v>399</v>
      </c>
      <c r="C24" s="3" t="s">
        <v>400</v>
      </c>
      <c r="D24" s="70">
        <v>2328.4</v>
      </c>
      <c r="E24" s="70">
        <v>192.5</v>
      </c>
      <c r="F24" s="70">
        <f>2236.5+91.9+192.5</f>
        <v>2520.9</v>
      </c>
      <c r="G24" s="70">
        <v>2415.6</v>
      </c>
      <c r="H24" s="70"/>
      <c r="I24" s="70">
        <f>2317.7+97.9</f>
        <v>2415.6</v>
      </c>
      <c r="J24" s="70">
        <v>2415.6</v>
      </c>
      <c r="K24" s="70"/>
      <c r="L24" s="70">
        <f>2317.7+97.9</f>
        <v>2415.6</v>
      </c>
    </row>
    <row r="25" spans="1:12" ht="25.5" x14ac:dyDescent="0.25">
      <c r="A25" s="6" t="s">
        <v>26</v>
      </c>
      <c r="B25" s="6"/>
      <c r="C25" s="1" t="s">
        <v>27</v>
      </c>
      <c r="D25" s="80">
        <f>D26+D27</f>
        <v>64479.899999999994</v>
      </c>
      <c r="E25" s="80">
        <f>E26+E27</f>
        <v>0</v>
      </c>
      <c r="F25" s="80">
        <f>F26+F27</f>
        <v>64479.899999999994</v>
      </c>
      <c r="G25" s="80">
        <f>G26+G27</f>
        <v>65139.199999999997</v>
      </c>
      <c r="H25" s="80"/>
      <c r="I25" s="80">
        <f>I26+I27</f>
        <v>65139.199999999997</v>
      </c>
      <c r="J25" s="80">
        <f>J26+J27</f>
        <v>64522.2</v>
      </c>
      <c r="K25" s="80"/>
      <c r="L25" s="80">
        <f>L26+L27</f>
        <v>64522.2</v>
      </c>
    </row>
    <row r="26" spans="1:12" ht="51.75" x14ac:dyDescent="0.25">
      <c r="A26" s="6"/>
      <c r="B26" s="6" t="s">
        <v>399</v>
      </c>
      <c r="C26" s="3" t="s">
        <v>400</v>
      </c>
      <c r="D26" s="80">
        <v>61162.7</v>
      </c>
      <c r="E26" s="80"/>
      <c r="F26" s="80">
        <f>SUM(D26:E26)</f>
        <v>61162.7</v>
      </c>
      <c r="G26" s="80">
        <v>61853.2</v>
      </c>
      <c r="H26" s="80"/>
      <c r="I26" s="80">
        <v>61853.2</v>
      </c>
      <c r="J26" s="80">
        <v>61853.2</v>
      </c>
      <c r="K26" s="80"/>
      <c r="L26" s="80">
        <v>61853.2</v>
      </c>
    </row>
    <row r="27" spans="1:12" ht="26.25" x14ac:dyDescent="0.25">
      <c r="A27" s="6"/>
      <c r="B27" s="6" t="s">
        <v>281</v>
      </c>
      <c r="C27" s="3" t="s">
        <v>282</v>
      </c>
      <c r="D27" s="80">
        <v>3317.2</v>
      </c>
      <c r="E27" s="80"/>
      <c r="F27" s="80">
        <v>3317.2</v>
      </c>
      <c r="G27" s="80">
        <v>3286</v>
      </c>
      <c r="H27" s="80"/>
      <c r="I27" s="80">
        <v>3286</v>
      </c>
      <c r="J27" s="80">
        <v>2669</v>
      </c>
      <c r="K27" s="80"/>
      <c r="L27" s="80">
        <f>2767.9-98.9</f>
        <v>2669</v>
      </c>
    </row>
    <row r="28" spans="1:12" ht="26.25" x14ac:dyDescent="0.25">
      <c r="A28" s="6" t="s">
        <v>28</v>
      </c>
      <c r="B28" s="6"/>
      <c r="C28" s="8" t="s">
        <v>29</v>
      </c>
      <c r="D28" s="70">
        <f>D29</f>
        <v>7690.3</v>
      </c>
      <c r="E28" s="70">
        <f>E29</f>
        <v>-123.2</v>
      </c>
      <c r="F28" s="70">
        <f>F29</f>
        <v>7567.1</v>
      </c>
      <c r="G28" s="70">
        <f>G29</f>
        <v>7969.5</v>
      </c>
      <c r="H28" s="70"/>
      <c r="I28" s="70">
        <f>I29</f>
        <v>7969.5</v>
      </c>
      <c r="J28" s="70">
        <f>J29</f>
        <v>7969.5</v>
      </c>
      <c r="K28" s="70"/>
      <c r="L28" s="70">
        <f>L29</f>
        <v>7969.5</v>
      </c>
    </row>
    <row r="29" spans="1:12" x14ac:dyDescent="0.25">
      <c r="A29" s="6"/>
      <c r="B29" s="6" t="s">
        <v>424</v>
      </c>
      <c r="C29" s="3" t="s">
        <v>425</v>
      </c>
      <c r="D29" s="70">
        <v>7690.3</v>
      </c>
      <c r="E29" s="70">
        <v>-123.2</v>
      </c>
      <c r="F29" s="70">
        <f>SUM(D29:E29)</f>
        <v>7567.1</v>
      </c>
      <c r="G29" s="70">
        <v>7969.5</v>
      </c>
      <c r="H29" s="70"/>
      <c r="I29" s="70">
        <v>7969.5</v>
      </c>
      <c r="J29" s="70">
        <v>7969.5</v>
      </c>
      <c r="K29" s="70"/>
      <c r="L29" s="70">
        <v>7969.5</v>
      </c>
    </row>
    <row r="30" spans="1:12" ht="51.75" x14ac:dyDescent="0.25">
      <c r="A30" s="31" t="s">
        <v>30</v>
      </c>
      <c r="B30" s="31"/>
      <c r="C30" s="32" t="s">
        <v>530</v>
      </c>
      <c r="D30" s="75">
        <f t="shared" ref="D30:L30" si="5">D31</f>
        <v>4232.8999999999996</v>
      </c>
      <c r="E30" s="75"/>
      <c r="F30" s="75">
        <f t="shared" si="5"/>
        <v>4232.8999999999996</v>
      </c>
      <c r="G30" s="75">
        <f t="shared" si="5"/>
        <v>4375.7000000000007</v>
      </c>
      <c r="H30" s="75"/>
      <c r="I30" s="75">
        <f t="shared" si="5"/>
        <v>4375.7000000000007</v>
      </c>
      <c r="J30" s="75">
        <f t="shared" si="5"/>
        <v>4408.3</v>
      </c>
      <c r="K30" s="75"/>
      <c r="L30" s="75">
        <f t="shared" si="5"/>
        <v>4408.3</v>
      </c>
    </row>
    <row r="31" spans="1:12" ht="26.25" x14ac:dyDescent="0.25">
      <c r="A31" s="33" t="s">
        <v>32</v>
      </c>
      <c r="B31" s="36"/>
      <c r="C31" s="34" t="s">
        <v>33</v>
      </c>
      <c r="D31" s="71">
        <f t="shared" ref="D31:L31" si="6">D32+D35+D38+D40+D43+D46+D48+D50+D53</f>
        <v>4232.8999999999996</v>
      </c>
      <c r="E31" s="71"/>
      <c r="F31" s="71">
        <f t="shared" si="6"/>
        <v>4232.8999999999996</v>
      </c>
      <c r="G31" s="71">
        <f t="shared" si="6"/>
        <v>4375.7000000000007</v>
      </c>
      <c r="H31" s="71"/>
      <c r="I31" s="71">
        <f t="shared" si="6"/>
        <v>4375.7000000000007</v>
      </c>
      <c r="J31" s="71">
        <f t="shared" si="6"/>
        <v>4408.3</v>
      </c>
      <c r="K31" s="71"/>
      <c r="L31" s="71">
        <f t="shared" si="6"/>
        <v>4408.3</v>
      </c>
    </row>
    <row r="32" spans="1:12" ht="26.25" x14ac:dyDescent="0.25">
      <c r="A32" s="22" t="s">
        <v>788</v>
      </c>
      <c r="B32" s="6"/>
      <c r="C32" s="8" t="s">
        <v>34</v>
      </c>
      <c r="D32" s="79">
        <v>974.2</v>
      </c>
      <c r="E32" s="79"/>
      <c r="F32" s="79">
        <v>974.2</v>
      </c>
      <c r="G32" s="79">
        <v>1006.3</v>
      </c>
      <c r="H32" s="79"/>
      <c r="I32" s="79">
        <v>1006.3</v>
      </c>
      <c r="J32" s="79">
        <v>1006.3</v>
      </c>
      <c r="K32" s="79"/>
      <c r="L32" s="79">
        <v>1006.3</v>
      </c>
    </row>
    <row r="33" spans="1:12" ht="51.75" x14ac:dyDescent="0.25">
      <c r="A33" s="6"/>
      <c r="B33" s="6" t="s">
        <v>399</v>
      </c>
      <c r="C33" s="3" t="s">
        <v>400</v>
      </c>
      <c r="D33" s="79">
        <v>904.7</v>
      </c>
      <c r="E33" s="79"/>
      <c r="F33" s="79">
        <v>904.7</v>
      </c>
      <c r="G33" s="79">
        <v>937.6</v>
      </c>
      <c r="H33" s="79"/>
      <c r="I33" s="79">
        <v>937.6</v>
      </c>
      <c r="J33" s="79">
        <v>937.6</v>
      </c>
      <c r="K33" s="79"/>
      <c r="L33" s="79">
        <v>937.6</v>
      </c>
    </row>
    <row r="34" spans="1:12" ht="26.25" x14ac:dyDescent="0.25">
      <c r="A34" s="6"/>
      <c r="B34" s="6" t="s">
        <v>281</v>
      </c>
      <c r="C34" s="3" t="s">
        <v>282</v>
      </c>
      <c r="D34" s="79">
        <v>69.5</v>
      </c>
      <c r="E34" s="79"/>
      <c r="F34" s="79">
        <v>69.5</v>
      </c>
      <c r="G34" s="79">
        <v>68.7</v>
      </c>
      <c r="H34" s="79"/>
      <c r="I34" s="79">
        <v>68.7</v>
      </c>
      <c r="J34" s="79">
        <v>68.7</v>
      </c>
      <c r="K34" s="79"/>
      <c r="L34" s="79">
        <v>68.7</v>
      </c>
    </row>
    <row r="35" spans="1:12" ht="39" x14ac:dyDescent="0.25">
      <c r="A35" s="6" t="s">
        <v>35</v>
      </c>
      <c r="B35" s="6"/>
      <c r="C35" s="8" t="s">
        <v>531</v>
      </c>
      <c r="D35" s="79">
        <v>583</v>
      </c>
      <c r="E35" s="79"/>
      <c r="F35" s="79">
        <v>583</v>
      </c>
      <c r="G35" s="79">
        <v>602</v>
      </c>
      <c r="H35" s="79"/>
      <c r="I35" s="79">
        <v>602</v>
      </c>
      <c r="J35" s="79">
        <v>602</v>
      </c>
      <c r="K35" s="79"/>
      <c r="L35" s="79">
        <v>602</v>
      </c>
    </row>
    <row r="36" spans="1:12" ht="51.75" x14ac:dyDescent="0.25">
      <c r="A36" s="6"/>
      <c r="B36" s="6" t="s">
        <v>399</v>
      </c>
      <c r="C36" s="3" t="s">
        <v>400</v>
      </c>
      <c r="D36" s="79">
        <v>517</v>
      </c>
      <c r="E36" s="79"/>
      <c r="F36" s="79">
        <v>517</v>
      </c>
      <c r="G36" s="79">
        <v>535.79999999999995</v>
      </c>
      <c r="H36" s="79"/>
      <c r="I36" s="79">
        <v>535.79999999999995</v>
      </c>
      <c r="J36" s="79">
        <v>535.79999999999995</v>
      </c>
      <c r="K36" s="79"/>
      <c r="L36" s="79">
        <v>535.79999999999995</v>
      </c>
    </row>
    <row r="37" spans="1:12" ht="26.25" x14ac:dyDescent="0.25">
      <c r="A37" s="6"/>
      <c r="B37" s="6" t="s">
        <v>281</v>
      </c>
      <c r="C37" s="3" t="s">
        <v>282</v>
      </c>
      <c r="D37" s="79">
        <v>66</v>
      </c>
      <c r="E37" s="79"/>
      <c r="F37" s="79">
        <v>66</v>
      </c>
      <c r="G37" s="79">
        <v>66.2</v>
      </c>
      <c r="H37" s="79"/>
      <c r="I37" s="79">
        <v>66.2</v>
      </c>
      <c r="J37" s="79">
        <v>66.2</v>
      </c>
      <c r="K37" s="79"/>
      <c r="L37" s="79">
        <v>66.2</v>
      </c>
    </row>
    <row r="38" spans="1:12" x14ac:dyDescent="0.25">
      <c r="A38" s="6" t="s">
        <v>37</v>
      </c>
      <c r="B38" s="6"/>
      <c r="C38" s="8" t="s">
        <v>38</v>
      </c>
      <c r="D38" s="79">
        <v>25.8</v>
      </c>
      <c r="E38" s="79"/>
      <c r="F38" s="79">
        <v>25.8</v>
      </c>
      <c r="G38" s="79">
        <v>25.8</v>
      </c>
      <c r="H38" s="79"/>
      <c r="I38" s="79">
        <v>25.8</v>
      </c>
      <c r="J38" s="79">
        <v>25.8</v>
      </c>
      <c r="K38" s="79"/>
      <c r="L38" s="79">
        <v>25.8</v>
      </c>
    </row>
    <row r="39" spans="1:12" ht="26.25" x14ac:dyDescent="0.25">
      <c r="A39" s="6"/>
      <c r="B39" s="6" t="s">
        <v>281</v>
      </c>
      <c r="C39" s="3" t="s">
        <v>282</v>
      </c>
      <c r="D39" s="79">
        <v>25.8</v>
      </c>
      <c r="E39" s="79"/>
      <c r="F39" s="79">
        <v>25.8</v>
      </c>
      <c r="G39" s="79">
        <v>25.8</v>
      </c>
      <c r="H39" s="79"/>
      <c r="I39" s="79">
        <v>25.8</v>
      </c>
      <c r="J39" s="79">
        <v>25.8</v>
      </c>
      <c r="K39" s="79"/>
      <c r="L39" s="79">
        <v>25.8</v>
      </c>
    </row>
    <row r="40" spans="1:12" ht="26.25" x14ac:dyDescent="0.25">
      <c r="A40" s="6" t="s">
        <v>39</v>
      </c>
      <c r="B40" s="6"/>
      <c r="C40" s="3" t="s">
        <v>40</v>
      </c>
      <c r="D40" s="79">
        <v>56.8</v>
      </c>
      <c r="E40" s="79"/>
      <c r="F40" s="79">
        <v>56.8</v>
      </c>
      <c r="G40" s="79">
        <v>58.8</v>
      </c>
      <c r="H40" s="79"/>
      <c r="I40" s="79">
        <v>58.8</v>
      </c>
      <c r="J40" s="79">
        <v>58.8</v>
      </c>
      <c r="K40" s="79"/>
      <c r="L40" s="79">
        <v>58.8</v>
      </c>
    </row>
    <row r="41" spans="1:12" ht="51.75" x14ac:dyDescent="0.25">
      <c r="A41" s="6"/>
      <c r="B41" s="6" t="s">
        <v>399</v>
      </c>
      <c r="C41" s="3" t="s">
        <v>400</v>
      </c>
      <c r="D41" s="79">
        <v>51.7</v>
      </c>
      <c r="E41" s="79"/>
      <c r="F41" s="79">
        <v>51.7</v>
      </c>
      <c r="G41" s="79">
        <v>53.6</v>
      </c>
      <c r="H41" s="79"/>
      <c r="I41" s="79">
        <v>53.6</v>
      </c>
      <c r="J41" s="79">
        <v>53.6</v>
      </c>
      <c r="K41" s="79"/>
      <c r="L41" s="79">
        <v>53.6</v>
      </c>
    </row>
    <row r="42" spans="1:12" ht="26.25" x14ac:dyDescent="0.25">
      <c r="A42" s="6"/>
      <c r="B42" s="6" t="s">
        <v>281</v>
      </c>
      <c r="C42" s="3" t="s">
        <v>282</v>
      </c>
      <c r="D42" s="79">
        <v>5.0999999999999996</v>
      </c>
      <c r="E42" s="79"/>
      <c r="F42" s="79">
        <v>5.0999999999999996</v>
      </c>
      <c r="G42" s="79">
        <v>5.2</v>
      </c>
      <c r="H42" s="79"/>
      <c r="I42" s="79">
        <v>5.2</v>
      </c>
      <c r="J42" s="79">
        <v>5.2</v>
      </c>
      <c r="K42" s="79"/>
      <c r="L42" s="79">
        <v>5.2</v>
      </c>
    </row>
    <row r="43" spans="1:12" ht="26.25" x14ac:dyDescent="0.25">
      <c r="A43" s="6" t="s">
        <v>41</v>
      </c>
      <c r="B43" s="6"/>
      <c r="C43" s="54" t="s">
        <v>486</v>
      </c>
      <c r="D43" s="79">
        <v>348.6</v>
      </c>
      <c r="E43" s="79"/>
      <c r="F43" s="79">
        <v>348.6</v>
      </c>
      <c r="G43" s="79">
        <v>360.7</v>
      </c>
      <c r="H43" s="79"/>
      <c r="I43" s="79">
        <v>360.7</v>
      </c>
      <c r="J43" s="79">
        <v>360.7</v>
      </c>
      <c r="K43" s="79"/>
      <c r="L43" s="79">
        <v>360.7</v>
      </c>
    </row>
    <row r="44" spans="1:12" ht="51.75" x14ac:dyDescent="0.25">
      <c r="A44" s="6"/>
      <c r="B44" s="6" t="s">
        <v>399</v>
      </c>
      <c r="C44" s="3" t="s">
        <v>400</v>
      </c>
      <c r="D44" s="79">
        <v>348.6</v>
      </c>
      <c r="E44" s="79"/>
      <c r="F44" s="79">
        <v>348.6</v>
      </c>
      <c r="G44" s="79">
        <v>360.7</v>
      </c>
      <c r="H44" s="79"/>
      <c r="I44" s="79">
        <v>360.7</v>
      </c>
      <c r="J44" s="79">
        <v>360.7</v>
      </c>
      <c r="K44" s="79"/>
      <c r="L44" s="79">
        <v>360.7</v>
      </c>
    </row>
    <row r="45" spans="1:12" ht="26.25" x14ac:dyDescent="0.25">
      <c r="A45" s="6"/>
      <c r="B45" s="6" t="s">
        <v>281</v>
      </c>
      <c r="C45" s="3" t="s">
        <v>282</v>
      </c>
      <c r="D45" s="79">
        <v>0</v>
      </c>
      <c r="E45" s="79"/>
      <c r="F45" s="79">
        <v>0</v>
      </c>
      <c r="G45" s="79">
        <v>0</v>
      </c>
      <c r="H45" s="79"/>
      <c r="I45" s="79">
        <v>0</v>
      </c>
      <c r="J45" s="79">
        <v>0</v>
      </c>
      <c r="K45" s="79"/>
      <c r="L45" s="79">
        <v>0</v>
      </c>
    </row>
    <row r="46" spans="1:12" ht="39" x14ac:dyDescent="0.25">
      <c r="A46" s="6" t="s">
        <v>42</v>
      </c>
      <c r="B46" s="6"/>
      <c r="C46" s="8" t="s">
        <v>43</v>
      </c>
      <c r="D46" s="79">
        <f>D47</f>
        <v>12.4</v>
      </c>
      <c r="E46" s="79"/>
      <c r="F46" s="79">
        <f>F47</f>
        <v>12.4</v>
      </c>
      <c r="G46" s="79">
        <f>G47</f>
        <v>12.8</v>
      </c>
      <c r="H46" s="79"/>
      <c r="I46" s="79">
        <f>I47</f>
        <v>12.8</v>
      </c>
      <c r="J46" s="79">
        <f>J47</f>
        <v>12.8</v>
      </c>
      <c r="K46" s="79"/>
      <c r="L46" s="79">
        <f>L47</f>
        <v>12.8</v>
      </c>
    </row>
    <row r="47" spans="1:12" ht="26.25" x14ac:dyDescent="0.25">
      <c r="A47" s="6"/>
      <c r="B47" s="6" t="s">
        <v>281</v>
      </c>
      <c r="C47" s="3" t="s">
        <v>282</v>
      </c>
      <c r="D47" s="79">
        <v>12.4</v>
      </c>
      <c r="E47" s="79"/>
      <c r="F47" s="79">
        <v>12.4</v>
      </c>
      <c r="G47" s="79">
        <v>12.8</v>
      </c>
      <c r="H47" s="79"/>
      <c r="I47" s="79">
        <v>12.8</v>
      </c>
      <c r="J47" s="79">
        <v>12.8</v>
      </c>
      <c r="K47" s="79"/>
      <c r="L47" s="79">
        <v>12.8</v>
      </c>
    </row>
    <row r="48" spans="1:12" ht="39" x14ac:dyDescent="0.25">
      <c r="A48" s="6" t="s">
        <v>44</v>
      </c>
      <c r="B48" s="6"/>
      <c r="C48" s="3" t="s">
        <v>45</v>
      </c>
      <c r="D48" s="79">
        <f t="shared" ref="D48:L48" si="7">D49</f>
        <v>2.2000000000000002</v>
      </c>
      <c r="E48" s="79"/>
      <c r="F48" s="79">
        <f t="shared" si="7"/>
        <v>2.2000000000000002</v>
      </c>
      <c r="G48" s="79">
        <f t="shared" si="7"/>
        <v>2.2999999999999998</v>
      </c>
      <c r="H48" s="79"/>
      <c r="I48" s="79">
        <f t="shared" si="7"/>
        <v>2.2999999999999998</v>
      </c>
      <c r="J48" s="79">
        <f t="shared" si="7"/>
        <v>34.9</v>
      </c>
      <c r="K48" s="79"/>
      <c r="L48" s="79">
        <f t="shared" si="7"/>
        <v>34.9</v>
      </c>
    </row>
    <row r="49" spans="1:12" ht="26.25" x14ac:dyDescent="0.25">
      <c r="A49" s="6"/>
      <c r="B49" s="6" t="s">
        <v>281</v>
      </c>
      <c r="C49" s="3" t="s">
        <v>282</v>
      </c>
      <c r="D49" s="79">
        <v>2.2000000000000002</v>
      </c>
      <c r="E49" s="79"/>
      <c r="F49" s="79">
        <v>2.2000000000000002</v>
      </c>
      <c r="G49" s="79">
        <v>2.2999999999999998</v>
      </c>
      <c r="H49" s="79"/>
      <c r="I49" s="79">
        <v>2.2999999999999998</v>
      </c>
      <c r="J49" s="79">
        <v>34.9</v>
      </c>
      <c r="K49" s="79"/>
      <c r="L49" s="79">
        <v>34.9</v>
      </c>
    </row>
    <row r="50" spans="1:12" x14ac:dyDescent="0.25">
      <c r="A50" s="6" t="s">
        <v>46</v>
      </c>
      <c r="B50" s="6"/>
      <c r="C50" s="3" t="s">
        <v>47</v>
      </c>
      <c r="D50" s="79">
        <v>1118</v>
      </c>
      <c r="E50" s="79"/>
      <c r="F50" s="79">
        <v>1118</v>
      </c>
      <c r="G50" s="79">
        <v>1158.5</v>
      </c>
      <c r="H50" s="79"/>
      <c r="I50" s="79">
        <v>1158.5</v>
      </c>
      <c r="J50" s="79">
        <v>1158.5</v>
      </c>
      <c r="K50" s="79"/>
      <c r="L50" s="79">
        <v>1158.5</v>
      </c>
    </row>
    <row r="51" spans="1:12" ht="51.75" x14ac:dyDescent="0.25">
      <c r="A51" s="6"/>
      <c r="B51" s="6" t="s">
        <v>399</v>
      </c>
      <c r="C51" s="3" t="s">
        <v>400</v>
      </c>
      <c r="D51" s="79">
        <v>1118</v>
      </c>
      <c r="E51" s="79"/>
      <c r="F51" s="79">
        <v>1118</v>
      </c>
      <c r="G51" s="79">
        <v>1158.5</v>
      </c>
      <c r="H51" s="79"/>
      <c r="I51" s="79">
        <v>1158.5</v>
      </c>
      <c r="J51" s="79">
        <v>1158.5</v>
      </c>
      <c r="K51" s="79"/>
      <c r="L51" s="79">
        <v>1158.5</v>
      </c>
    </row>
    <row r="52" spans="1:12" ht="26.25" x14ac:dyDescent="0.25">
      <c r="A52" s="6"/>
      <c r="B52" s="6" t="s">
        <v>281</v>
      </c>
      <c r="C52" s="3" t="s">
        <v>282</v>
      </c>
      <c r="D52" s="79">
        <v>0</v>
      </c>
      <c r="E52" s="79"/>
      <c r="F52" s="79">
        <v>0</v>
      </c>
      <c r="G52" s="79">
        <v>0</v>
      </c>
      <c r="H52" s="79"/>
      <c r="I52" s="79">
        <v>0</v>
      </c>
      <c r="J52" s="79">
        <v>0</v>
      </c>
      <c r="K52" s="79"/>
      <c r="L52" s="79">
        <v>0</v>
      </c>
    </row>
    <row r="53" spans="1:12" ht="26.25" x14ac:dyDescent="0.25">
      <c r="A53" s="6" t="s">
        <v>48</v>
      </c>
      <c r="B53" s="6"/>
      <c r="C53" s="3" t="s">
        <v>476</v>
      </c>
      <c r="D53" s="79">
        <v>1111.9000000000001</v>
      </c>
      <c r="E53" s="79"/>
      <c r="F53" s="79">
        <v>1111.9000000000001</v>
      </c>
      <c r="G53" s="79">
        <v>1148.5</v>
      </c>
      <c r="H53" s="79"/>
      <c r="I53" s="79">
        <v>1148.5</v>
      </c>
      <c r="J53" s="79">
        <v>1148.5</v>
      </c>
      <c r="K53" s="79"/>
      <c r="L53" s="79">
        <v>1148.5</v>
      </c>
    </row>
    <row r="54" spans="1:12" ht="51.75" x14ac:dyDescent="0.25">
      <c r="A54" s="6"/>
      <c r="B54" s="6" t="s">
        <v>399</v>
      </c>
      <c r="C54" s="3" t="s">
        <v>400</v>
      </c>
      <c r="D54" s="79">
        <v>1098.5</v>
      </c>
      <c r="E54" s="79"/>
      <c r="F54" s="79">
        <v>1098.5</v>
      </c>
      <c r="G54" s="79">
        <v>1138.5</v>
      </c>
      <c r="H54" s="79"/>
      <c r="I54" s="79">
        <v>1138.5</v>
      </c>
      <c r="J54" s="79">
        <v>1138.5</v>
      </c>
      <c r="K54" s="79"/>
      <c r="L54" s="79">
        <v>1138.5</v>
      </c>
    </row>
    <row r="55" spans="1:12" ht="26.25" x14ac:dyDescent="0.25">
      <c r="A55" s="6"/>
      <c r="B55" s="6" t="s">
        <v>281</v>
      </c>
      <c r="C55" s="3" t="s">
        <v>282</v>
      </c>
      <c r="D55" s="79">
        <v>13.4</v>
      </c>
      <c r="E55" s="79"/>
      <c r="F55" s="79">
        <v>13.4</v>
      </c>
      <c r="G55" s="79">
        <v>10</v>
      </c>
      <c r="H55" s="79"/>
      <c r="I55" s="79">
        <v>10</v>
      </c>
      <c r="J55" s="79">
        <v>10</v>
      </c>
      <c r="K55" s="79"/>
      <c r="L55" s="79">
        <v>10</v>
      </c>
    </row>
    <row r="56" spans="1:12" ht="26.25" x14ac:dyDescent="0.25">
      <c r="A56" s="31" t="s">
        <v>49</v>
      </c>
      <c r="B56" s="31"/>
      <c r="C56" s="32" t="s">
        <v>50</v>
      </c>
      <c r="D56" s="75">
        <f>D57</f>
        <v>81.3</v>
      </c>
      <c r="E56" s="75"/>
      <c r="F56" s="75">
        <f>F57</f>
        <v>81.3</v>
      </c>
      <c r="G56" s="75">
        <f>G57</f>
        <v>81.3</v>
      </c>
      <c r="H56" s="75"/>
      <c r="I56" s="75">
        <f>I57</f>
        <v>81.3</v>
      </c>
      <c r="J56" s="75">
        <f>J57</f>
        <v>0</v>
      </c>
      <c r="K56" s="75"/>
      <c r="L56" s="75">
        <f>L57</f>
        <v>0</v>
      </c>
    </row>
    <row r="57" spans="1:12" ht="51.75" x14ac:dyDescent="0.25">
      <c r="A57" s="33" t="s">
        <v>51</v>
      </c>
      <c r="B57" s="36"/>
      <c r="C57" s="34" t="s">
        <v>675</v>
      </c>
      <c r="D57" s="71">
        <f>D58+D60</f>
        <v>81.3</v>
      </c>
      <c r="E57" s="71"/>
      <c r="F57" s="71">
        <f>F58+F60</f>
        <v>81.3</v>
      </c>
      <c r="G57" s="71">
        <f>G58+G60</f>
        <v>81.3</v>
      </c>
      <c r="H57" s="71"/>
      <c r="I57" s="71">
        <f>I58+I60</f>
        <v>81.3</v>
      </c>
      <c r="J57" s="71">
        <f>J58+J60</f>
        <v>0</v>
      </c>
      <c r="K57" s="71"/>
      <c r="L57" s="71">
        <f>L58+L60</f>
        <v>0</v>
      </c>
    </row>
    <row r="58" spans="1:12" x14ac:dyDescent="0.25">
      <c r="A58" s="6" t="s">
        <v>53</v>
      </c>
      <c r="B58" s="6"/>
      <c r="C58" s="8" t="s">
        <v>54</v>
      </c>
      <c r="D58" s="79">
        <f>D59</f>
        <v>50</v>
      </c>
      <c r="E58" s="79"/>
      <c r="F58" s="79">
        <f>F59</f>
        <v>50</v>
      </c>
      <c r="G58" s="79">
        <f>G59</f>
        <v>50</v>
      </c>
      <c r="H58" s="79"/>
      <c r="I58" s="79">
        <f>I59</f>
        <v>50</v>
      </c>
      <c r="J58" s="79">
        <f>J59</f>
        <v>0</v>
      </c>
      <c r="K58" s="79"/>
      <c r="L58" s="79">
        <f>L59</f>
        <v>0</v>
      </c>
    </row>
    <row r="59" spans="1:12" ht="26.25" x14ac:dyDescent="0.25">
      <c r="A59" s="6"/>
      <c r="B59" s="6" t="s">
        <v>281</v>
      </c>
      <c r="C59" s="3" t="s">
        <v>282</v>
      </c>
      <c r="D59" s="79">
        <v>50</v>
      </c>
      <c r="E59" s="79"/>
      <c r="F59" s="79">
        <v>50</v>
      </c>
      <c r="G59" s="79">
        <v>50</v>
      </c>
      <c r="H59" s="79"/>
      <c r="I59" s="79">
        <v>50</v>
      </c>
      <c r="J59" s="79">
        <v>0</v>
      </c>
      <c r="K59" s="79"/>
      <c r="L59" s="79">
        <v>0</v>
      </c>
    </row>
    <row r="60" spans="1:12" x14ac:dyDescent="0.25">
      <c r="A60" s="6" t="s">
        <v>55</v>
      </c>
      <c r="B60" s="6"/>
      <c r="C60" s="8" t="s">
        <v>56</v>
      </c>
      <c r="D60" s="79">
        <f>D61</f>
        <v>31.3</v>
      </c>
      <c r="E60" s="79"/>
      <c r="F60" s="79">
        <f>F61</f>
        <v>31.3</v>
      </c>
      <c r="G60" s="79">
        <f>G61</f>
        <v>31.3</v>
      </c>
      <c r="H60" s="79"/>
      <c r="I60" s="79">
        <f>I61</f>
        <v>31.3</v>
      </c>
      <c r="J60" s="79">
        <v>0</v>
      </c>
      <c r="K60" s="79"/>
      <c r="L60" s="79">
        <v>0</v>
      </c>
    </row>
    <row r="61" spans="1:12" ht="26.25" x14ac:dyDescent="0.25">
      <c r="A61" s="6"/>
      <c r="B61" s="6" t="s">
        <v>281</v>
      </c>
      <c r="C61" s="3" t="s">
        <v>282</v>
      </c>
      <c r="D61" s="79">
        <v>31.3</v>
      </c>
      <c r="E61" s="79"/>
      <c r="F61" s="79">
        <v>31.3</v>
      </c>
      <c r="G61" s="79">
        <v>31.3</v>
      </c>
      <c r="H61" s="79"/>
      <c r="I61" s="79">
        <v>31.3</v>
      </c>
      <c r="J61" s="79">
        <v>0</v>
      </c>
      <c r="K61" s="79"/>
      <c r="L61" s="79">
        <v>0</v>
      </c>
    </row>
    <row r="62" spans="1:12" ht="26.25" x14ac:dyDescent="0.25">
      <c r="A62" s="29" t="s">
        <v>57</v>
      </c>
      <c r="B62" s="29"/>
      <c r="C62" s="37" t="s">
        <v>532</v>
      </c>
      <c r="D62" s="72">
        <f t="shared" ref="D62:L62" si="8">D63+D76+D122+D138+D148+D164+D176</f>
        <v>518880.25719000003</v>
      </c>
      <c r="E62" s="72">
        <f t="shared" si="8"/>
        <v>-1447.1000000000004</v>
      </c>
      <c r="F62" s="72">
        <f t="shared" si="8"/>
        <v>517433.15719000006</v>
      </c>
      <c r="G62" s="72">
        <f t="shared" si="8"/>
        <v>485302.25570000004</v>
      </c>
      <c r="H62" s="72">
        <f t="shared" si="8"/>
        <v>116.3</v>
      </c>
      <c r="I62" s="72">
        <f t="shared" si="8"/>
        <v>485418.55570000008</v>
      </c>
      <c r="J62" s="72">
        <f t="shared" si="8"/>
        <v>486620.55515999999</v>
      </c>
      <c r="K62" s="72">
        <f t="shared" si="8"/>
        <v>116.3</v>
      </c>
      <c r="L62" s="72">
        <f t="shared" si="8"/>
        <v>486736.85515999998</v>
      </c>
    </row>
    <row r="63" spans="1:12" x14ac:dyDescent="0.25">
      <c r="A63" s="31" t="s">
        <v>59</v>
      </c>
      <c r="B63" s="31"/>
      <c r="C63" s="32" t="s">
        <v>60</v>
      </c>
      <c r="D63" s="75">
        <f t="shared" ref="D63:L63" si="9">D64</f>
        <v>112017.29427000001</v>
      </c>
      <c r="E63" s="75">
        <f t="shared" si="9"/>
        <v>-2490.2952700000001</v>
      </c>
      <c r="F63" s="75">
        <f t="shared" si="9"/>
        <v>109526.99900000001</v>
      </c>
      <c r="G63" s="75">
        <f t="shared" si="9"/>
        <v>109219.6722</v>
      </c>
      <c r="H63" s="75"/>
      <c r="I63" s="75">
        <f t="shared" si="9"/>
        <v>109219.6722</v>
      </c>
      <c r="J63" s="75">
        <f t="shared" si="9"/>
        <v>105115.8808</v>
      </c>
      <c r="K63" s="75"/>
      <c r="L63" s="75">
        <f t="shared" si="9"/>
        <v>105115.8808</v>
      </c>
    </row>
    <row r="64" spans="1:12" ht="39" x14ac:dyDescent="0.25">
      <c r="A64" s="33" t="s">
        <v>61</v>
      </c>
      <c r="B64" s="33"/>
      <c r="C64" s="34" t="s">
        <v>62</v>
      </c>
      <c r="D64" s="71">
        <f t="shared" ref="D64:L64" si="10">D65+D72+D74+D67+D70</f>
        <v>112017.29427000001</v>
      </c>
      <c r="E64" s="71">
        <f t="shared" si="10"/>
        <v>-2490.2952700000001</v>
      </c>
      <c r="F64" s="71">
        <f t="shared" si="10"/>
        <v>109526.99900000001</v>
      </c>
      <c r="G64" s="71">
        <f t="shared" si="10"/>
        <v>109219.6722</v>
      </c>
      <c r="H64" s="71"/>
      <c r="I64" s="71">
        <f t="shared" si="10"/>
        <v>109219.6722</v>
      </c>
      <c r="J64" s="71">
        <f t="shared" si="10"/>
        <v>105115.8808</v>
      </c>
      <c r="K64" s="71"/>
      <c r="L64" s="71">
        <f t="shared" si="10"/>
        <v>105115.8808</v>
      </c>
    </row>
    <row r="65" spans="1:12" ht="26.25" x14ac:dyDescent="0.25">
      <c r="A65" s="6" t="s">
        <v>63</v>
      </c>
      <c r="B65" s="12"/>
      <c r="C65" s="3" t="s">
        <v>64</v>
      </c>
      <c r="D65" s="70">
        <f>D66</f>
        <v>27674</v>
      </c>
      <c r="E65" s="70">
        <f>E66</f>
        <v>-2373.3000000000002</v>
      </c>
      <c r="F65" s="70">
        <f>F66</f>
        <v>25300.7</v>
      </c>
      <c r="G65" s="70">
        <f>G66</f>
        <v>27939.599999999999</v>
      </c>
      <c r="H65" s="70"/>
      <c r="I65" s="70">
        <f>I66</f>
        <v>27939.599999999999</v>
      </c>
      <c r="J65" s="70">
        <f>J66</f>
        <v>27939.599999999999</v>
      </c>
      <c r="K65" s="70"/>
      <c r="L65" s="70">
        <f>L66</f>
        <v>27939.599999999999</v>
      </c>
    </row>
    <row r="66" spans="1:12" ht="26.25" x14ac:dyDescent="0.25">
      <c r="A66" s="6"/>
      <c r="B66" s="6" t="s">
        <v>471</v>
      </c>
      <c r="C66" s="3" t="s">
        <v>472</v>
      </c>
      <c r="D66" s="70">
        <f>27939.6-265.6</f>
        <v>27674</v>
      </c>
      <c r="E66" s="70">
        <v>-2373.3000000000002</v>
      </c>
      <c r="F66" s="70">
        <f>27939.6-265.6-2373.3</f>
        <v>25300.7</v>
      </c>
      <c r="G66" s="70">
        <f>29308.1-1368.5</f>
        <v>27939.599999999999</v>
      </c>
      <c r="H66" s="70"/>
      <c r="I66" s="70">
        <f>29308.1-1368.5</f>
        <v>27939.599999999999</v>
      </c>
      <c r="J66" s="70">
        <f>30541-2601.4</f>
        <v>27939.599999999999</v>
      </c>
      <c r="K66" s="70"/>
      <c r="L66" s="70">
        <f>30541-2601.4</f>
        <v>27939.599999999999</v>
      </c>
    </row>
    <row r="67" spans="1:12" ht="39" x14ac:dyDescent="0.25">
      <c r="A67" s="6" t="s">
        <v>65</v>
      </c>
      <c r="B67" s="6"/>
      <c r="C67" s="3" t="s">
        <v>66</v>
      </c>
      <c r="D67" s="70">
        <f>D68+D69</f>
        <v>79091.349000000002</v>
      </c>
      <c r="E67" s="70"/>
      <c r="F67" s="70">
        <f>F68+F69</f>
        <v>79091.349000000002</v>
      </c>
      <c r="G67" s="70">
        <f>G69</f>
        <v>75467.272200000007</v>
      </c>
      <c r="H67" s="70"/>
      <c r="I67" s="70">
        <f>I68+I69</f>
        <v>75467.272200000007</v>
      </c>
      <c r="J67" s="70">
        <f>J68+J69</f>
        <v>71417.080799999996</v>
      </c>
      <c r="K67" s="70"/>
      <c r="L67" s="70">
        <f>L68+L69</f>
        <v>71417.080799999996</v>
      </c>
    </row>
    <row r="68" spans="1:12" x14ac:dyDescent="0.25">
      <c r="A68" s="6"/>
      <c r="B68" s="6" t="s">
        <v>424</v>
      </c>
      <c r="C68" s="3" t="s">
        <v>425</v>
      </c>
      <c r="D68" s="70">
        <v>0</v>
      </c>
      <c r="E68" s="70"/>
      <c r="F68" s="70">
        <v>0</v>
      </c>
      <c r="G68" s="70">
        <v>0</v>
      </c>
      <c r="H68" s="70"/>
      <c r="I68" s="70">
        <v>0</v>
      </c>
      <c r="J68" s="70">
        <v>0</v>
      </c>
      <c r="K68" s="70"/>
      <c r="L68" s="70">
        <v>0</v>
      </c>
    </row>
    <row r="69" spans="1:12" ht="26.25" x14ac:dyDescent="0.25">
      <c r="A69" s="6"/>
      <c r="B69" s="6" t="s">
        <v>471</v>
      </c>
      <c r="C69" s="3" t="s">
        <v>472</v>
      </c>
      <c r="D69" s="70">
        <v>79091.349000000002</v>
      </c>
      <c r="E69" s="80"/>
      <c r="F69" s="80">
        <f>D69+E69</f>
        <v>79091.349000000002</v>
      </c>
      <c r="G69" s="80">
        <v>75467.272200000007</v>
      </c>
      <c r="H69" s="80"/>
      <c r="I69" s="80">
        <f>G69+H69</f>
        <v>75467.272200000007</v>
      </c>
      <c r="J69" s="80">
        <v>71417.080799999996</v>
      </c>
      <c r="K69" s="80"/>
      <c r="L69" s="70">
        <f>J69+K69</f>
        <v>71417.080799999996</v>
      </c>
    </row>
    <row r="70" spans="1:12" ht="39" x14ac:dyDescent="0.25">
      <c r="A70" s="6" t="s">
        <v>67</v>
      </c>
      <c r="B70" s="6"/>
      <c r="C70" s="3" t="s">
        <v>68</v>
      </c>
      <c r="D70" s="70">
        <v>3972.1</v>
      </c>
      <c r="E70" s="70"/>
      <c r="F70" s="70">
        <v>3972.1</v>
      </c>
      <c r="G70" s="70">
        <v>4340</v>
      </c>
      <c r="H70" s="70"/>
      <c r="I70" s="70">
        <v>4340</v>
      </c>
      <c r="J70" s="70">
        <v>4227.5</v>
      </c>
      <c r="K70" s="70"/>
      <c r="L70" s="70">
        <v>4227.5</v>
      </c>
    </row>
    <row r="71" spans="1:12" ht="26.25" x14ac:dyDescent="0.25">
      <c r="A71" s="6"/>
      <c r="B71" s="6" t="s">
        <v>471</v>
      </c>
      <c r="C71" s="3" t="s">
        <v>472</v>
      </c>
      <c r="D71" s="70">
        <v>3972.1</v>
      </c>
      <c r="E71" s="70"/>
      <c r="F71" s="70">
        <v>3972.1</v>
      </c>
      <c r="G71" s="70">
        <v>4340</v>
      </c>
      <c r="H71" s="70"/>
      <c r="I71" s="70">
        <v>4340</v>
      </c>
      <c r="J71" s="70">
        <v>4227.5</v>
      </c>
      <c r="K71" s="70"/>
      <c r="L71" s="70">
        <v>4227.5</v>
      </c>
    </row>
    <row r="72" spans="1:12" ht="26.25" x14ac:dyDescent="0.25">
      <c r="A72" s="6" t="s">
        <v>69</v>
      </c>
      <c r="B72" s="6"/>
      <c r="C72" s="3" t="s">
        <v>70</v>
      </c>
      <c r="D72" s="70">
        <f>D73</f>
        <v>1038.95</v>
      </c>
      <c r="E72" s="70"/>
      <c r="F72" s="70">
        <f>F73</f>
        <v>1038.95</v>
      </c>
      <c r="G72" s="70">
        <f>G73</f>
        <v>1217.0999999999999</v>
      </c>
      <c r="H72" s="70"/>
      <c r="I72" s="70">
        <f>I73</f>
        <v>1217.0999999999999</v>
      </c>
      <c r="J72" s="70">
        <f>J73</f>
        <v>1265.8</v>
      </c>
      <c r="K72" s="70"/>
      <c r="L72" s="70">
        <f>L73</f>
        <v>1265.8</v>
      </c>
    </row>
    <row r="73" spans="1:12" ht="26.25" x14ac:dyDescent="0.25">
      <c r="A73" s="6"/>
      <c r="B73" s="6" t="s">
        <v>471</v>
      </c>
      <c r="C73" s="3" t="s">
        <v>472</v>
      </c>
      <c r="D73" s="70">
        <v>1038.95</v>
      </c>
      <c r="E73" s="70"/>
      <c r="F73" s="70">
        <f>1170.3-131.35</f>
        <v>1038.95</v>
      </c>
      <c r="G73" s="70">
        <v>1217.0999999999999</v>
      </c>
      <c r="H73" s="70"/>
      <c r="I73" s="70">
        <v>1217.0999999999999</v>
      </c>
      <c r="J73" s="70">
        <v>1265.8</v>
      </c>
      <c r="K73" s="70"/>
      <c r="L73" s="70">
        <v>1265.8</v>
      </c>
    </row>
    <row r="74" spans="1:12" ht="26.25" x14ac:dyDescent="0.25">
      <c r="A74" s="16" t="s">
        <v>71</v>
      </c>
      <c r="B74" s="6"/>
      <c r="C74" s="3" t="s">
        <v>72</v>
      </c>
      <c r="D74" s="70">
        <f>D75</f>
        <v>240.89527000000001</v>
      </c>
      <c r="E74" s="70">
        <f>E75</f>
        <v>-116.99527</v>
      </c>
      <c r="F74" s="70">
        <f>F75</f>
        <v>123.9</v>
      </c>
      <c r="G74" s="70">
        <v>255.7</v>
      </c>
      <c r="H74" s="70"/>
      <c r="I74" s="70">
        <v>255.7</v>
      </c>
      <c r="J74" s="70">
        <v>265.89999999999998</v>
      </c>
      <c r="K74" s="70"/>
      <c r="L74" s="70">
        <v>265.89999999999998</v>
      </c>
    </row>
    <row r="75" spans="1:12" ht="26.25" x14ac:dyDescent="0.25">
      <c r="A75" s="16"/>
      <c r="B75" s="6" t="s">
        <v>471</v>
      </c>
      <c r="C75" s="3" t="s">
        <v>472</v>
      </c>
      <c r="D75" s="70">
        <v>240.89527000000001</v>
      </c>
      <c r="E75" s="70">
        <v>-116.99527</v>
      </c>
      <c r="F75" s="70">
        <f>SUM(D75:E75)</f>
        <v>123.9</v>
      </c>
      <c r="G75" s="70">
        <v>255.7</v>
      </c>
      <c r="H75" s="70"/>
      <c r="I75" s="70">
        <v>255.7</v>
      </c>
      <c r="J75" s="70">
        <v>265.89999999999998</v>
      </c>
      <c r="K75" s="70"/>
      <c r="L75" s="70">
        <v>265.89999999999998</v>
      </c>
    </row>
    <row r="76" spans="1:12" x14ac:dyDescent="0.25">
      <c r="A76" s="31" t="s">
        <v>73</v>
      </c>
      <c r="B76" s="31"/>
      <c r="C76" s="32" t="s">
        <v>74</v>
      </c>
      <c r="D76" s="75">
        <f t="shared" ref="D76:L76" si="11">D77+D86+D107+D119</f>
        <v>322715.89269000001</v>
      </c>
      <c r="E76" s="75">
        <f t="shared" si="11"/>
        <v>-578.30473000000006</v>
      </c>
      <c r="F76" s="75">
        <f t="shared" si="11"/>
        <v>322137.58796000003</v>
      </c>
      <c r="G76" s="75">
        <f t="shared" si="11"/>
        <v>288696.65500000003</v>
      </c>
      <c r="H76" s="75">
        <f t="shared" si="11"/>
        <v>116.3</v>
      </c>
      <c r="I76" s="75">
        <f t="shared" si="11"/>
        <v>288812.95500000007</v>
      </c>
      <c r="J76" s="75">
        <f t="shared" si="11"/>
        <v>317221.97586000001</v>
      </c>
      <c r="K76" s="75">
        <f t="shared" si="11"/>
        <v>116.3</v>
      </c>
      <c r="L76" s="75">
        <f t="shared" si="11"/>
        <v>317338.27585999999</v>
      </c>
    </row>
    <row r="77" spans="1:12" ht="39" x14ac:dyDescent="0.25">
      <c r="A77" s="33" t="s">
        <v>75</v>
      </c>
      <c r="B77" s="33"/>
      <c r="C77" s="34" t="s">
        <v>76</v>
      </c>
      <c r="D77" s="71">
        <f t="shared" ref="D77:L77" si="12">D78+D80+D82</f>
        <v>235412.41619999998</v>
      </c>
      <c r="E77" s="71">
        <f t="shared" si="12"/>
        <v>-775.30000000000007</v>
      </c>
      <c r="F77" s="71">
        <f t="shared" si="12"/>
        <v>234637.11620000002</v>
      </c>
      <c r="G77" s="71">
        <f t="shared" si="12"/>
        <v>233740.77159999998</v>
      </c>
      <c r="H77" s="71">
        <f t="shared" si="12"/>
        <v>116.3</v>
      </c>
      <c r="I77" s="71">
        <f t="shared" si="12"/>
        <v>233857.0716</v>
      </c>
      <c r="J77" s="71">
        <f t="shared" si="12"/>
        <v>229196.10339999996</v>
      </c>
      <c r="K77" s="71">
        <f t="shared" si="12"/>
        <v>116.3</v>
      </c>
      <c r="L77" s="71">
        <f t="shared" si="12"/>
        <v>229312.40339999998</v>
      </c>
    </row>
    <row r="78" spans="1:12" ht="26.25" x14ac:dyDescent="0.25">
      <c r="A78" s="6" t="s">
        <v>77</v>
      </c>
      <c r="B78" s="12"/>
      <c r="C78" s="3" t="s">
        <v>78</v>
      </c>
      <c r="D78" s="70">
        <f>D79</f>
        <v>34055.699999999997</v>
      </c>
      <c r="E78" s="70">
        <f>E79</f>
        <v>-891.6</v>
      </c>
      <c r="F78" s="70">
        <f>F79</f>
        <v>33164.1</v>
      </c>
      <c r="G78" s="70">
        <f>G79</f>
        <v>34653.699999999997</v>
      </c>
      <c r="H78" s="70"/>
      <c r="I78" s="70">
        <f>I79</f>
        <v>34653.699999999997</v>
      </c>
      <c r="J78" s="70">
        <f>J79</f>
        <v>34653.699999999997</v>
      </c>
      <c r="K78" s="70"/>
      <c r="L78" s="70">
        <f>L79</f>
        <v>34653.699999999997</v>
      </c>
    </row>
    <row r="79" spans="1:12" ht="26.25" x14ac:dyDescent="0.25">
      <c r="A79" s="6"/>
      <c r="B79" s="6" t="s">
        <v>471</v>
      </c>
      <c r="C79" s="3" t="s">
        <v>472</v>
      </c>
      <c r="D79" s="70">
        <f>34653.7-598</f>
        <v>34055.699999999997</v>
      </c>
      <c r="E79" s="70">
        <v>-891.6</v>
      </c>
      <c r="F79" s="70">
        <f>34653.7-598-891.6</f>
        <v>33164.1</v>
      </c>
      <c r="G79" s="70">
        <f>35760.5-1106.8</f>
        <v>34653.699999999997</v>
      </c>
      <c r="H79" s="70"/>
      <c r="I79" s="70">
        <f>35760.5-1106.8</f>
        <v>34653.699999999997</v>
      </c>
      <c r="J79" s="70">
        <f>36920.2-2266.5</f>
        <v>34653.699999999997</v>
      </c>
      <c r="K79" s="70"/>
      <c r="L79" s="70">
        <f>36920.2-2266.5</f>
        <v>34653.699999999997</v>
      </c>
    </row>
    <row r="80" spans="1:12" ht="51.75" x14ac:dyDescent="0.25">
      <c r="A80" s="6" t="s">
        <v>79</v>
      </c>
      <c r="B80" s="6"/>
      <c r="C80" s="3" t="s">
        <v>80</v>
      </c>
      <c r="D80" s="70">
        <f t="shared" ref="D80:L80" si="13">D81</f>
        <v>193754.41620000001</v>
      </c>
      <c r="E80" s="70"/>
      <c r="F80" s="70">
        <f t="shared" si="13"/>
        <v>193754.41620000001</v>
      </c>
      <c r="G80" s="70">
        <f t="shared" si="13"/>
        <v>191484.77160000001</v>
      </c>
      <c r="H80" s="70"/>
      <c r="I80" s="70">
        <f t="shared" si="13"/>
        <v>191484.77160000001</v>
      </c>
      <c r="J80" s="70">
        <f t="shared" si="13"/>
        <v>186940.10339999999</v>
      </c>
      <c r="K80" s="70"/>
      <c r="L80" s="70">
        <f t="shared" si="13"/>
        <v>186940.10339999999</v>
      </c>
    </row>
    <row r="81" spans="1:12" ht="26.25" x14ac:dyDescent="0.25">
      <c r="A81" s="6"/>
      <c r="B81" s="6" t="s">
        <v>471</v>
      </c>
      <c r="C81" s="3" t="s">
        <v>472</v>
      </c>
      <c r="D81" s="70">
        <v>193754.41620000001</v>
      </c>
      <c r="E81" s="80"/>
      <c r="F81" s="80">
        <f>D81+E81</f>
        <v>193754.41620000001</v>
      </c>
      <c r="G81" s="80">
        <v>191484.77160000001</v>
      </c>
      <c r="H81" s="80"/>
      <c r="I81" s="80">
        <f>G81+H81</f>
        <v>191484.77160000001</v>
      </c>
      <c r="J81" s="80">
        <v>186940.10339999999</v>
      </c>
      <c r="K81" s="80"/>
      <c r="L81" s="70">
        <f>J81+K81</f>
        <v>186940.10339999999</v>
      </c>
    </row>
    <row r="82" spans="1:12" ht="77.25" x14ac:dyDescent="0.25">
      <c r="A82" s="6" t="s">
        <v>81</v>
      </c>
      <c r="B82" s="6"/>
      <c r="C82" s="3" t="s">
        <v>82</v>
      </c>
      <c r="D82" s="79">
        <f>D84+D85</f>
        <v>7602.3</v>
      </c>
      <c r="E82" s="79">
        <f>E83</f>
        <v>116.3</v>
      </c>
      <c r="F82" s="79">
        <f>F84+F85</f>
        <v>7718.6</v>
      </c>
      <c r="G82" s="79">
        <f>G84+G85</f>
        <v>7602.3</v>
      </c>
      <c r="H82" s="79">
        <f>H83</f>
        <v>116.3</v>
      </c>
      <c r="I82" s="79">
        <f>I84+I85</f>
        <v>7718.6</v>
      </c>
      <c r="J82" s="79">
        <f>J84+J85</f>
        <v>7602.3</v>
      </c>
      <c r="K82" s="79">
        <f>K83</f>
        <v>116.3</v>
      </c>
      <c r="L82" s="79">
        <f>L84+L85</f>
        <v>7718.6</v>
      </c>
    </row>
    <row r="83" spans="1:12" ht="26.25" x14ac:dyDescent="0.25">
      <c r="A83" s="6"/>
      <c r="B83" s="6" t="s">
        <v>471</v>
      </c>
      <c r="C83" s="3" t="s">
        <v>472</v>
      </c>
      <c r="D83" s="79">
        <f>SUM(D84:D85)</f>
        <v>7602.3</v>
      </c>
      <c r="E83" s="79">
        <f>E85</f>
        <v>116.3</v>
      </c>
      <c r="F83" s="79">
        <f>SUM(F84:F85)</f>
        <v>7718.6</v>
      </c>
      <c r="G83" s="79">
        <f>SUM(G84:G85)</f>
        <v>7602.3</v>
      </c>
      <c r="H83" s="79">
        <f>H85</f>
        <v>116.3</v>
      </c>
      <c r="I83" s="79">
        <f>SUM(I84:I85)</f>
        <v>7718.6</v>
      </c>
      <c r="J83" s="79">
        <f>SUM(J84:J85)</f>
        <v>7602.3</v>
      </c>
      <c r="K83" s="79">
        <f>K85</f>
        <v>116.3</v>
      </c>
      <c r="L83" s="79">
        <f>SUM(L84:L85)</f>
        <v>7718.6</v>
      </c>
    </row>
    <row r="84" spans="1:12" x14ac:dyDescent="0.25">
      <c r="A84" s="6"/>
      <c r="B84" s="6"/>
      <c r="C84" s="3" t="s">
        <v>83</v>
      </c>
      <c r="D84" s="70">
        <v>7032.1</v>
      </c>
      <c r="E84" s="70"/>
      <c r="F84" s="70">
        <v>7032.1</v>
      </c>
      <c r="G84" s="70">
        <v>7032.1</v>
      </c>
      <c r="H84" s="70"/>
      <c r="I84" s="70">
        <v>7032.1</v>
      </c>
      <c r="J84" s="70">
        <v>7032.1</v>
      </c>
      <c r="K84" s="70"/>
      <c r="L84" s="70">
        <v>7032.1</v>
      </c>
    </row>
    <row r="85" spans="1:12" x14ac:dyDescent="0.25">
      <c r="A85" s="6"/>
      <c r="B85" s="6"/>
      <c r="C85" s="3" t="s">
        <v>84</v>
      </c>
      <c r="D85" s="80">
        <v>570.20000000000005</v>
      </c>
      <c r="E85" s="296">
        <v>116.3</v>
      </c>
      <c r="F85" s="80">
        <f>570.2+116.3</f>
        <v>686.5</v>
      </c>
      <c r="G85" s="80">
        <v>570.20000000000005</v>
      </c>
      <c r="H85" s="296">
        <v>116.3</v>
      </c>
      <c r="I85" s="80">
        <f>570.2+116.3</f>
        <v>686.5</v>
      </c>
      <c r="J85" s="80">
        <v>570.20000000000005</v>
      </c>
      <c r="K85" s="296">
        <v>116.3</v>
      </c>
      <c r="L85" s="80">
        <f>570.2+116.3</f>
        <v>686.5</v>
      </c>
    </row>
    <row r="86" spans="1:12" ht="39" x14ac:dyDescent="0.25">
      <c r="A86" s="33" t="s">
        <v>85</v>
      </c>
      <c r="B86" s="33"/>
      <c r="C86" s="34" t="s">
        <v>86</v>
      </c>
      <c r="D86" s="71">
        <f>D87+D89+D91+D93+D99+D101+D95+D97+D103</f>
        <v>46205.399999999994</v>
      </c>
      <c r="E86" s="71">
        <f>E87+E89+E91+E93+E99+E101+E95+E97+E103</f>
        <v>196.99527</v>
      </c>
      <c r="F86" s="71">
        <f>F87+F89+F91+F93+F99+F101+F95+F97+F103</f>
        <v>46402.395270000001</v>
      </c>
      <c r="G86" s="71">
        <f>G87+G89+G91+G93+G99+G101+G95+G97+G103</f>
        <v>42825.5</v>
      </c>
      <c r="H86" s="71"/>
      <c r="I86" s="71">
        <f>I87+I89+I91+I93+I99+I101+I95+I97+I103</f>
        <v>42825.5</v>
      </c>
      <c r="J86" s="71">
        <f>J87+J89+J91+J93+J99+J101+J95+J97+J103</f>
        <v>43259.200000000004</v>
      </c>
      <c r="K86" s="71"/>
      <c r="L86" s="71">
        <f>L87+L89+L91+L93+L99+L101+L95+L97+L103</f>
        <v>43259.200000000004</v>
      </c>
    </row>
    <row r="87" spans="1:12" ht="26.25" x14ac:dyDescent="0.25">
      <c r="A87" s="6" t="s">
        <v>87</v>
      </c>
      <c r="B87" s="6"/>
      <c r="C87" s="3" t="s">
        <v>88</v>
      </c>
      <c r="D87" s="70">
        <f>D88</f>
        <v>6745.8</v>
      </c>
      <c r="E87" s="70">
        <f>E88</f>
        <v>80</v>
      </c>
      <c r="F87" s="70">
        <f>F88</f>
        <v>6825.8</v>
      </c>
      <c r="G87" s="70">
        <f>G88</f>
        <v>7260.5</v>
      </c>
      <c r="H87" s="70"/>
      <c r="I87" s="70">
        <f>I88</f>
        <v>7260.5</v>
      </c>
      <c r="J87" s="70">
        <f>J88</f>
        <v>7550.8</v>
      </c>
      <c r="K87" s="70"/>
      <c r="L87" s="70">
        <f>L88</f>
        <v>7550.8</v>
      </c>
    </row>
    <row r="88" spans="1:12" ht="26.25" x14ac:dyDescent="0.25">
      <c r="A88" s="6"/>
      <c r="B88" s="6" t="s">
        <v>471</v>
      </c>
      <c r="C88" s="3" t="s">
        <v>472</v>
      </c>
      <c r="D88" s="80">
        <v>6745.8</v>
      </c>
      <c r="E88" s="70">
        <v>80</v>
      </c>
      <c r="F88" s="80">
        <f>SUM(D88:E88)</f>
        <v>6825.8</v>
      </c>
      <c r="G88" s="80">
        <v>7260.5</v>
      </c>
      <c r="H88" s="80"/>
      <c r="I88" s="80">
        <v>7260.5</v>
      </c>
      <c r="J88" s="80">
        <v>7550.8</v>
      </c>
      <c r="K88" s="80"/>
      <c r="L88" s="80">
        <v>7550.8</v>
      </c>
    </row>
    <row r="89" spans="1:12" ht="26.25" x14ac:dyDescent="0.25">
      <c r="A89" s="6" t="s">
        <v>89</v>
      </c>
      <c r="B89" s="6"/>
      <c r="C89" s="3" t="s">
        <v>72</v>
      </c>
      <c r="D89" s="70">
        <f>D90</f>
        <v>1433.5</v>
      </c>
      <c r="E89" s="70">
        <f>E90</f>
        <v>116.99527</v>
      </c>
      <c r="F89" s="70">
        <f>F90</f>
        <v>1550.4952699999999</v>
      </c>
      <c r="G89" s="70">
        <f>G90</f>
        <v>1490.8</v>
      </c>
      <c r="H89" s="70"/>
      <c r="I89" s="70">
        <f>I90</f>
        <v>1490.8</v>
      </c>
      <c r="J89" s="70">
        <f>J90</f>
        <v>1550.5</v>
      </c>
      <c r="K89" s="70"/>
      <c r="L89" s="70">
        <f>L90</f>
        <v>1550.5</v>
      </c>
    </row>
    <row r="90" spans="1:12" ht="26.25" x14ac:dyDescent="0.25">
      <c r="A90" s="6"/>
      <c r="B90" s="6" t="s">
        <v>471</v>
      </c>
      <c r="C90" s="3" t="s">
        <v>472</v>
      </c>
      <c r="D90" s="70">
        <v>1433.5</v>
      </c>
      <c r="E90" s="70">
        <v>116.99527</v>
      </c>
      <c r="F90" s="70">
        <f>SUM(D90:E90)</f>
        <v>1550.4952699999999</v>
      </c>
      <c r="G90" s="70">
        <v>1490.8</v>
      </c>
      <c r="H90" s="70"/>
      <c r="I90" s="70">
        <v>1490.8</v>
      </c>
      <c r="J90" s="70">
        <v>1550.5</v>
      </c>
      <c r="K90" s="70"/>
      <c r="L90" s="70">
        <v>1550.5</v>
      </c>
    </row>
    <row r="91" spans="1:12" ht="39" x14ac:dyDescent="0.25">
      <c r="A91" s="6" t="s">
        <v>90</v>
      </c>
      <c r="B91" s="6"/>
      <c r="C91" s="3" t="s">
        <v>91</v>
      </c>
      <c r="D91" s="70">
        <f>D92</f>
        <v>188.6</v>
      </c>
      <c r="E91" s="70"/>
      <c r="F91" s="70">
        <f>F92</f>
        <v>188.6</v>
      </c>
      <c r="G91" s="70">
        <f>G92</f>
        <v>196.1</v>
      </c>
      <c r="H91" s="70"/>
      <c r="I91" s="70">
        <f>I92</f>
        <v>196.1</v>
      </c>
      <c r="J91" s="70">
        <f>J92</f>
        <v>204</v>
      </c>
      <c r="K91" s="70"/>
      <c r="L91" s="70">
        <f>L92</f>
        <v>204</v>
      </c>
    </row>
    <row r="92" spans="1:12" ht="26.25" x14ac:dyDescent="0.25">
      <c r="A92" s="6"/>
      <c r="B92" s="6" t="s">
        <v>471</v>
      </c>
      <c r="C92" s="3" t="s">
        <v>472</v>
      </c>
      <c r="D92" s="70">
        <v>188.6</v>
      </c>
      <c r="E92" s="70"/>
      <c r="F92" s="70">
        <v>188.6</v>
      </c>
      <c r="G92" s="70">
        <v>196.1</v>
      </c>
      <c r="H92" s="70"/>
      <c r="I92" s="70">
        <v>196.1</v>
      </c>
      <c r="J92" s="70">
        <v>204</v>
      </c>
      <c r="K92" s="70"/>
      <c r="L92" s="70">
        <v>204</v>
      </c>
    </row>
    <row r="93" spans="1:12" ht="26.25" x14ac:dyDescent="0.25">
      <c r="A93" s="6" t="s">
        <v>92</v>
      </c>
      <c r="B93" s="6"/>
      <c r="C93" s="3" t="s">
        <v>93</v>
      </c>
      <c r="D93" s="70">
        <f>D94</f>
        <v>185.6</v>
      </c>
      <c r="E93" s="70"/>
      <c r="F93" s="70">
        <f>F94</f>
        <v>185.60000000000002</v>
      </c>
      <c r="G93" s="70">
        <f>G94</f>
        <v>282.10000000000002</v>
      </c>
      <c r="H93" s="70"/>
      <c r="I93" s="70">
        <f>I94</f>
        <v>282.10000000000002</v>
      </c>
      <c r="J93" s="70">
        <f>J94</f>
        <v>293.39999999999998</v>
      </c>
      <c r="K93" s="70"/>
      <c r="L93" s="70">
        <f>L94</f>
        <v>293.39999999999998</v>
      </c>
    </row>
    <row r="94" spans="1:12" ht="26.25" x14ac:dyDescent="0.25">
      <c r="A94" s="6"/>
      <c r="B94" s="6" t="s">
        <v>471</v>
      </c>
      <c r="C94" s="3" t="s">
        <v>472</v>
      </c>
      <c r="D94" s="70">
        <v>185.6</v>
      </c>
      <c r="E94" s="70"/>
      <c r="F94" s="70">
        <f>271.3-85.7</f>
        <v>185.60000000000002</v>
      </c>
      <c r="G94" s="70">
        <v>282.10000000000002</v>
      </c>
      <c r="H94" s="70"/>
      <c r="I94" s="70">
        <v>282.10000000000002</v>
      </c>
      <c r="J94" s="70">
        <v>293.39999999999998</v>
      </c>
      <c r="K94" s="70"/>
      <c r="L94" s="70">
        <v>293.39999999999998</v>
      </c>
    </row>
    <row r="95" spans="1:12" ht="25.5" x14ac:dyDescent="0.25">
      <c r="A95" s="38" t="s">
        <v>94</v>
      </c>
      <c r="B95" s="6"/>
      <c r="C95" s="1" t="s">
        <v>676</v>
      </c>
      <c r="D95" s="70">
        <f>D96</f>
        <v>3993</v>
      </c>
      <c r="E95" s="70"/>
      <c r="F95" s="70">
        <f>F96</f>
        <v>3993</v>
      </c>
      <c r="G95" s="70">
        <f>G96</f>
        <v>3796.1</v>
      </c>
      <c r="H95" s="70"/>
      <c r="I95" s="70">
        <f>I96</f>
        <v>3796.1</v>
      </c>
      <c r="J95" s="70">
        <f>J96</f>
        <v>3685.9</v>
      </c>
      <c r="K95" s="70"/>
      <c r="L95" s="70">
        <f>L96</f>
        <v>3685.9</v>
      </c>
    </row>
    <row r="96" spans="1:12" ht="26.25" x14ac:dyDescent="0.25">
      <c r="A96" s="38"/>
      <c r="B96" s="6" t="s">
        <v>471</v>
      </c>
      <c r="C96" s="3" t="s">
        <v>472</v>
      </c>
      <c r="D96" s="70">
        <v>3993</v>
      </c>
      <c r="E96" s="70"/>
      <c r="F96" s="70">
        <v>3993</v>
      </c>
      <c r="G96" s="70">
        <v>3796.1</v>
      </c>
      <c r="H96" s="70"/>
      <c r="I96" s="70">
        <v>3796.1</v>
      </c>
      <c r="J96" s="70">
        <v>3685.9</v>
      </c>
      <c r="K96" s="70"/>
      <c r="L96" s="70">
        <v>3685.9</v>
      </c>
    </row>
    <row r="97" spans="1:12" ht="26.25" x14ac:dyDescent="0.25">
      <c r="A97" s="38" t="s">
        <v>95</v>
      </c>
      <c r="B97" s="6"/>
      <c r="C97" s="3" t="s">
        <v>677</v>
      </c>
      <c r="D97" s="70">
        <f>D98</f>
        <v>5123.5</v>
      </c>
      <c r="E97" s="70"/>
      <c r="F97" s="70">
        <f>F98</f>
        <v>5123.5</v>
      </c>
      <c r="G97" s="70">
        <f>G98</f>
        <v>4870.8999999999996</v>
      </c>
      <c r="H97" s="70"/>
      <c r="I97" s="70">
        <f>I98</f>
        <v>4870.8999999999996</v>
      </c>
      <c r="J97" s="70">
        <f>J98</f>
        <v>4729.3</v>
      </c>
      <c r="K97" s="70"/>
      <c r="L97" s="70">
        <f>L98</f>
        <v>4729.3</v>
      </c>
    </row>
    <row r="98" spans="1:12" ht="26.25" x14ac:dyDescent="0.25">
      <c r="A98" s="38"/>
      <c r="B98" s="6" t="s">
        <v>471</v>
      </c>
      <c r="C98" s="3" t="s">
        <v>472</v>
      </c>
      <c r="D98" s="70">
        <v>5123.5</v>
      </c>
      <c r="E98" s="70"/>
      <c r="F98" s="70">
        <v>5123.5</v>
      </c>
      <c r="G98" s="70">
        <v>4870.8999999999996</v>
      </c>
      <c r="H98" s="70"/>
      <c r="I98" s="70">
        <v>4870.8999999999996</v>
      </c>
      <c r="J98" s="70">
        <v>4729.3</v>
      </c>
      <c r="K98" s="70"/>
      <c r="L98" s="70">
        <v>4729.3</v>
      </c>
    </row>
    <row r="99" spans="1:12" ht="39" x14ac:dyDescent="0.25">
      <c r="A99" s="6" t="s">
        <v>96</v>
      </c>
      <c r="B99" s="6"/>
      <c r="C99" s="3" t="s">
        <v>97</v>
      </c>
      <c r="D99" s="70">
        <f>D100</f>
        <v>12128.1</v>
      </c>
      <c r="E99" s="70"/>
      <c r="F99" s="70">
        <f>F100</f>
        <v>12128.1</v>
      </c>
      <c r="G99" s="70">
        <f>G100</f>
        <v>12128.1</v>
      </c>
      <c r="H99" s="70"/>
      <c r="I99" s="70">
        <f>I100</f>
        <v>12128.1</v>
      </c>
      <c r="J99" s="70">
        <f>J100</f>
        <v>12128.1</v>
      </c>
      <c r="K99" s="70"/>
      <c r="L99" s="70">
        <f>L100</f>
        <v>12128.1</v>
      </c>
    </row>
    <row r="100" spans="1:12" ht="26.25" x14ac:dyDescent="0.25">
      <c r="A100" s="6"/>
      <c r="B100" s="6" t="s">
        <v>471</v>
      </c>
      <c r="C100" s="3" t="s">
        <v>472</v>
      </c>
      <c r="D100" s="70">
        <v>12128.1</v>
      </c>
      <c r="E100" s="70"/>
      <c r="F100" s="70">
        <v>12128.1</v>
      </c>
      <c r="G100" s="70">
        <v>12128.1</v>
      </c>
      <c r="H100" s="70"/>
      <c r="I100" s="70">
        <v>12128.1</v>
      </c>
      <c r="J100" s="70">
        <v>12128.1</v>
      </c>
      <c r="K100" s="70"/>
      <c r="L100" s="70">
        <v>12128.1</v>
      </c>
    </row>
    <row r="101" spans="1:12" ht="39" x14ac:dyDescent="0.25">
      <c r="A101" s="6" t="s">
        <v>98</v>
      </c>
      <c r="B101" s="6"/>
      <c r="C101" s="3" t="s">
        <v>432</v>
      </c>
      <c r="D101" s="70">
        <f>D102</f>
        <v>13563.3</v>
      </c>
      <c r="E101" s="70"/>
      <c r="F101" s="70">
        <f>F102</f>
        <v>13563.3</v>
      </c>
      <c r="G101" s="70">
        <f>G102</f>
        <v>12800.9</v>
      </c>
      <c r="H101" s="70"/>
      <c r="I101" s="70">
        <f>I102</f>
        <v>12800.9</v>
      </c>
      <c r="J101" s="70">
        <f>J102</f>
        <v>13117.2</v>
      </c>
      <c r="K101" s="70"/>
      <c r="L101" s="70">
        <f>L102</f>
        <v>13117.2</v>
      </c>
    </row>
    <row r="102" spans="1:12" ht="26.25" x14ac:dyDescent="0.25">
      <c r="A102" s="6"/>
      <c r="B102" s="6" t="s">
        <v>471</v>
      </c>
      <c r="C102" s="3" t="s">
        <v>472</v>
      </c>
      <c r="D102" s="70">
        <v>13563.3</v>
      </c>
      <c r="E102" s="70"/>
      <c r="F102" s="70">
        <v>13563.3</v>
      </c>
      <c r="G102" s="70">
        <v>12800.9</v>
      </c>
      <c r="H102" s="70"/>
      <c r="I102" s="70">
        <v>12800.9</v>
      </c>
      <c r="J102" s="70">
        <v>13117.2</v>
      </c>
      <c r="K102" s="70"/>
      <c r="L102" s="70">
        <v>13117.2</v>
      </c>
    </row>
    <row r="103" spans="1:12" ht="26.25" x14ac:dyDescent="0.25">
      <c r="A103" s="6" t="s">
        <v>506</v>
      </c>
      <c r="B103" s="6"/>
      <c r="C103" s="3" t="s">
        <v>485</v>
      </c>
      <c r="D103" s="70">
        <f>D104</f>
        <v>2844</v>
      </c>
      <c r="E103" s="70"/>
      <c r="F103" s="70">
        <f>F104</f>
        <v>2844</v>
      </c>
      <c r="G103" s="70">
        <f>G104</f>
        <v>0</v>
      </c>
      <c r="H103" s="70"/>
      <c r="I103" s="70">
        <f>I104</f>
        <v>0</v>
      </c>
      <c r="J103" s="70">
        <f>J104</f>
        <v>0</v>
      </c>
      <c r="K103" s="70"/>
      <c r="L103" s="70">
        <f>L104</f>
        <v>0</v>
      </c>
    </row>
    <row r="104" spans="1:12" ht="26.25" x14ac:dyDescent="0.25">
      <c r="A104" s="6"/>
      <c r="B104" s="6" t="s">
        <v>471</v>
      </c>
      <c r="C104" s="3" t="s">
        <v>472</v>
      </c>
      <c r="D104" s="70">
        <v>2844</v>
      </c>
      <c r="E104" s="70"/>
      <c r="F104" s="70">
        <v>2844</v>
      </c>
      <c r="G104" s="70">
        <v>0</v>
      </c>
      <c r="H104" s="70"/>
      <c r="I104" s="70">
        <v>0</v>
      </c>
      <c r="J104" s="70">
        <v>0</v>
      </c>
      <c r="K104" s="70"/>
      <c r="L104" s="70">
        <v>0</v>
      </c>
    </row>
    <row r="105" spans="1:12" x14ac:dyDescent="0.25">
      <c r="A105" s="6"/>
      <c r="B105" s="6"/>
      <c r="C105" s="3" t="s">
        <v>83</v>
      </c>
      <c r="D105" s="70">
        <v>2133</v>
      </c>
      <c r="E105" s="70"/>
      <c r="F105" s="70">
        <v>2133</v>
      </c>
      <c r="G105" s="70">
        <v>0</v>
      </c>
      <c r="H105" s="70"/>
      <c r="I105" s="70">
        <v>0</v>
      </c>
      <c r="J105" s="70">
        <v>0</v>
      </c>
      <c r="K105" s="70"/>
      <c r="L105" s="70">
        <v>0</v>
      </c>
    </row>
    <row r="106" spans="1:12" x14ac:dyDescent="0.25">
      <c r="A106" s="6"/>
      <c r="B106" s="6"/>
      <c r="C106" s="3" t="s">
        <v>84</v>
      </c>
      <c r="D106" s="70">
        <v>711</v>
      </c>
      <c r="E106" s="70"/>
      <c r="F106" s="70">
        <v>711</v>
      </c>
      <c r="G106" s="70">
        <v>0</v>
      </c>
      <c r="H106" s="70"/>
      <c r="I106" s="70">
        <v>0</v>
      </c>
      <c r="J106" s="70">
        <v>0</v>
      </c>
      <c r="K106" s="70"/>
      <c r="L106" s="70">
        <v>0</v>
      </c>
    </row>
    <row r="107" spans="1:12" s="39" customFormat="1" ht="39" x14ac:dyDescent="0.25">
      <c r="A107" s="33" t="s">
        <v>99</v>
      </c>
      <c r="B107" s="33"/>
      <c r="C107" s="34" t="s">
        <v>100</v>
      </c>
      <c r="D107" s="71">
        <f>D108+D115</f>
        <v>40669.593090000002</v>
      </c>
      <c r="E107" s="71"/>
      <c r="F107" s="71">
        <f>F108+F115</f>
        <v>40669.593090000002</v>
      </c>
      <c r="G107" s="71">
        <f t="shared" ref="G107:L107" si="14">G108+G115+G113</f>
        <v>11701.9</v>
      </c>
      <c r="H107" s="71"/>
      <c r="I107" s="71">
        <f t="shared" si="14"/>
        <v>11701.9</v>
      </c>
      <c r="J107" s="71">
        <f t="shared" si="14"/>
        <v>44338.189059999997</v>
      </c>
      <c r="K107" s="71"/>
      <c r="L107" s="71">
        <f t="shared" si="14"/>
        <v>44338.189059999997</v>
      </c>
    </row>
    <row r="108" spans="1:12" s="39" customFormat="1" ht="25.5" x14ac:dyDescent="0.25">
      <c r="A108" s="6" t="s">
        <v>101</v>
      </c>
      <c r="B108" s="6"/>
      <c r="C108" s="2" t="s">
        <v>102</v>
      </c>
      <c r="D108" s="70">
        <f>D110+D111+D112</f>
        <v>40669.593090000002</v>
      </c>
      <c r="E108" s="70"/>
      <c r="F108" s="70">
        <f>F110+F111+F112</f>
        <v>40669.593090000002</v>
      </c>
      <c r="G108" s="70">
        <f>G109</f>
        <v>0</v>
      </c>
      <c r="H108" s="70"/>
      <c r="I108" s="70">
        <f>I109</f>
        <v>0</v>
      </c>
      <c r="J108" s="70">
        <v>0</v>
      </c>
      <c r="K108" s="70"/>
      <c r="L108" s="70">
        <v>0</v>
      </c>
    </row>
    <row r="109" spans="1:12" s="39" customFormat="1" ht="26.25" x14ac:dyDescent="0.25">
      <c r="A109" s="6"/>
      <c r="B109" s="22" t="s">
        <v>299</v>
      </c>
      <c r="C109" s="3" t="s">
        <v>300</v>
      </c>
      <c r="D109" s="70">
        <f>D110+D111+D112</f>
        <v>40669.593090000002</v>
      </c>
      <c r="E109" s="70"/>
      <c r="F109" s="70">
        <f>F110+F111+F112</f>
        <v>40669.593090000002</v>
      </c>
      <c r="G109" s="70">
        <v>0</v>
      </c>
      <c r="H109" s="70"/>
      <c r="I109" s="70">
        <v>0</v>
      </c>
      <c r="J109" s="70">
        <v>0</v>
      </c>
      <c r="K109" s="70"/>
      <c r="L109" s="70">
        <v>0</v>
      </c>
    </row>
    <row r="110" spans="1:12" x14ac:dyDescent="0.25">
      <c r="A110" s="6"/>
      <c r="B110" s="6"/>
      <c r="C110" s="3" t="s">
        <v>103</v>
      </c>
      <c r="D110" s="70">
        <v>0</v>
      </c>
      <c r="E110" s="70"/>
      <c r="F110" s="70">
        <v>0</v>
      </c>
      <c r="G110" s="70">
        <v>0</v>
      </c>
      <c r="H110" s="70"/>
      <c r="I110" s="70">
        <v>0</v>
      </c>
      <c r="J110" s="70">
        <v>0</v>
      </c>
      <c r="K110" s="70"/>
      <c r="L110" s="70">
        <v>0</v>
      </c>
    </row>
    <row r="111" spans="1:12" x14ac:dyDescent="0.25">
      <c r="A111" s="6"/>
      <c r="B111" s="6"/>
      <c r="C111" s="3" t="s">
        <v>104</v>
      </c>
      <c r="D111" s="70">
        <v>30121.14</v>
      </c>
      <c r="E111" s="70"/>
      <c r="F111" s="70">
        <v>30121.14</v>
      </c>
      <c r="G111" s="70">
        <v>0</v>
      </c>
      <c r="H111" s="70"/>
      <c r="I111" s="70">
        <v>0</v>
      </c>
      <c r="J111" s="70">
        <v>0</v>
      </c>
      <c r="K111" s="70"/>
      <c r="L111" s="70">
        <v>0</v>
      </c>
    </row>
    <row r="112" spans="1:12" x14ac:dyDescent="0.25">
      <c r="A112" s="6"/>
      <c r="B112" s="6"/>
      <c r="C112" s="3" t="s">
        <v>105</v>
      </c>
      <c r="D112" s="70">
        <v>10548.453090000001</v>
      </c>
      <c r="E112" s="70"/>
      <c r="F112" s="70">
        <f>10478.86+69.59309</f>
        <v>10548.453090000001</v>
      </c>
      <c r="G112" s="70">
        <v>0</v>
      </c>
      <c r="H112" s="70"/>
      <c r="I112" s="70">
        <v>0</v>
      </c>
      <c r="J112" s="70">
        <v>0</v>
      </c>
      <c r="K112" s="70"/>
      <c r="L112" s="70">
        <v>0</v>
      </c>
    </row>
    <row r="113" spans="1:12" ht="25.5" x14ac:dyDescent="0.25">
      <c r="A113" s="6" t="s">
        <v>490</v>
      </c>
      <c r="B113" s="6"/>
      <c r="C113" s="65" t="s">
        <v>678</v>
      </c>
      <c r="D113" s="70">
        <v>0</v>
      </c>
      <c r="E113" s="70"/>
      <c r="F113" s="70">
        <v>0</v>
      </c>
      <c r="G113" s="70">
        <f>G114</f>
        <v>11701.9</v>
      </c>
      <c r="H113" s="70"/>
      <c r="I113" s="70">
        <f>I114</f>
        <v>11701.9</v>
      </c>
      <c r="J113" s="70">
        <v>0</v>
      </c>
      <c r="K113" s="70"/>
      <c r="L113" s="70">
        <v>0</v>
      </c>
    </row>
    <row r="114" spans="1:12" ht="26.25" x14ac:dyDescent="0.25">
      <c r="A114" s="6"/>
      <c r="B114" s="6" t="s">
        <v>281</v>
      </c>
      <c r="C114" s="3" t="s">
        <v>282</v>
      </c>
      <c r="D114" s="70">
        <v>0</v>
      </c>
      <c r="E114" s="70"/>
      <c r="F114" s="70">
        <v>0</v>
      </c>
      <c r="G114" s="70">
        <v>11701.9</v>
      </c>
      <c r="H114" s="70"/>
      <c r="I114" s="70">
        <f>SUM(G114:H114)</f>
        <v>11701.9</v>
      </c>
      <c r="J114" s="70">
        <v>0</v>
      </c>
      <c r="K114" s="70"/>
      <c r="L114" s="70">
        <v>0</v>
      </c>
    </row>
    <row r="115" spans="1:12" s="39" customFormat="1" ht="25.5" x14ac:dyDescent="0.25">
      <c r="A115" s="6" t="s">
        <v>433</v>
      </c>
      <c r="B115" s="6"/>
      <c r="C115" s="2" t="s">
        <v>106</v>
      </c>
      <c r="D115" s="70">
        <v>0</v>
      </c>
      <c r="E115" s="70"/>
      <c r="F115" s="70">
        <v>0</v>
      </c>
      <c r="G115" s="70">
        <f>G116</f>
        <v>0</v>
      </c>
      <c r="H115" s="70"/>
      <c r="I115" s="70">
        <f>I116</f>
        <v>0</v>
      </c>
      <c r="J115" s="70">
        <f>J117+J118</f>
        <v>44338.189059999997</v>
      </c>
      <c r="K115" s="70"/>
      <c r="L115" s="70">
        <f>L117+L118</f>
        <v>44338.189059999997</v>
      </c>
    </row>
    <row r="116" spans="1:12" s="39" customFormat="1" ht="26.25" x14ac:dyDescent="0.25">
      <c r="A116" s="6"/>
      <c r="B116" s="22" t="s">
        <v>299</v>
      </c>
      <c r="C116" s="3" t="s">
        <v>300</v>
      </c>
      <c r="D116" s="70">
        <v>0</v>
      </c>
      <c r="E116" s="70"/>
      <c r="F116" s="70">
        <v>0</v>
      </c>
      <c r="G116" s="70">
        <f>G118</f>
        <v>0</v>
      </c>
      <c r="H116" s="70"/>
      <c r="I116" s="70">
        <f>I118</f>
        <v>0</v>
      </c>
      <c r="J116" s="70">
        <f>J117+J118</f>
        <v>44338.189059999997</v>
      </c>
      <c r="K116" s="70"/>
      <c r="L116" s="70">
        <f>L117+L118</f>
        <v>44338.189059999997</v>
      </c>
    </row>
    <row r="117" spans="1:12" x14ac:dyDescent="0.25">
      <c r="A117" s="6"/>
      <c r="B117" s="6"/>
      <c r="C117" s="3" t="s">
        <v>153</v>
      </c>
      <c r="D117" s="70">
        <v>0</v>
      </c>
      <c r="E117" s="70"/>
      <c r="F117" s="70">
        <v>0</v>
      </c>
      <c r="G117" s="70">
        <v>0</v>
      </c>
      <c r="H117" s="70"/>
      <c r="I117" s="70">
        <v>0</v>
      </c>
      <c r="J117" s="70">
        <v>38559.189059999997</v>
      </c>
      <c r="K117" s="70"/>
      <c r="L117" s="70">
        <v>38559.189059999997</v>
      </c>
    </row>
    <row r="118" spans="1:12" x14ac:dyDescent="0.25">
      <c r="A118" s="6"/>
      <c r="B118" s="6"/>
      <c r="C118" s="3" t="s">
        <v>105</v>
      </c>
      <c r="D118" s="70">
        <v>0</v>
      </c>
      <c r="E118" s="70"/>
      <c r="F118" s="70">
        <v>0</v>
      </c>
      <c r="G118" s="80">
        <v>0</v>
      </c>
      <c r="H118" s="80"/>
      <c r="I118" s="80">
        <v>0</v>
      </c>
      <c r="J118" s="80">
        <v>5779</v>
      </c>
      <c r="K118" s="80"/>
      <c r="L118" s="80">
        <v>5779</v>
      </c>
    </row>
    <row r="119" spans="1:12" ht="38.25" x14ac:dyDescent="0.25">
      <c r="A119" s="90" t="s">
        <v>520</v>
      </c>
      <c r="B119" s="14"/>
      <c r="C119" s="91" t="s">
        <v>679</v>
      </c>
      <c r="D119" s="71">
        <f t="shared" ref="D119:J120" si="15">D120</f>
        <v>428.48340000000002</v>
      </c>
      <c r="E119" s="71"/>
      <c r="F119" s="71">
        <f t="shared" si="15"/>
        <v>428.48340000000002</v>
      </c>
      <c r="G119" s="71">
        <f t="shared" si="15"/>
        <v>428.48340000000002</v>
      </c>
      <c r="H119" s="71"/>
      <c r="I119" s="71">
        <f t="shared" si="15"/>
        <v>428.48340000000002</v>
      </c>
      <c r="J119" s="71">
        <f t="shared" si="15"/>
        <v>428.48340000000002</v>
      </c>
      <c r="K119" s="71"/>
      <c r="L119" s="71">
        <f>L120</f>
        <v>428.48340000000002</v>
      </c>
    </row>
    <row r="120" spans="1:12" ht="39" x14ac:dyDescent="0.25">
      <c r="A120" s="89" t="s">
        <v>521</v>
      </c>
      <c r="B120" s="89"/>
      <c r="C120" s="3" t="s">
        <v>522</v>
      </c>
      <c r="D120" s="70">
        <f t="shared" si="15"/>
        <v>428.48340000000002</v>
      </c>
      <c r="E120" s="70"/>
      <c r="F120" s="70">
        <f t="shared" si="15"/>
        <v>428.48340000000002</v>
      </c>
      <c r="G120" s="70">
        <f t="shared" si="15"/>
        <v>428.48340000000002</v>
      </c>
      <c r="H120" s="70"/>
      <c r="I120" s="70">
        <f t="shared" si="15"/>
        <v>428.48340000000002</v>
      </c>
      <c r="J120" s="70">
        <f t="shared" si="15"/>
        <v>428.48340000000002</v>
      </c>
      <c r="K120" s="70"/>
      <c r="L120" s="70">
        <f>L121</f>
        <v>428.48340000000002</v>
      </c>
    </row>
    <row r="121" spans="1:12" ht="26.25" x14ac:dyDescent="0.25">
      <c r="A121" s="89"/>
      <c r="B121" s="89" t="s">
        <v>471</v>
      </c>
      <c r="C121" s="87" t="s">
        <v>472</v>
      </c>
      <c r="D121" s="70">
        <v>428.48340000000002</v>
      </c>
      <c r="E121" s="70"/>
      <c r="F121" s="70">
        <f>SUM(D121:E121)</f>
        <v>428.48340000000002</v>
      </c>
      <c r="G121" s="70">
        <v>428.48340000000002</v>
      </c>
      <c r="H121" s="70"/>
      <c r="I121" s="70">
        <v>428.48340000000002</v>
      </c>
      <c r="J121" s="70">
        <v>428.48340000000002</v>
      </c>
      <c r="K121" s="70"/>
      <c r="L121" s="70">
        <v>428.48340000000002</v>
      </c>
    </row>
    <row r="122" spans="1:12" x14ac:dyDescent="0.25">
      <c r="A122" s="31" t="s">
        <v>107</v>
      </c>
      <c r="B122" s="31"/>
      <c r="C122" s="32" t="s">
        <v>108</v>
      </c>
      <c r="D122" s="75">
        <f>D123</f>
        <v>36669.799999999996</v>
      </c>
      <c r="E122" s="75">
        <f>E123</f>
        <v>-10.5</v>
      </c>
      <c r="F122" s="75">
        <f>F123</f>
        <v>36659.299999999996</v>
      </c>
      <c r="G122" s="75">
        <f>G123</f>
        <v>36864.700000000012</v>
      </c>
      <c r="H122" s="75"/>
      <c r="I122" s="75">
        <f>I123</f>
        <v>36864.700000000012</v>
      </c>
      <c r="J122" s="75">
        <f>J123</f>
        <v>36790.500000000007</v>
      </c>
      <c r="K122" s="75"/>
      <c r="L122" s="75">
        <f>L123</f>
        <v>36790.500000000007</v>
      </c>
    </row>
    <row r="123" spans="1:12" ht="26.25" x14ac:dyDescent="0.25">
      <c r="A123" s="33" t="s">
        <v>109</v>
      </c>
      <c r="B123" s="36"/>
      <c r="C123" s="34" t="s">
        <v>110</v>
      </c>
      <c r="D123" s="71">
        <f>D124+D126+D128+D130+D132+D134+D136</f>
        <v>36669.799999999996</v>
      </c>
      <c r="E123" s="71">
        <f>E124+E126+E128+E130+E132+E134+E136</f>
        <v>-10.5</v>
      </c>
      <c r="F123" s="71">
        <f>F124+F126+F128+F130+F132+F134+F136</f>
        <v>36659.299999999996</v>
      </c>
      <c r="G123" s="71">
        <f>G124+G126+G128+G130+G132+G134+G136</f>
        <v>36864.700000000012</v>
      </c>
      <c r="H123" s="71"/>
      <c r="I123" s="71">
        <f>I124+I126+I128+I130+I132+I134+I136</f>
        <v>36864.700000000012</v>
      </c>
      <c r="J123" s="71">
        <f>J124+J126+J128+J130+J132+J134+J136</f>
        <v>36790.500000000007</v>
      </c>
      <c r="K123" s="71"/>
      <c r="L123" s="71">
        <f>L124+L126+L128+L130+L132+L134+L136</f>
        <v>36790.500000000007</v>
      </c>
    </row>
    <row r="124" spans="1:12" ht="39" x14ac:dyDescent="0.25">
      <c r="A124" s="6" t="s">
        <v>111</v>
      </c>
      <c r="B124" s="12"/>
      <c r="C124" s="3" t="s">
        <v>680</v>
      </c>
      <c r="D124" s="70">
        <f>D125</f>
        <v>22580.3</v>
      </c>
      <c r="E124" s="70">
        <f>E125</f>
        <v>-10.5</v>
      </c>
      <c r="F124" s="70">
        <f>F125</f>
        <v>22569.8</v>
      </c>
      <c r="G124" s="70">
        <f>G125</f>
        <v>22616.3</v>
      </c>
      <c r="H124" s="70"/>
      <c r="I124" s="70">
        <f>I125</f>
        <v>22616.3</v>
      </c>
      <c r="J124" s="70">
        <f>J125</f>
        <v>22612.799999999999</v>
      </c>
      <c r="K124" s="70"/>
      <c r="L124" s="70">
        <f>L125</f>
        <v>22612.799999999999</v>
      </c>
    </row>
    <row r="125" spans="1:12" ht="26.25" x14ac:dyDescent="0.25">
      <c r="A125" s="6"/>
      <c r="B125" s="6" t="s">
        <v>471</v>
      </c>
      <c r="C125" s="3" t="s">
        <v>472</v>
      </c>
      <c r="D125" s="70">
        <f>22651.1-70.8</f>
        <v>22580.3</v>
      </c>
      <c r="E125" s="70">
        <v>-10.5</v>
      </c>
      <c r="F125" s="70">
        <f>22651.1-70.8-10.5</f>
        <v>22569.8</v>
      </c>
      <c r="G125" s="70">
        <f>22672.3-56</f>
        <v>22616.3</v>
      </c>
      <c r="H125" s="70"/>
      <c r="I125" s="70">
        <f>22672.3-56</f>
        <v>22616.3</v>
      </c>
      <c r="J125" s="70">
        <f>22754.6-141.8</f>
        <v>22612.799999999999</v>
      </c>
      <c r="K125" s="70"/>
      <c r="L125" s="70">
        <f>22754.6-141.8</f>
        <v>22612.799999999999</v>
      </c>
    </row>
    <row r="126" spans="1:12" ht="39" x14ac:dyDescent="0.25">
      <c r="A126" s="6" t="s">
        <v>112</v>
      </c>
      <c r="B126" s="12"/>
      <c r="C126" s="3" t="s">
        <v>681</v>
      </c>
      <c r="D126" s="70">
        <f>D127</f>
        <v>13392.5</v>
      </c>
      <c r="E126" s="70"/>
      <c r="F126" s="70">
        <f>F127</f>
        <v>13392.5</v>
      </c>
      <c r="G126" s="70">
        <f>G127</f>
        <v>13538.199999999999</v>
      </c>
      <c r="H126" s="70"/>
      <c r="I126" s="70">
        <f>I127</f>
        <v>13538.199999999999</v>
      </c>
      <c r="J126" s="70">
        <f>J127</f>
        <v>13451.1</v>
      </c>
      <c r="K126" s="70"/>
      <c r="L126" s="70">
        <f>L127</f>
        <v>13451.1</v>
      </c>
    </row>
    <row r="127" spans="1:12" ht="26.25" x14ac:dyDescent="0.25">
      <c r="A127" s="6"/>
      <c r="B127" s="6" t="s">
        <v>471</v>
      </c>
      <c r="C127" s="3" t="s">
        <v>472</v>
      </c>
      <c r="D127" s="70">
        <f>13452.3-59.8</f>
        <v>13392.5</v>
      </c>
      <c r="E127" s="70"/>
      <c r="F127" s="70">
        <f>13452.3-59.8</f>
        <v>13392.5</v>
      </c>
      <c r="G127" s="70">
        <f>13618.4-80.2</f>
        <v>13538.199999999999</v>
      </c>
      <c r="H127" s="70"/>
      <c r="I127" s="70">
        <f>13618.4-80.2</f>
        <v>13538.199999999999</v>
      </c>
      <c r="J127" s="70">
        <f>13623.1-172</f>
        <v>13451.1</v>
      </c>
      <c r="K127" s="70"/>
      <c r="L127" s="70">
        <f>13623.1-172</f>
        <v>13451.1</v>
      </c>
    </row>
    <row r="128" spans="1:12" x14ac:dyDescent="0.25">
      <c r="A128" s="6" t="s">
        <v>113</v>
      </c>
      <c r="B128" s="6"/>
      <c r="C128" s="3" t="s">
        <v>114</v>
      </c>
      <c r="D128" s="70">
        <f>D129</f>
        <v>274.2</v>
      </c>
      <c r="E128" s="70"/>
      <c r="F128" s="70">
        <f>F129</f>
        <v>274.2</v>
      </c>
      <c r="G128" s="70">
        <f>G129</f>
        <v>279.5</v>
      </c>
      <c r="H128" s="70"/>
      <c r="I128" s="70">
        <f>I129</f>
        <v>279.5</v>
      </c>
      <c r="J128" s="70">
        <f>J129</f>
        <v>284.89999999999998</v>
      </c>
      <c r="K128" s="70"/>
      <c r="L128" s="70">
        <f>L129</f>
        <v>284.89999999999998</v>
      </c>
    </row>
    <row r="129" spans="1:12" ht="26.25" x14ac:dyDescent="0.25">
      <c r="A129" s="6"/>
      <c r="B129" s="6" t="s">
        <v>471</v>
      </c>
      <c r="C129" s="3" t="s">
        <v>472</v>
      </c>
      <c r="D129" s="70">
        <v>274.2</v>
      </c>
      <c r="E129" s="70"/>
      <c r="F129" s="70">
        <v>274.2</v>
      </c>
      <c r="G129" s="70">
        <v>279.5</v>
      </c>
      <c r="H129" s="70"/>
      <c r="I129" s="70">
        <v>279.5</v>
      </c>
      <c r="J129" s="70">
        <v>284.89999999999998</v>
      </c>
      <c r="K129" s="70"/>
      <c r="L129" s="70">
        <v>284.89999999999998</v>
      </c>
    </row>
    <row r="130" spans="1:12" x14ac:dyDescent="0.25">
      <c r="A130" s="6" t="s">
        <v>115</v>
      </c>
      <c r="B130" s="6"/>
      <c r="C130" s="3" t="s">
        <v>116</v>
      </c>
      <c r="D130" s="70">
        <f>D131</f>
        <v>108.9</v>
      </c>
      <c r="E130" s="70"/>
      <c r="F130" s="70">
        <f>F131</f>
        <v>108.9</v>
      </c>
      <c r="G130" s="70">
        <f>G131</f>
        <v>109.3</v>
      </c>
      <c r="H130" s="70"/>
      <c r="I130" s="70">
        <f>I131</f>
        <v>109.3</v>
      </c>
      <c r="J130" s="70">
        <f>J131</f>
        <v>109.8</v>
      </c>
      <c r="K130" s="70"/>
      <c r="L130" s="70">
        <f>L131</f>
        <v>109.8</v>
      </c>
    </row>
    <row r="131" spans="1:12" ht="26.25" x14ac:dyDescent="0.25">
      <c r="A131" s="6"/>
      <c r="B131" s="6" t="s">
        <v>471</v>
      </c>
      <c r="C131" s="3" t="s">
        <v>472</v>
      </c>
      <c r="D131" s="70">
        <v>108.9</v>
      </c>
      <c r="E131" s="70"/>
      <c r="F131" s="70">
        <v>108.9</v>
      </c>
      <c r="G131" s="70">
        <v>109.3</v>
      </c>
      <c r="H131" s="70"/>
      <c r="I131" s="70">
        <v>109.3</v>
      </c>
      <c r="J131" s="70">
        <v>109.8</v>
      </c>
      <c r="K131" s="70"/>
      <c r="L131" s="70">
        <v>109.8</v>
      </c>
    </row>
    <row r="132" spans="1:12" ht="26.25" x14ac:dyDescent="0.25">
      <c r="A132" s="6" t="s">
        <v>117</v>
      </c>
      <c r="B132" s="6"/>
      <c r="C132" s="3" t="s">
        <v>118</v>
      </c>
      <c r="D132" s="70">
        <v>74.599999999999994</v>
      </c>
      <c r="E132" s="70"/>
      <c r="F132" s="70">
        <v>74.599999999999994</v>
      </c>
      <c r="G132" s="70">
        <v>76.8</v>
      </c>
      <c r="H132" s="70"/>
      <c r="I132" s="70">
        <v>76.8</v>
      </c>
      <c r="J132" s="70">
        <f>J133</f>
        <v>81.900000000000006</v>
      </c>
      <c r="K132" s="70"/>
      <c r="L132" s="70">
        <f>L133</f>
        <v>81.900000000000006</v>
      </c>
    </row>
    <row r="133" spans="1:12" ht="26.25" x14ac:dyDescent="0.25">
      <c r="A133" s="6"/>
      <c r="B133" s="6" t="s">
        <v>471</v>
      </c>
      <c r="C133" s="3" t="s">
        <v>472</v>
      </c>
      <c r="D133" s="70">
        <v>74.599999999999994</v>
      </c>
      <c r="E133" s="70"/>
      <c r="F133" s="70">
        <v>74.599999999999994</v>
      </c>
      <c r="G133" s="70">
        <v>76.8</v>
      </c>
      <c r="H133" s="70"/>
      <c r="I133" s="70">
        <v>76.8</v>
      </c>
      <c r="J133" s="70">
        <v>81.900000000000006</v>
      </c>
      <c r="K133" s="70"/>
      <c r="L133" s="70">
        <v>81.900000000000006</v>
      </c>
    </row>
    <row r="134" spans="1:12" ht="39" x14ac:dyDescent="0.25">
      <c r="A134" s="6" t="s">
        <v>119</v>
      </c>
      <c r="B134" s="6"/>
      <c r="C134" s="3" t="s">
        <v>120</v>
      </c>
      <c r="D134" s="70">
        <v>83.7</v>
      </c>
      <c r="E134" s="70"/>
      <c r="F134" s="70">
        <v>83.7</v>
      </c>
      <c r="G134" s="70">
        <f>G135</f>
        <v>86.3</v>
      </c>
      <c r="H134" s="70"/>
      <c r="I134" s="70">
        <f>I135</f>
        <v>86.3</v>
      </c>
      <c r="J134" s="70">
        <f>J135</f>
        <v>89</v>
      </c>
      <c r="K134" s="70"/>
      <c r="L134" s="70">
        <f>L135</f>
        <v>89</v>
      </c>
    </row>
    <row r="135" spans="1:12" ht="26.25" x14ac:dyDescent="0.25">
      <c r="A135" s="6"/>
      <c r="B135" s="6" t="s">
        <v>471</v>
      </c>
      <c r="C135" s="3" t="s">
        <v>472</v>
      </c>
      <c r="D135" s="70">
        <v>83.7</v>
      </c>
      <c r="E135" s="70"/>
      <c r="F135" s="70">
        <v>83.7</v>
      </c>
      <c r="G135" s="70">
        <v>86.3</v>
      </c>
      <c r="H135" s="70"/>
      <c r="I135" s="70">
        <v>86.3</v>
      </c>
      <c r="J135" s="70">
        <v>89</v>
      </c>
      <c r="K135" s="70"/>
      <c r="L135" s="70">
        <v>89</v>
      </c>
    </row>
    <row r="136" spans="1:12" ht="26.25" x14ac:dyDescent="0.25">
      <c r="A136" s="6" t="s">
        <v>434</v>
      </c>
      <c r="B136" s="6"/>
      <c r="C136" s="3" t="s">
        <v>121</v>
      </c>
      <c r="D136" s="70">
        <f>D137</f>
        <v>155.6</v>
      </c>
      <c r="E136" s="70"/>
      <c r="F136" s="70">
        <f>F137</f>
        <v>155.6</v>
      </c>
      <c r="G136" s="70">
        <f>G137</f>
        <v>158.30000000000001</v>
      </c>
      <c r="H136" s="70"/>
      <c r="I136" s="70">
        <f>I137</f>
        <v>158.30000000000001</v>
      </c>
      <c r="J136" s="70">
        <f>J137</f>
        <v>161</v>
      </c>
      <c r="K136" s="70"/>
      <c r="L136" s="70">
        <f>L137</f>
        <v>161</v>
      </c>
    </row>
    <row r="137" spans="1:12" ht="26.25" x14ac:dyDescent="0.25">
      <c r="A137" s="6"/>
      <c r="B137" s="6" t="s">
        <v>471</v>
      </c>
      <c r="C137" s="3" t="s">
        <v>472</v>
      </c>
      <c r="D137" s="70">
        <v>155.6</v>
      </c>
      <c r="E137" s="70"/>
      <c r="F137" s="70">
        <v>155.6</v>
      </c>
      <c r="G137" s="70">
        <v>158.30000000000001</v>
      </c>
      <c r="H137" s="70"/>
      <c r="I137" s="70">
        <v>158.30000000000001</v>
      </c>
      <c r="J137" s="70">
        <v>161</v>
      </c>
      <c r="K137" s="70"/>
      <c r="L137" s="70">
        <v>161</v>
      </c>
    </row>
    <row r="138" spans="1:12" ht="26.25" x14ac:dyDescent="0.25">
      <c r="A138" s="31" t="s">
        <v>122</v>
      </c>
      <c r="B138" s="31"/>
      <c r="C138" s="32" t="s">
        <v>123</v>
      </c>
      <c r="D138" s="75">
        <f>D139</f>
        <v>6469</v>
      </c>
      <c r="E138" s="75"/>
      <c r="F138" s="75">
        <f>F139</f>
        <v>6469</v>
      </c>
      <c r="G138" s="75">
        <f>G139</f>
        <v>6906.5999999999995</v>
      </c>
      <c r="H138" s="75"/>
      <c r="I138" s="75">
        <f>I139</f>
        <v>6906.5999999999995</v>
      </c>
      <c r="J138" s="75">
        <f>J139</f>
        <v>6981.2</v>
      </c>
      <c r="K138" s="75"/>
      <c r="L138" s="75">
        <f>L139</f>
        <v>6981.2</v>
      </c>
    </row>
    <row r="139" spans="1:12" ht="26.25" x14ac:dyDescent="0.25">
      <c r="A139" s="33" t="s">
        <v>124</v>
      </c>
      <c r="B139" s="33"/>
      <c r="C139" s="34" t="s">
        <v>125</v>
      </c>
      <c r="D139" s="71">
        <f>D144+D140+D142</f>
        <v>6469</v>
      </c>
      <c r="E139" s="71"/>
      <c r="F139" s="71">
        <f>F144+F140+F142</f>
        <v>6469</v>
      </c>
      <c r="G139" s="71">
        <f>G144+G140+G142</f>
        <v>6906.5999999999995</v>
      </c>
      <c r="H139" s="71"/>
      <c r="I139" s="71">
        <f>I144+I140+I142</f>
        <v>6906.5999999999995</v>
      </c>
      <c r="J139" s="71">
        <f>J144+J140+J142</f>
        <v>6981.2</v>
      </c>
      <c r="K139" s="71"/>
      <c r="L139" s="71">
        <f>L144+L140+L142</f>
        <v>6981.2</v>
      </c>
    </row>
    <row r="140" spans="1:12" ht="26.25" x14ac:dyDescent="0.25">
      <c r="A140" s="6" t="s">
        <v>126</v>
      </c>
      <c r="B140" s="6"/>
      <c r="C140" s="3" t="s">
        <v>127</v>
      </c>
      <c r="D140" s="70">
        <f>D141</f>
        <v>109.3</v>
      </c>
      <c r="E140" s="70"/>
      <c r="F140" s="70">
        <f>F141</f>
        <v>109.3</v>
      </c>
      <c r="G140" s="70">
        <f>G141</f>
        <v>113.7</v>
      </c>
      <c r="H140" s="70"/>
      <c r="I140" s="70">
        <f>I141</f>
        <v>113.7</v>
      </c>
      <c r="J140" s="70">
        <f>J141</f>
        <v>118.2</v>
      </c>
      <c r="K140" s="70"/>
      <c r="L140" s="70">
        <f>L141</f>
        <v>118.2</v>
      </c>
    </row>
    <row r="141" spans="1:12" ht="26.25" x14ac:dyDescent="0.25">
      <c r="A141" s="6"/>
      <c r="B141" s="6" t="s">
        <v>471</v>
      </c>
      <c r="C141" s="3" t="s">
        <v>472</v>
      </c>
      <c r="D141" s="70">
        <v>109.3</v>
      </c>
      <c r="E141" s="70"/>
      <c r="F141" s="70">
        <v>109.3</v>
      </c>
      <c r="G141" s="70">
        <v>113.7</v>
      </c>
      <c r="H141" s="70"/>
      <c r="I141" s="70">
        <v>113.7</v>
      </c>
      <c r="J141" s="70">
        <v>118.2</v>
      </c>
      <c r="K141" s="70"/>
      <c r="L141" s="70">
        <v>118.2</v>
      </c>
    </row>
    <row r="142" spans="1:12" ht="26.25" x14ac:dyDescent="0.25">
      <c r="A142" s="6" t="s">
        <v>128</v>
      </c>
      <c r="B142" s="6"/>
      <c r="C142" s="3" t="s">
        <v>129</v>
      </c>
      <c r="D142" s="70">
        <f>D143</f>
        <v>1684.5000000000002</v>
      </c>
      <c r="E142" s="70"/>
      <c r="F142" s="70">
        <f>F143</f>
        <v>1684.5000000000002</v>
      </c>
      <c r="G142" s="70">
        <f>G143</f>
        <v>1751.8999999999999</v>
      </c>
      <c r="H142" s="70"/>
      <c r="I142" s="70">
        <f>I143</f>
        <v>1751.8999999999999</v>
      </c>
      <c r="J142" s="70">
        <f>J143</f>
        <v>1822</v>
      </c>
      <c r="K142" s="70"/>
      <c r="L142" s="70">
        <f>L143</f>
        <v>1822</v>
      </c>
    </row>
    <row r="143" spans="1:12" ht="26.25" x14ac:dyDescent="0.25">
      <c r="A143" s="6"/>
      <c r="B143" s="6" t="s">
        <v>471</v>
      </c>
      <c r="C143" s="3" t="s">
        <v>472</v>
      </c>
      <c r="D143" s="80">
        <f>2019.4-216.8-118.1</f>
        <v>1684.5000000000002</v>
      </c>
      <c r="E143" s="80"/>
      <c r="F143" s="80">
        <f>2019.4-216.8-118.1</f>
        <v>1684.5000000000002</v>
      </c>
      <c r="G143" s="80">
        <f>2100.1-225.5-122.7</f>
        <v>1751.8999999999999</v>
      </c>
      <c r="H143" s="80"/>
      <c r="I143" s="80">
        <f>2100.1-225.5-122.7</f>
        <v>1751.8999999999999</v>
      </c>
      <c r="J143" s="80">
        <v>1822</v>
      </c>
      <c r="K143" s="80"/>
      <c r="L143" s="80">
        <v>1822</v>
      </c>
    </row>
    <row r="144" spans="1:12" ht="39" x14ac:dyDescent="0.25">
      <c r="A144" s="6" t="s">
        <v>130</v>
      </c>
      <c r="B144" s="6"/>
      <c r="C144" s="3" t="s">
        <v>131</v>
      </c>
      <c r="D144" s="70">
        <f>D146</f>
        <v>4675.2</v>
      </c>
      <c r="E144" s="70"/>
      <c r="F144" s="70">
        <f>F146</f>
        <v>4675.2</v>
      </c>
      <c r="G144" s="70">
        <f>G146</f>
        <v>5041</v>
      </c>
      <c r="H144" s="70"/>
      <c r="I144" s="70">
        <f>I146</f>
        <v>5041</v>
      </c>
      <c r="J144" s="70">
        <f>J146</f>
        <v>5041</v>
      </c>
      <c r="K144" s="70"/>
      <c r="L144" s="70">
        <f>L146</f>
        <v>5041</v>
      </c>
    </row>
    <row r="145" spans="1:12" x14ac:dyDescent="0.25">
      <c r="A145" s="6"/>
      <c r="B145" s="6" t="s">
        <v>424</v>
      </c>
      <c r="C145" s="3" t="s">
        <v>425</v>
      </c>
      <c r="D145" s="70"/>
      <c r="E145" s="70"/>
      <c r="F145" s="70"/>
      <c r="G145" s="70"/>
      <c r="H145" s="70"/>
      <c r="I145" s="70"/>
      <c r="J145" s="70"/>
      <c r="K145" s="70"/>
      <c r="L145" s="70"/>
    </row>
    <row r="146" spans="1:12" ht="26.25" x14ac:dyDescent="0.25">
      <c r="A146" s="6"/>
      <c r="B146" s="6" t="s">
        <v>471</v>
      </c>
      <c r="C146" s="3" t="s">
        <v>472</v>
      </c>
      <c r="D146" s="70">
        <v>4675.2</v>
      </c>
      <c r="E146" s="70"/>
      <c r="F146" s="70">
        <v>4675.2</v>
      </c>
      <c r="G146" s="70">
        <v>5041</v>
      </c>
      <c r="H146" s="70"/>
      <c r="I146" s="70">
        <v>5041</v>
      </c>
      <c r="J146" s="70">
        <v>5041</v>
      </c>
      <c r="K146" s="70"/>
      <c r="L146" s="70">
        <v>5041</v>
      </c>
    </row>
    <row r="147" spans="1:12" x14ac:dyDescent="0.25">
      <c r="A147" s="6"/>
      <c r="B147" s="6" t="s">
        <v>406</v>
      </c>
      <c r="C147" s="3" t="s">
        <v>407</v>
      </c>
      <c r="D147" s="70"/>
      <c r="E147" s="70"/>
      <c r="F147" s="70"/>
      <c r="G147" s="70"/>
      <c r="H147" s="70"/>
      <c r="I147" s="70"/>
      <c r="J147" s="70"/>
      <c r="K147" s="70"/>
      <c r="L147" s="70"/>
    </row>
    <row r="148" spans="1:12" x14ac:dyDescent="0.25">
      <c r="A148" s="31" t="s">
        <v>132</v>
      </c>
      <c r="B148" s="31"/>
      <c r="C148" s="32" t="s">
        <v>133</v>
      </c>
      <c r="D148" s="75">
        <f>D149+D154</f>
        <v>19907.915499999999</v>
      </c>
      <c r="E148" s="75">
        <f>E149+E154</f>
        <v>0</v>
      </c>
      <c r="F148" s="75">
        <f>F149+F154</f>
        <v>19907.915499999999</v>
      </c>
      <c r="G148" s="75">
        <f>G149+G154</f>
        <v>20208.298500000001</v>
      </c>
      <c r="H148" s="75"/>
      <c r="I148" s="75">
        <f>I149+I154</f>
        <v>20208.298500000001</v>
      </c>
      <c r="J148" s="75">
        <f>J149+J154</f>
        <v>20466.998499999998</v>
      </c>
      <c r="K148" s="75"/>
      <c r="L148" s="75">
        <f>L149+L154</f>
        <v>20466.998499999998</v>
      </c>
    </row>
    <row r="149" spans="1:12" ht="26.25" x14ac:dyDescent="0.25">
      <c r="A149" s="33" t="s">
        <v>134</v>
      </c>
      <c r="B149" s="33"/>
      <c r="C149" s="34" t="s">
        <v>135</v>
      </c>
      <c r="D149" s="71">
        <f>D152+D150</f>
        <v>276.7</v>
      </c>
      <c r="E149" s="71"/>
      <c r="F149" s="71">
        <f>F152+F150</f>
        <v>276.7</v>
      </c>
      <c r="G149" s="71">
        <f>G152+G150</f>
        <v>281.2</v>
      </c>
      <c r="H149" s="71"/>
      <c r="I149" s="71">
        <f>I152+I150</f>
        <v>281.2</v>
      </c>
      <c r="J149" s="71">
        <f>J152+J150</f>
        <v>285.8</v>
      </c>
      <c r="K149" s="71"/>
      <c r="L149" s="71">
        <f>L152+L150</f>
        <v>285.8</v>
      </c>
    </row>
    <row r="150" spans="1:12" x14ac:dyDescent="0.25">
      <c r="A150" s="40" t="s">
        <v>136</v>
      </c>
      <c r="B150" s="40"/>
      <c r="C150" s="41" t="s">
        <v>137</v>
      </c>
      <c r="D150" s="70">
        <f>D151</f>
        <v>175</v>
      </c>
      <c r="E150" s="70"/>
      <c r="F150" s="70">
        <f>F151</f>
        <v>175</v>
      </c>
      <c r="G150" s="70">
        <f>G151</f>
        <v>175.4</v>
      </c>
      <c r="H150" s="70"/>
      <c r="I150" s="70">
        <f>I151</f>
        <v>175.4</v>
      </c>
      <c r="J150" s="70">
        <f>J151</f>
        <v>175.8</v>
      </c>
      <c r="K150" s="70"/>
      <c r="L150" s="70">
        <f>L151</f>
        <v>175.8</v>
      </c>
    </row>
    <row r="151" spans="1:12" ht="26.25" x14ac:dyDescent="0.25">
      <c r="A151" s="40"/>
      <c r="B151" s="40" t="s">
        <v>471</v>
      </c>
      <c r="C151" s="41" t="s">
        <v>472</v>
      </c>
      <c r="D151" s="70">
        <v>175</v>
      </c>
      <c r="E151" s="70"/>
      <c r="F151" s="70">
        <v>175</v>
      </c>
      <c r="G151" s="70">
        <v>175.4</v>
      </c>
      <c r="H151" s="70"/>
      <c r="I151" s="70">
        <v>175.4</v>
      </c>
      <c r="J151" s="70">
        <v>175.8</v>
      </c>
      <c r="K151" s="70"/>
      <c r="L151" s="70">
        <v>175.8</v>
      </c>
    </row>
    <row r="152" spans="1:12" ht="26.25" x14ac:dyDescent="0.25">
      <c r="A152" s="6" t="s">
        <v>138</v>
      </c>
      <c r="B152" s="6"/>
      <c r="C152" s="3" t="s">
        <v>139</v>
      </c>
      <c r="D152" s="70">
        <f>D153</f>
        <v>101.7</v>
      </c>
      <c r="E152" s="70"/>
      <c r="F152" s="70">
        <f>F153</f>
        <v>101.7</v>
      </c>
      <c r="G152" s="70">
        <f>G153</f>
        <v>105.8</v>
      </c>
      <c r="H152" s="70"/>
      <c r="I152" s="70">
        <f>I153</f>
        <v>105.8</v>
      </c>
      <c r="J152" s="70">
        <f>J153</f>
        <v>110</v>
      </c>
      <c r="K152" s="70"/>
      <c r="L152" s="70">
        <f>L153</f>
        <v>110</v>
      </c>
    </row>
    <row r="153" spans="1:12" ht="26.25" x14ac:dyDescent="0.25">
      <c r="A153" s="6"/>
      <c r="B153" s="40" t="s">
        <v>471</v>
      </c>
      <c r="C153" s="41" t="s">
        <v>472</v>
      </c>
      <c r="D153" s="70">
        <v>101.7</v>
      </c>
      <c r="E153" s="70"/>
      <c r="F153" s="70">
        <v>101.7</v>
      </c>
      <c r="G153" s="70">
        <v>105.8</v>
      </c>
      <c r="H153" s="70"/>
      <c r="I153" s="70">
        <v>105.8</v>
      </c>
      <c r="J153" s="70">
        <v>110</v>
      </c>
      <c r="K153" s="70"/>
      <c r="L153" s="70">
        <v>110</v>
      </c>
    </row>
    <row r="154" spans="1:12" ht="26.25" x14ac:dyDescent="0.25">
      <c r="A154" s="33" t="s">
        <v>140</v>
      </c>
      <c r="B154" s="33"/>
      <c r="C154" s="34" t="s">
        <v>141</v>
      </c>
      <c r="D154" s="71">
        <f>D155+D158+D161</f>
        <v>19631.215499999998</v>
      </c>
      <c r="E154" s="71">
        <f>SUM(E161)</f>
        <v>0</v>
      </c>
      <c r="F154" s="71">
        <f>F155+F158+F161</f>
        <v>19631.215499999998</v>
      </c>
      <c r="G154" s="71">
        <f t="shared" ref="G154:L154" si="16">G155+G158</f>
        <v>19927.0985</v>
      </c>
      <c r="H154" s="71"/>
      <c r="I154" s="71">
        <f t="shared" si="16"/>
        <v>19927.0985</v>
      </c>
      <c r="J154" s="71">
        <f t="shared" si="16"/>
        <v>20181.198499999999</v>
      </c>
      <c r="K154" s="71"/>
      <c r="L154" s="71">
        <f t="shared" si="16"/>
        <v>20181.198499999999</v>
      </c>
    </row>
    <row r="155" spans="1:12" ht="26.25" x14ac:dyDescent="0.25">
      <c r="A155" s="6" t="s">
        <v>142</v>
      </c>
      <c r="B155" s="6"/>
      <c r="C155" s="3" t="s">
        <v>143</v>
      </c>
      <c r="D155" s="70">
        <f>D157+D156</f>
        <v>6548.0999999999995</v>
      </c>
      <c r="E155" s="70"/>
      <c r="F155" s="70">
        <f>F157+F156</f>
        <v>6548.0999999999995</v>
      </c>
      <c r="G155" s="70">
        <f>G157+G156</f>
        <v>6787.1</v>
      </c>
      <c r="H155" s="70"/>
      <c r="I155" s="70">
        <f>I157+I156</f>
        <v>6787.1</v>
      </c>
      <c r="J155" s="70">
        <f>J157+J156</f>
        <v>7041.2</v>
      </c>
      <c r="K155" s="70"/>
      <c r="L155" s="70">
        <f>L157+L156</f>
        <v>7041.2</v>
      </c>
    </row>
    <row r="156" spans="1:12" x14ac:dyDescent="0.25">
      <c r="A156" s="6"/>
      <c r="B156" s="6" t="s">
        <v>424</v>
      </c>
      <c r="C156" s="3" t="s">
        <v>425</v>
      </c>
      <c r="D156" s="70">
        <v>599.4</v>
      </c>
      <c r="E156" s="70"/>
      <c r="F156" s="70">
        <v>599.4</v>
      </c>
      <c r="G156" s="70">
        <v>621.29999999999995</v>
      </c>
      <c r="H156" s="70"/>
      <c r="I156" s="70">
        <v>621.29999999999995</v>
      </c>
      <c r="J156" s="70">
        <v>644.5</v>
      </c>
      <c r="K156" s="70"/>
      <c r="L156" s="70">
        <v>644.5</v>
      </c>
    </row>
    <row r="157" spans="1:12" ht="26.25" x14ac:dyDescent="0.25">
      <c r="A157" s="6"/>
      <c r="B157" s="40" t="s">
        <v>471</v>
      </c>
      <c r="C157" s="41" t="s">
        <v>472</v>
      </c>
      <c r="D157" s="70">
        <v>5948.7</v>
      </c>
      <c r="E157" s="70"/>
      <c r="F157" s="70">
        <v>5948.7</v>
      </c>
      <c r="G157" s="70">
        <v>6165.8</v>
      </c>
      <c r="H157" s="70"/>
      <c r="I157" s="70">
        <v>6165.8</v>
      </c>
      <c r="J157" s="70">
        <v>6396.7</v>
      </c>
      <c r="K157" s="70"/>
      <c r="L157" s="70">
        <v>6396.7</v>
      </c>
    </row>
    <row r="158" spans="1:12" ht="51.75" x14ac:dyDescent="0.25">
      <c r="A158" s="6" t="s">
        <v>144</v>
      </c>
      <c r="B158" s="6"/>
      <c r="C158" s="3" t="s">
        <v>145</v>
      </c>
      <c r="D158" s="70">
        <f t="shared" ref="D158:L158" si="17">D159+D160</f>
        <v>13033.815500000001</v>
      </c>
      <c r="E158" s="70"/>
      <c r="F158" s="70">
        <f t="shared" si="17"/>
        <v>13033.815500000001</v>
      </c>
      <c r="G158" s="70">
        <f t="shared" si="17"/>
        <v>13139.9985</v>
      </c>
      <c r="H158" s="70"/>
      <c r="I158" s="70">
        <f t="shared" si="17"/>
        <v>13139.9985</v>
      </c>
      <c r="J158" s="70">
        <f t="shared" si="17"/>
        <v>13139.9985</v>
      </c>
      <c r="K158" s="70"/>
      <c r="L158" s="70">
        <f t="shared" si="17"/>
        <v>13139.9985</v>
      </c>
    </row>
    <row r="159" spans="1:12" x14ac:dyDescent="0.25">
      <c r="A159" s="6"/>
      <c r="B159" s="6" t="s">
        <v>424</v>
      </c>
      <c r="C159" s="3" t="s">
        <v>425</v>
      </c>
      <c r="D159" s="70">
        <v>6149.3129600000002</v>
      </c>
      <c r="E159" s="70"/>
      <c r="F159" s="70">
        <f>6021+128.31296</f>
        <v>6149.3129600000002</v>
      </c>
      <c r="G159" s="70">
        <v>6199.2872900000002</v>
      </c>
      <c r="H159" s="70"/>
      <c r="I159" s="70">
        <f>6069.7+129.58729</f>
        <v>6199.2872900000002</v>
      </c>
      <c r="J159" s="70">
        <v>6199.2872900000002</v>
      </c>
      <c r="K159" s="70"/>
      <c r="L159" s="70">
        <f>6069.7+129.58729</f>
        <v>6199.2872900000002</v>
      </c>
    </row>
    <row r="160" spans="1:12" ht="26.25" x14ac:dyDescent="0.25">
      <c r="A160" s="6"/>
      <c r="B160" s="6" t="s">
        <v>471</v>
      </c>
      <c r="C160" s="3" t="s">
        <v>472</v>
      </c>
      <c r="D160" s="70">
        <v>6884.5025400000004</v>
      </c>
      <c r="E160" s="70"/>
      <c r="F160" s="70">
        <f>7211.3-326.79746</f>
        <v>6884.5025400000004</v>
      </c>
      <c r="G160" s="70">
        <v>6940.7112099999995</v>
      </c>
      <c r="H160" s="70"/>
      <c r="I160" s="70">
        <f>7270.4-329.68879</f>
        <v>6940.7112099999995</v>
      </c>
      <c r="J160" s="70">
        <v>6940.7112099999995</v>
      </c>
      <c r="K160" s="70"/>
      <c r="L160" s="70">
        <f>7270.4-329.68879</f>
        <v>6940.7112099999995</v>
      </c>
    </row>
    <row r="161" spans="1:12" ht="26.25" x14ac:dyDescent="0.25">
      <c r="A161" s="6" t="s">
        <v>881</v>
      </c>
      <c r="B161" s="6"/>
      <c r="C161" s="3" t="s">
        <v>882</v>
      </c>
      <c r="D161" s="70">
        <v>49.3</v>
      </c>
      <c r="E161" s="70"/>
      <c r="F161" s="70">
        <v>49.3</v>
      </c>
      <c r="G161" s="70"/>
      <c r="H161" s="70"/>
      <c r="I161" s="70"/>
      <c r="J161" s="70"/>
      <c r="K161" s="70"/>
      <c r="L161" s="70"/>
    </row>
    <row r="162" spans="1:12" ht="26.25" x14ac:dyDescent="0.25">
      <c r="A162" s="6"/>
      <c r="B162" s="6" t="s">
        <v>281</v>
      </c>
      <c r="C162" s="3" t="s">
        <v>282</v>
      </c>
      <c r="D162" s="70">
        <v>49.3</v>
      </c>
      <c r="E162" s="70"/>
      <c r="F162" s="70">
        <v>49.3</v>
      </c>
      <c r="G162" s="70"/>
      <c r="H162" s="70"/>
      <c r="I162" s="70"/>
      <c r="J162" s="70"/>
      <c r="K162" s="70"/>
      <c r="L162" s="70"/>
    </row>
    <row r="163" spans="1:12" x14ac:dyDescent="0.25">
      <c r="A163" s="6"/>
      <c r="B163" s="6"/>
      <c r="C163" s="3" t="s">
        <v>84</v>
      </c>
      <c r="D163" s="70">
        <v>49.3</v>
      </c>
      <c r="E163" s="70"/>
      <c r="F163" s="70">
        <v>49.3</v>
      </c>
      <c r="G163" s="70"/>
      <c r="H163" s="70"/>
      <c r="I163" s="70"/>
      <c r="J163" s="70"/>
      <c r="K163" s="70"/>
      <c r="L163" s="70"/>
    </row>
    <row r="164" spans="1:12" ht="26.25" x14ac:dyDescent="0.25">
      <c r="A164" s="31" t="s">
        <v>146</v>
      </c>
      <c r="B164" s="31"/>
      <c r="C164" s="32" t="s">
        <v>147</v>
      </c>
      <c r="D164" s="75">
        <f>D165</f>
        <v>21057.354730000003</v>
      </c>
      <c r="E164" s="75">
        <f>E165</f>
        <v>1632</v>
      </c>
      <c r="F164" s="75">
        <f t="shared" ref="F164:G166" si="18">F165</f>
        <v>22689.354729999999</v>
      </c>
      <c r="G164" s="75">
        <f t="shared" si="18"/>
        <v>23362.83</v>
      </c>
      <c r="H164" s="75"/>
      <c r="I164" s="75">
        <f t="shared" ref="I164:J166" si="19">I165</f>
        <v>23362.83</v>
      </c>
      <c r="J164" s="75">
        <f t="shared" si="19"/>
        <v>0</v>
      </c>
      <c r="K164" s="75"/>
      <c r="L164" s="75">
        <f>L165</f>
        <v>0</v>
      </c>
    </row>
    <row r="165" spans="1:12" ht="39" x14ac:dyDescent="0.25">
      <c r="A165" s="36" t="s">
        <v>148</v>
      </c>
      <c r="B165" s="36"/>
      <c r="C165" s="34" t="s">
        <v>149</v>
      </c>
      <c r="D165" s="71">
        <f>D166+D170+D172+D174</f>
        <v>21057.354730000003</v>
      </c>
      <c r="E165" s="71">
        <f>E166+E170+E172+E174</f>
        <v>1632</v>
      </c>
      <c r="F165" s="71">
        <f>F166+F170+F172+F174</f>
        <v>22689.354729999999</v>
      </c>
      <c r="G165" s="71">
        <f>G166+G170</f>
        <v>23362.83</v>
      </c>
      <c r="H165" s="71"/>
      <c r="I165" s="71">
        <f>I166+I170</f>
        <v>23362.83</v>
      </c>
      <c r="J165" s="71">
        <f t="shared" si="19"/>
        <v>0</v>
      </c>
      <c r="K165" s="71"/>
      <c r="L165" s="71">
        <f>L166</f>
        <v>0</v>
      </c>
    </row>
    <row r="166" spans="1:12" ht="38.25" x14ac:dyDescent="0.25">
      <c r="A166" s="6" t="s">
        <v>489</v>
      </c>
      <c r="B166" s="6"/>
      <c r="C166" s="1" t="s">
        <v>682</v>
      </c>
      <c r="D166" s="70">
        <f>D167</f>
        <v>17700</v>
      </c>
      <c r="E166" s="70"/>
      <c r="F166" s="70">
        <f t="shared" si="18"/>
        <v>17700</v>
      </c>
      <c r="G166" s="70">
        <f t="shared" si="18"/>
        <v>18400</v>
      </c>
      <c r="H166" s="70"/>
      <c r="I166" s="70">
        <f t="shared" si="19"/>
        <v>18400</v>
      </c>
      <c r="J166" s="70">
        <f t="shared" si="19"/>
        <v>0</v>
      </c>
      <c r="K166" s="70"/>
      <c r="L166" s="70">
        <f>L167</f>
        <v>0</v>
      </c>
    </row>
    <row r="167" spans="1:12" ht="26.25" x14ac:dyDescent="0.25">
      <c r="A167" s="6"/>
      <c r="B167" s="6" t="s">
        <v>471</v>
      </c>
      <c r="C167" s="3" t="s">
        <v>472</v>
      </c>
      <c r="D167" s="70">
        <f>D169+D168</f>
        <v>17700</v>
      </c>
      <c r="E167" s="70"/>
      <c r="F167" s="70">
        <f>F169+F168</f>
        <v>17700</v>
      </c>
      <c r="G167" s="70">
        <f>G169+G168</f>
        <v>18400</v>
      </c>
      <c r="H167" s="70"/>
      <c r="I167" s="70">
        <f>I169+I168</f>
        <v>18400</v>
      </c>
      <c r="J167" s="70">
        <f>J169</f>
        <v>0</v>
      </c>
      <c r="K167" s="70"/>
      <c r="L167" s="70">
        <f>L169</f>
        <v>0</v>
      </c>
    </row>
    <row r="168" spans="1:12" x14ac:dyDescent="0.25">
      <c r="A168" s="6"/>
      <c r="B168" s="6"/>
      <c r="C168" s="3" t="s">
        <v>153</v>
      </c>
      <c r="D168" s="70">
        <v>15930</v>
      </c>
      <c r="E168" s="70"/>
      <c r="F168" s="70">
        <v>15930</v>
      </c>
      <c r="G168" s="70">
        <v>16560</v>
      </c>
      <c r="H168" s="70"/>
      <c r="I168" s="70">
        <v>16560</v>
      </c>
      <c r="J168" s="70">
        <v>0</v>
      </c>
      <c r="K168" s="70"/>
      <c r="L168" s="70">
        <v>0</v>
      </c>
    </row>
    <row r="169" spans="1:12" x14ac:dyDescent="0.25">
      <c r="A169" s="92"/>
      <c r="B169" s="92"/>
      <c r="C169" s="3" t="s">
        <v>105</v>
      </c>
      <c r="D169" s="70">
        <v>1770</v>
      </c>
      <c r="E169" s="70"/>
      <c r="F169" s="70">
        <v>1770</v>
      </c>
      <c r="G169" s="70">
        <v>1840</v>
      </c>
      <c r="H169" s="70"/>
      <c r="I169" s="70">
        <v>1840</v>
      </c>
      <c r="J169" s="70">
        <v>0</v>
      </c>
      <c r="K169" s="70"/>
      <c r="L169" s="70">
        <v>0</v>
      </c>
    </row>
    <row r="170" spans="1:12" ht="26.25" x14ac:dyDescent="0.25">
      <c r="A170" s="22" t="s">
        <v>798</v>
      </c>
      <c r="B170" s="93"/>
      <c r="C170" s="54" t="s">
        <v>797</v>
      </c>
      <c r="D170" s="70">
        <f>D171</f>
        <v>2639.5</v>
      </c>
      <c r="E170" s="70"/>
      <c r="F170" s="70">
        <f>F171</f>
        <v>2639.5</v>
      </c>
      <c r="G170" s="70">
        <f>G171</f>
        <v>4962.83</v>
      </c>
      <c r="H170" s="70"/>
      <c r="I170" s="70">
        <f>I171</f>
        <v>4962.83</v>
      </c>
      <c r="J170" s="70">
        <v>0</v>
      </c>
      <c r="K170" s="70"/>
      <c r="L170" s="70">
        <v>0</v>
      </c>
    </row>
    <row r="171" spans="1:12" ht="26.25" x14ac:dyDescent="0.25">
      <c r="A171" s="92"/>
      <c r="B171" s="6" t="s">
        <v>471</v>
      </c>
      <c r="C171" s="3" t="s">
        <v>472</v>
      </c>
      <c r="D171" s="70">
        <v>2639.5</v>
      </c>
      <c r="E171" s="70"/>
      <c r="F171" s="70">
        <v>2639.5</v>
      </c>
      <c r="G171" s="70">
        <v>4962.83</v>
      </c>
      <c r="H171" s="70"/>
      <c r="I171" s="70">
        <v>4962.83</v>
      </c>
      <c r="J171" s="70">
        <v>0</v>
      </c>
      <c r="K171" s="70"/>
      <c r="L171" s="70">
        <v>0</v>
      </c>
    </row>
    <row r="172" spans="1:12" ht="39" x14ac:dyDescent="0.25">
      <c r="A172" s="22" t="s">
        <v>900</v>
      </c>
      <c r="B172" s="6"/>
      <c r="C172" s="3" t="s">
        <v>899</v>
      </c>
      <c r="D172" s="70">
        <v>260.39999999999998</v>
      </c>
      <c r="E172" s="70">
        <f>E173</f>
        <v>452.9</v>
      </c>
      <c r="F172" s="70">
        <f>F173</f>
        <v>713.3</v>
      </c>
      <c r="G172" s="70">
        <v>0</v>
      </c>
      <c r="H172" s="70"/>
      <c r="I172" s="70">
        <v>0</v>
      </c>
      <c r="J172" s="70">
        <v>0</v>
      </c>
      <c r="K172" s="70"/>
      <c r="L172" s="70">
        <v>0</v>
      </c>
    </row>
    <row r="173" spans="1:12" ht="26.25" x14ac:dyDescent="0.25">
      <c r="A173" s="92"/>
      <c r="B173" s="6" t="s">
        <v>471</v>
      </c>
      <c r="C173" s="3" t="s">
        <v>472</v>
      </c>
      <c r="D173" s="70">
        <v>260.39999999999998</v>
      </c>
      <c r="E173" s="70">
        <v>452.9</v>
      </c>
      <c r="F173" s="70">
        <f>260.4+452.9</f>
        <v>713.3</v>
      </c>
      <c r="G173" s="70">
        <v>0</v>
      </c>
      <c r="H173" s="70"/>
      <c r="I173" s="70">
        <v>0</v>
      </c>
      <c r="J173" s="70">
        <v>0</v>
      </c>
      <c r="K173" s="70"/>
      <c r="L173" s="70">
        <v>0</v>
      </c>
    </row>
    <row r="174" spans="1:12" ht="51" x14ac:dyDescent="0.25">
      <c r="A174" s="4" t="s">
        <v>915</v>
      </c>
      <c r="B174" s="4"/>
      <c r="C174" s="5" t="s">
        <v>914</v>
      </c>
      <c r="D174" s="70">
        <f>D175</f>
        <v>457.45472999999998</v>
      </c>
      <c r="E174" s="70">
        <f>E175</f>
        <v>1179.0999999999999</v>
      </c>
      <c r="F174" s="70">
        <f>F175</f>
        <v>1636.5547299999998</v>
      </c>
      <c r="G174" s="70">
        <v>0</v>
      </c>
      <c r="H174" s="70"/>
      <c r="I174" s="70">
        <v>0</v>
      </c>
      <c r="J174" s="70">
        <v>0</v>
      </c>
      <c r="K174" s="70"/>
      <c r="L174" s="70">
        <v>0</v>
      </c>
    </row>
    <row r="175" spans="1:12" ht="26.25" x14ac:dyDescent="0.25">
      <c r="A175" s="6"/>
      <c r="B175" s="6" t="s">
        <v>471</v>
      </c>
      <c r="C175" s="3" t="s">
        <v>472</v>
      </c>
      <c r="D175" s="70">
        <v>457.45472999999998</v>
      </c>
      <c r="E175" s="70">
        <v>1179.0999999999999</v>
      </c>
      <c r="F175" s="70">
        <f>457.45473+1179.1</f>
        <v>1636.5547299999998</v>
      </c>
      <c r="G175" s="70">
        <v>0</v>
      </c>
      <c r="H175" s="70"/>
      <c r="I175" s="70">
        <v>0</v>
      </c>
      <c r="J175" s="70">
        <v>0</v>
      </c>
      <c r="K175" s="70"/>
      <c r="L175" s="70">
        <v>0</v>
      </c>
    </row>
    <row r="176" spans="1:12" ht="26.25" x14ac:dyDescent="0.25">
      <c r="A176" s="31" t="s">
        <v>154</v>
      </c>
      <c r="B176" s="31"/>
      <c r="C176" s="32" t="s">
        <v>533</v>
      </c>
      <c r="D176" s="75">
        <f t="shared" ref="D176:L178" si="20">D177</f>
        <v>43</v>
      </c>
      <c r="E176" s="75"/>
      <c r="F176" s="75">
        <f t="shared" si="20"/>
        <v>43</v>
      </c>
      <c r="G176" s="75">
        <f t="shared" si="20"/>
        <v>43.5</v>
      </c>
      <c r="H176" s="75"/>
      <c r="I176" s="75">
        <f t="shared" si="20"/>
        <v>43.5</v>
      </c>
      <c r="J176" s="75">
        <f t="shared" si="20"/>
        <v>44</v>
      </c>
      <c r="K176" s="75"/>
      <c r="L176" s="75">
        <f t="shared" si="20"/>
        <v>44</v>
      </c>
    </row>
    <row r="177" spans="1:12" ht="26.25" x14ac:dyDescent="0.25">
      <c r="A177" s="33" t="s">
        <v>156</v>
      </c>
      <c r="B177" s="33"/>
      <c r="C177" s="34" t="s">
        <v>157</v>
      </c>
      <c r="D177" s="71">
        <f t="shared" si="20"/>
        <v>43</v>
      </c>
      <c r="E177" s="71"/>
      <c r="F177" s="71">
        <f t="shared" si="20"/>
        <v>43</v>
      </c>
      <c r="G177" s="71">
        <f t="shared" si="20"/>
        <v>43.5</v>
      </c>
      <c r="H177" s="71"/>
      <c r="I177" s="71">
        <f t="shared" si="20"/>
        <v>43.5</v>
      </c>
      <c r="J177" s="71">
        <f t="shared" si="20"/>
        <v>44</v>
      </c>
      <c r="K177" s="71"/>
      <c r="L177" s="71">
        <f t="shared" si="20"/>
        <v>44</v>
      </c>
    </row>
    <row r="178" spans="1:12" ht="26.25" x14ac:dyDescent="0.25">
      <c r="A178" s="6" t="s">
        <v>158</v>
      </c>
      <c r="B178" s="6"/>
      <c r="C178" s="3" t="s">
        <v>159</v>
      </c>
      <c r="D178" s="70">
        <f>D179</f>
        <v>43</v>
      </c>
      <c r="E178" s="70"/>
      <c r="F178" s="70">
        <f>F179</f>
        <v>43</v>
      </c>
      <c r="G178" s="70">
        <f t="shared" si="20"/>
        <v>43.5</v>
      </c>
      <c r="H178" s="70"/>
      <c r="I178" s="70">
        <f t="shared" si="20"/>
        <v>43.5</v>
      </c>
      <c r="J178" s="70">
        <f t="shared" si="20"/>
        <v>44</v>
      </c>
      <c r="K178" s="70"/>
      <c r="L178" s="70">
        <f t="shared" si="20"/>
        <v>44</v>
      </c>
    </row>
    <row r="179" spans="1:12" ht="26.25" x14ac:dyDescent="0.25">
      <c r="A179" s="6"/>
      <c r="B179" s="6" t="s">
        <v>471</v>
      </c>
      <c r="C179" s="3" t="s">
        <v>472</v>
      </c>
      <c r="D179" s="70">
        <v>43</v>
      </c>
      <c r="E179" s="70"/>
      <c r="F179" s="70">
        <v>43</v>
      </c>
      <c r="G179" s="70">
        <v>43.5</v>
      </c>
      <c r="H179" s="70"/>
      <c r="I179" s="70">
        <v>43.5</v>
      </c>
      <c r="J179" s="70">
        <v>44</v>
      </c>
      <c r="K179" s="70"/>
      <c r="L179" s="70">
        <v>44</v>
      </c>
    </row>
    <row r="180" spans="1:12" ht="26.25" x14ac:dyDescent="0.25">
      <c r="A180" s="29" t="s">
        <v>160</v>
      </c>
      <c r="B180" s="29"/>
      <c r="C180" s="37" t="s">
        <v>161</v>
      </c>
      <c r="D180" s="72">
        <f>D181+D185+D189+D193</f>
        <v>405.5</v>
      </c>
      <c r="E180" s="72"/>
      <c r="F180" s="72">
        <f>F181+F185+F189+F193</f>
        <v>405.5</v>
      </c>
      <c r="G180" s="72">
        <f>G181+G185+G189+G193</f>
        <v>421.7</v>
      </c>
      <c r="H180" s="72"/>
      <c r="I180" s="72">
        <f>I181+I185+I189+I193</f>
        <v>421.7</v>
      </c>
      <c r="J180" s="72">
        <f>J181+J185+J189+J193</f>
        <v>114.10000000000001</v>
      </c>
      <c r="K180" s="72"/>
      <c r="L180" s="72">
        <f>L181+L185+L189+L193</f>
        <v>114.10000000000001</v>
      </c>
    </row>
    <row r="181" spans="1:12" ht="26.25" x14ac:dyDescent="0.25">
      <c r="A181" s="43" t="s">
        <v>162</v>
      </c>
      <c r="B181" s="43"/>
      <c r="C181" s="44" t="s">
        <v>163</v>
      </c>
      <c r="D181" s="75">
        <f t="shared" ref="D181:L182" si="21">D182</f>
        <v>300</v>
      </c>
      <c r="E181" s="75"/>
      <c r="F181" s="75">
        <f t="shared" si="21"/>
        <v>300</v>
      </c>
      <c r="G181" s="75">
        <f t="shared" si="21"/>
        <v>312</v>
      </c>
      <c r="H181" s="75"/>
      <c r="I181" s="75">
        <f t="shared" si="21"/>
        <v>312</v>
      </c>
      <c r="J181" s="75">
        <f t="shared" si="21"/>
        <v>0</v>
      </c>
      <c r="K181" s="75"/>
      <c r="L181" s="75">
        <f t="shared" si="21"/>
        <v>0</v>
      </c>
    </row>
    <row r="182" spans="1:12" ht="26.25" x14ac:dyDescent="0.25">
      <c r="A182" s="33" t="s">
        <v>164</v>
      </c>
      <c r="B182" s="33"/>
      <c r="C182" s="34" t="s">
        <v>165</v>
      </c>
      <c r="D182" s="71">
        <f t="shared" si="21"/>
        <v>300</v>
      </c>
      <c r="E182" s="71"/>
      <c r="F182" s="71">
        <f t="shared" si="21"/>
        <v>300</v>
      </c>
      <c r="G182" s="71">
        <f t="shared" si="21"/>
        <v>312</v>
      </c>
      <c r="H182" s="71"/>
      <c r="I182" s="71">
        <f t="shared" si="21"/>
        <v>312</v>
      </c>
      <c r="J182" s="71">
        <f t="shared" si="21"/>
        <v>0</v>
      </c>
      <c r="K182" s="71"/>
      <c r="L182" s="71">
        <f t="shared" si="21"/>
        <v>0</v>
      </c>
    </row>
    <row r="183" spans="1:12" ht="26.25" x14ac:dyDescent="0.25">
      <c r="A183" s="6" t="s">
        <v>166</v>
      </c>
      <c r="B183" s="6"/>
      <c r="C183" s="45" t="s">
        <v>167</v>
      </c>
      <c r="D183" s="70">
        <v>300</v>
      </c>
      <c r="E183" s="70"/>
      <c r="F183" s="70">
        <v>300</v>
      </c>
      <c r="G183" s="70">
        <v>312</v>
      </c>
      <c r="H183" s="70"/>
      <c r="I183" s="70">
        <v>312</v>
      </c>
      <c r="J183" s="70">
        <v>0</v>
      </c>
      <c r="K183" s="70"/>
      <c r="L183" s="70">
        <v>0</v>
      </c>
    </row>
    <row r="184" spans="1:12" ht="26.25" x14ac:dyDescent="0.25">
      <c r="A184" s="6"/>
      <c r="B184" s="6" t="s">
        <v>471</v>
      </c>
      <c r="C184" s="3" t="s">
        <v>472</v>
      </c>
      <c r="D184" s="70">
        <v>300</v>
      </c>
      <c r="E184" s="70"/>
      <c r="F184" s="70">
        <v>300</v>
      </c>
      <c r="G184" s="70">
        <v>312</v>
      </c>
      <c r="H184" s="70"/>
      <c r="I184" s="70">
        <v>312</v>
      </c>
      <c r="J184" s="70">
        <v>0</v>
      </c>
      <c r="K184" s="70"/>
      <c r="L184" s="70">
        <v>0</v>
      </c>
    </row>
    <row r="185" spans="1:12" ht="26.25" x14ac:dyDescent="0.25">
      <c r="A185" s="31" t="s">
        <v>168</v>
      </c>
      <c r="B185" s="31"/>
      <c r="C185" s="32" t="s">
        <v>169</v>
      </c>
      <c r="D185" s="75">
        <f t="shared" ref="D185:L186" si="22">D186</f>
        <v>19</v>
      </c>
      <c r="E185" s="75"/>
      <c r="F185" s="75">
        <f t="shared" si="22"/>
        <v>19</v>
      </c>
      <c r="G185" s="75">
        <f t="shared" si="22"/>
        <v>19.7</v>
      </c>
      <c r="H185" s="75"/>
      <c r="I185" s="75">
        <f t="shared" si="22"/>
        <v>19.7</v>
      </c>
      <c r="J185" s="75">
        <f t="shared" si="22"/>
        <v>20.5</v>
      </c>
      <c r="K185" s="75"/>
      <c r="L185" s="75">
        <f t="shared" si="22"/>
        <v>20.5</v>
      </c>
    </row>
    <row r="186" spans="1:12" ht="26.25" x14ac:dyDescent="0.25">
      <c r="A186" s="33" t="s">
        <v>170</v>
      </c>
      <c r="B186" s="33"/>
      <c r="C186" s="34" t="s">
        <v>171</v>
      </c>
      <c r="D186" s="71">
        <f t="shared" si="22"/>
        <v>19</v>
      </c>
      <c r="E186" s="71"/>
      <c r="F186" s="71">
        <f t="shared" si="22"/>
        <v>19</v>
      </c>
      <c r="G186" s="71">
        <f t="shared" si="22"/>
        <v>19.7</v>
      </c>
      <c r="H186" s="71"/>
      <c r="I186" s="71">
        <f t="shared" si="22"/>
        <v>19.7</v>
      </c>
      <c r="J186" s="71">
        <f t="shared" si="22"/>
        <v>20.5</v>
      </c>
      <c r="K186" s="71"/>
      <c r="L186" s="71">
        <f t="shared" si="22"/>
        <v>20.5</v>
      </c>
    </row>
    <row r="187" spans="1:12" ht="26.25" x14ac:dyDescent="0.25">
      <c r="A187" s="6" t="s">
        <v>172</v>
      </c>
      <c r="B187" s="6"/>
      <c r="C187" s="3" t="s">
        <v>534</v>
      </c>
      <c r="D187" s="70">
        <v>19</v>
      </c>
      <c r="E187" s="70"/>
      <c r="F187" s="70">
        <v>19</v>
      </c>
      <c r="G187" s="70">
        <v>19.7</v>
      </c>
      <c r="H187" s="70"/>
      <c r="I187" s="70">
        <v>19.7</v>
      </c>
      <c r="J187" s="70">
        <v>20.5</v>
      </c>
      <c r="K187" s="70"/>
      <c r="L187" s="70">
        <v>20.5</v>
      </c>
    </row>
    <row r="188" spans="1:12" ht="26.25" x14ac:dyDescent="0.25">
      <c r="A188" s="6"/>
      <c r="B188" s="6" t="s">
        <v>471</v>
      </c>
      <c r="C188" s="3" t="s">
        <v>472</v>
      </c>
      <c r="D188" s="70">
        <v>19</v>
      </c>
      <c r="E188" s="70"/>
      <c r="F188" s="70">
        <v>19</v>
      </c>
      <c r="G188" s="70">
        <v>19.7</v>
      </c>
      <c r="H188" s="70"/>
      <c r="I188" s="70">
        <v>19.7</v>
      </c>
      <c r="J188" s="70">
        <v>20.5</v>
      </c>
      <c r="K188" s="70"/>
      <c r="L188" s="70">
        <v>20.5</v>
      </c>
    </row>
    <row r="189" spans="1:12" ht="26.25" x14ac:dyDescent="0.25">
      <c r="A189" s="31" t="s">
        <v>173</v>
      </c>
      <c r="B189" s="31"/>
      <c r="C189" s="32" t="s">
        <v>174</v>
      </c>
      <c r="D189" s="75">
        <f t="shared" ref="D189:J190" si="23">D190</f>
        <v>26.5</v>
      </c>
      <c r="E189" s="75"/>
      <c r="F189" s="75">
        <f t="shared" si="23"/>
        <v>26.5</v>
      </c>
      <c r="G189" s="75">
        <f t="shared" si="23"/>
        <v>27.6</v>
      </c>
      <c r="H189" s="75"/>
      <c r="I189" s="75">
        <f t="shared" si="23"/>
        <v>27.6</v>
      </c>
      <c r="J189" s="75">
        <f t="shared" si="23"/>
        <v>28.7</v>
      </c>
      <c r="K189" s="75"/>
      <c r="L189" s="75">
        <f>L190</f>
        <v>28.7</v>
      </c>
    </row>
    <row r="190" spans="1:12" ht="26.25" x14ac:dyDescent="0.25">
      <c r="A190" s="33" t="s">
        <v>175</v>
      </c>
      <c r="B190" s="33"/>
      <c r="C190" s="34" t="s">
        <v>176</v>
      </c>
      <c r="D190" s="71">
        <f t="shared" si="23"/>
        <v>26.5</v>
      </c>
      <c r="E190" s="71"/>
      <c r="F190" s="71">
        <f t="shared" si="23"/>
        <v>26.5</v>
      </c>
      <c r="G190" s="71">
        <f t="shared" si="23"/>
        <v>27.6</v>
      </c>
      <c r="H190" s="71"/>
      <c r="I190" s="71">
        <f t="shared" si="23"/>
        <v>27.6</v>
      </c>
      <c r="J190" s="71">
        <f t="shared" si="23"/>
        <v>28.7</v>
      </c>
      <c r="K190" s="71"/>
      <c r="L190" s="71">
        <f>L191</f>
        <v>28.7</v>
      </c>
    </row>
    <row r="191" spans="1:12" x14ac:dyDescent="0.25">
      <c r="A191" s="6" t="s">
        <v>177</v>
      </c>
      <c r="B191" s="6"/>
      <c r="C191" s="3" t="s">
        <v>535</v>
      </c>
      <c r="D191" s="80">
        <v>26.5</v>
      </c>
      <c r="E191" s="80"/>
      <c r="F191" s="80">
        <v>26.5</v>
      </c>
      <c r="G191" s="80">
        <v>27.6</v>
      </c>
      <c r="H191" s="80"/>
      <c r="I191" s="80">
        <v>27.6</v>
      </c>
      <c r="J191" s="80">
        <v>28.7</v>
      </c>
      <c r="K191" s="80"/>
      <c r="L191" s="80">
        <v>28.7</v>
      </c>
    </row>
    <row r="192" spans="1:12" ht="26.25" x14ac:dyDescent="0.25">
      <c r="A192" s="6"/>
      <c r="B192" s="6" t="s">
        <v>471</v>
      </c>
      <c r="C192" s="3" t="s">
        <v>472</v>
      </c>
      <c r="D192" s="80">
        <v>26.5</v>
      </c>
      <c r="E192" s="80"/>
      <c r="F192" s="80">
        <v>26.5</v>
      </c>
      <c r="G192" s="80">
        <v>27.6</v>
      </c>
      <c r="H192" s="80"/>
      <c r="I192" s="80">
        <v>27.6</v>
      </c>
      <c r="J192" s="80">
        <v>28.7</v>
      </c>
      <c r="K192" s="80"/>
      <c r="L192" s="80">
        <v>28.7</v>
      </c>
    </row>
    <row r="193" spans="1:12" x14ac:dyDescent="0.25">
      <c r="A193" s="31" t="s">
        <v>435</v>
      </c>
      <c r="B193" s="31"/>
      <c r="C193" s="32" t="s">
        <v>179</v>
      </c>
      <c r="D193" s="75">
        <f t="shared" ref="D193:J194" si="24">D194</f>
        <v>60</v>
      </c>
      <c r="E193" s="75"/>
      <c r="F193" s="75">
        <f t="shared" si="24"/>
        <v>60</v>
      </c>
      <c r="G193" s="75">
        <f t="shared" si="24"/>
        <v>62.4</v>
      </c>
      <c r="H193" s="75"/>
      <c r="I193" s="75">
        <f t="shared" si="24"/>
        <v>62.4</v>
      </c>
      <c r="J193" s="75">
        <f t="shared" si="24"/>
        <v>64.900000000000006</v>
      </c>
      <c r="K193" s="75"/>
      <c r="L193" s="75">
        <f>L194</f>
        <v>64.900000000000006</v>
      </c>
    </row>
    <row r="194" spans="1:12" ht="26.25" x14ac:dyDescent="0.25">
      <c r="A194" s="33" t="s">
        <v>436</v>
      </c>
      <c r="B194" s="33"/>
      <c r="C194" s="34" t="s">
        <v>180</v>
      </c>
      <c r="D194" s="71">
        <f t="shared" si="24"/>
        <v>60</v>
      </c>
      <c r="E194" s="71"/>
      <c r="F194" s="71">
        <f t="shared" si="24"/>
        <v>60</v>
      </c>
      <c r="G194" s="71">
        <f t="shared" si="24"/>
        <v>62.4</v>
      </c>
      <c r="H194" s="71"/>
      <c r="I194" s="71">
        <f t="shared" si="24"/>
        <v>62.4</v>
      </c>
      <c r="J194" s="71">
        <f t="shared" si="24"/>
        <v>64.900000000000006</v>
      </c>
      <c r="K194" s="71"/>
      <c r="L194" s="71">
        <f>L195</f>
        <v>64.900000000000006</v>
      </c>
    </row>
    <row r="195" spans="1:12" ht="26.25" x14ac:dyDescent="0.25">
      <c r="A195" s="6" t="s">
        <v>484</v>
      </c>
      <c r="B195" s="6"/>
      <c r="C195" s="3" t="s">
        <v>693</v>
      </c>
      <c r="D195" s="70">
        <v>60</v>
      </c>
      <c r="E195" s="70"/>
      <c r="F195" s="70">
        <v>60</v>
      </c>
      <c r="G195" s="70">
        <v>62.4</v>
      </c>
      <c r="H195" s="70"/>
      <c r="I195" s="70">
        <v>62.4</v>
      </c>
      <c r="J195" s="70">
        <v>64.900000000000006</v>
      </c>
      <c r="K195" s="70"/>
      <c r="L195" s="70">
        <v>64.900000000000006</v>
      </c>
    </row>
    <row r="196" spans="1:12" ht="26.25" x14ac:dyDescent="0.25">
      <c r="A196" s="6"/>
      <c r="B196" s="6" t="s">
        <v>471</v>
      </c>
      <c r="C196" s="3" t="s">
        <v>472</v>
      </c>
      <c r="D196" s="70">
        <v>60</v>
      </c>
      <c r="E196" s="70"/>
      <c r="F196" s="70">
        <v>60</v>
      </c>
      <c r="G196" s="70">
        <v>62.4</v>
      </c>
      <c r="H196" s="70"/>
      <c r="I196" s="70">
        <v>62.4</v>
      </c>
      <c r="J196" s="70">
        <v>64.900000000000006</v>
      </c>
      <c r="K196" s="70"/>
      <c r="L196" s="70">
        <v>64.900000000000006</v>
      </c>
    </row>
    <row r="197" spans="1:12" ht="39.75" customHeight="1" x14ac:dyDescent="0.25">
      <c r="A197" s="29" t="s">
        <v>181</v>
      </c>
      <c r="B197" s="29"/>
      <c r="C197" s="37" t="s">
        <v>182</v>
      </c>
      <c r="D197" s="72">
        <f t="shared" ref="D197:L197" si="25">D198+D206</f>
        <v>11853.91179</v>
      </c>
      <c r="E197" s="72">
        <f>E198+E206</f>
        <v>0</v>
      </c>
      <c r="F197" s="72">
        <f t="shared" si="25"/>
        <v>11853.91179</v>
      </c>
      <c r="G197" s="72">
        <f t="shared" si="25"/>
        <v>10899.255569999999</v>
      </c>
      <c r="H197" s="72">
        <f t="shared" si="25"/>
        <v>0</v>
      </c>
      <c r="I197" s="72">
        <f t="shared" si="25"/>
        <v>10899.255569999999</v>
      </c>
      <c r="J197" s="72">
        <f t="shared" si="25"/>
        <v>1174.07366</v>
      </c>
      <c r="K197" s="72">
        <f t="shared" si="25"/>
        <v>0</v>
      </c>
      <c r="L197" s="72">
        <f t="shared" si="25"/>
        <v>1174.07366</v>
      </c>
    </row>
    <row r="198" spans="1:12" x14ac:dyDescent="0.25">
      <c r="A198" s="33" t="s">
        <v>183</v>
      </c>
      <c r="B198" s="33"/>
      <c r="C198" s="34" t="s">
        <v>184</v>
      </c>
      <c r="D198" s="71">
        <f>D201+D199</f>
        <v>8569.2489999999998</v>
      </c>
      <c r="E198" s="71">
        <f>E201+E199</f>
        <v>0</v>
      </c>
      <c r="F198" s="71">
        <f t="shared" ref="F198:L198" si="26">F201+F199</f>
        <v>8569.2489999999998</v>
      </c>
      <c r="G198" s="71">
        <f t="shared" si="26"/>
        <v>7603.884</v>
      </c>
      <c r="H198" s="71">
        <f t="shared" si="26"/>
        <v>0</v>
      </c>
      <c r="I198" s="71">
        <f t="shared" si="26"/>
        <v>7603.884</v>
      </c>
      <c r="J198" s="71">
        <f t="shared" si="26"/>
        <v>992.88800000000003</v>
      </c>
      <c r="K198" s="71">
        <f t="shared" si="26"/>
        <v>0</v>
      </c>
      <c r="L198" s="71">
        <f t="shared" si="26"/>
        <v>992.88800000000003</v>
      </c>
    </row>
    <row r="199" spans="1:12" ht="64.5" x14ac:dyDescent="0.25">
      <c r="A199" s="6" t="s">
        <v>185</v>
      </c>
      <c r="B199" s="6"/>
      <c r="C199" s="3" t="s">
        <v>536</v>
      </c>
      <c r="D199" s="70">
        <f>D200</f>
        <v>7398.1419999999998</v>
      </c>
      <c r="E199" s="70"/>
      <c r="F199" s="70">
        <f>F200</f>
        <v>7398.1419999999998</v>
      </c>
      <c r="G199" s="70">
        <f>G200</f>
        <v>7603.884</v>
      </c>
      <c r="H199" s="70"/>
      <c r="I199" s="70">
        <f>I200</f>
        <v>7603.884</v>
      </c>
      <c r="J199" s="70">
        <f>J200</f>
        <v>0</v>
      </c>
      <c r="K199" s="70"/>
      <c r="L199" s="70">
        <f>L200</f>
        <v>0</v>
      </c>
    </row>
    <row r="200" spans="1:12" x14ac:dyDescent="0.25">
      <c r="A200" s="6"/>
      <c r="B200" s="6" t="s">
        <v>424</v>
      </c>
      <c r="C200" s="3" t="s">
        <v>425</v>
      </c>
      <c r="D200" s="70">
        <v>7398.1419999999998</v>
      </c>
      <c r="E200" s="70"/>
      <c r="F200" s="70">
        <v>7398.1419999999998</v>
      </c>
      <c r="G200" s="70">
        <v>7603.884</v>
      </c>
      <c r="H200" s="70"/>
      <c r="I200" s="70">
        <v>7603.884</v>
      </c>
      <c r="J200" s="80">
        <v>0</v>
      </c>
      <c r="K200" s="80"/>
      <c r="L200" s="80">
        <v>0</v>
      </c>
    </row>
    <row r="201" spans="1:12" ht="39" x14ac:dyDescent="0.25">
      <c r="A201" s="6" t="s">
        <v>187</v>
      </c>
      <c r="B201" s="6"/>
      <c r="C201" s="54" t="s">
        <v>795</v>
      </c>
      <c r="D201" s="70">
        <f>SUM(D202)</f>
        <v>1171.107</v>
      </c>
      <c r="E201" s="70"/>
      <c r="F201" s="70">
        <f>SUM(F202)</f>
        <v>1171.107</v>
      </c>
      <c r="G201" s="70">
        <v>0</v>
      </c>
      <c r="H201" s="70"/>
      <c r="I201" s="70">
        <f>I202</f>
        <v>0</v>
      </c>
      <c r="J201" s="70">
        <f>SUM(J202)</f>
        <v>992.88800000000003</v>
      </c>
      <c r="K201" s="70"/>
      <c r="L201" s="70">
        <f>SUM(L202)</f>
        <v>992.88800000000003</v>
      </c>
    </row>
    <row r="202" spans="1:12" x14ac:dyDescent="0.25">
      <c r="A202" s="6"/>
      <c r="B202" s="6" t="s">
        <v>424</v>
      </c>
      <c r="C202" s="3" t="s">
        <v>425</v>
      </c>
      <c r="D202" s="70">
        <f>D205</f>
        <v>1171.107</v>
      </c>
      <c r="E202" s="70"/>
      <c r="F202" s="70">
        <f>F205</f>
        <v>1171.107</v>
      </c>
      <c r="G202" s="70">
        <f>G205</f>
        <v>0</v>
      </c>
      <c r="H202" s="70"/>
      <c r="I202" s="70">
        <f>I205</f>
        <v>0</v>
      </c>
      <c r="J202" s="70">
        <f>J205</f>
        <v>992.88800000000003</v>
      </c>
      <c r="K202" s="70"/>
      <c r="L202" s="70">
        <f>L205</f>
        <v>992.88800000000003</v>
      </c>
    </row>
    <row r="203" spans="1:12" x14ac:dyDescent="0.25">
      <c r="A203" s="6"/>
      <c r="B203" s="6"/>
      <c r="C203" s="3" t="s">
        <v>188</v>
      </c>
      <c r="D203" s="70">
        <v>0</v>
      </c>
      <c r="E203" s="70"/>
      <c r="F203" s="70">
        <v>0</v>
      </c>
      <c r="G203" s="70">
        <v>0</v>
      </c>
      <c r="H203" s="70"/>
      <c r="I203" s="70">
        <v>0</v>
      </c>
      <c r="J203" s="70">
        <v>0</v>
      </c>
      <c r="K203" s="70"/>
      <c r="L203" s="70">
        <v>0</v>
      </c>
    </row>
    <row r="204" spans="1:12" x14ac:dyDescent="0.25">
      <c r="A204" s="6"/>
      <c r="B204" s="6"/>
      <c r="C204" s="3" t="s">
        <v>186</v>
      </c>
      <c r="D204" s="70">
        <v>0</v>
      </c>
      <c r="E204" s="70"/>
      <c r="F204" s="70">
        <v>0</v>
      </c>
      <c r="G204" s="70">
        <v>0</v>
      </c>
      <c r="H204" s="70"/>
      <c r="I204" s="70">
        <v>0</v>
      </c>
      <c r="J204" s="70">
        <v>0</v>
      </c>
      <c r="K204" s="70"/>
      <c r="L204" s="70">
        <v>0</v>
      </c>
    </row>
    <row r="205" spans="1:12" x14ac:dyDescent="0.25">
      <c r="A205" s="6"/>
      <c r="B205" s="6"/>
      <c r="C205" s="3" t="s">
        <v>150</v>
      </c>
      <c r="D205" s="70">
        <v>1171.107</v>
      </c>
      <c r="E205" s="80"/>
      <c r="F205" s="70">
        <v>1171.107</v>
      </c>
      <c r="G205" s="70">
        <v>0</v>
      </c>
      <c r="H205" s="70"/>
      <c r="I205" s="70">
        <v>0</v>
      </c>
      <c r="J205" s="70">
        <v>992.88800000000003</v>
      </c>
      <c r="K205" s="70"/>
      <c r="L205" s="70">
        <v>992.88800000000003</v>
      </c>
    </row>
    <row r="206" spans="1:12" ht="39" x14ac:dyDescent="0.25">
      <c r="A206" s="33" t="s">
        <v>193</v>
      </c>
      <c r="B206" s="33"/>
      <c r="C206" s="34" t="s">
        <v>194</v>
      </c>
      <c r="D206" s="71">
        <f t="shared" ref="D206:L206" si="27">D207+D209+D211</f>
        <v>3284.6627899999999</v>
      </c>
      <c r="E206" s="71"/>
      <c r="F206" s="71">
        <f t="shared" si="27"/>
        <v>3284.6627899999999</v>
      </c>
      <c r="G206" s="71">
        <f t="shared" si="27"/>
        <v>3295.3715699999998</v>
      </c>
      <c r="H206" s="71"/>
      <c r="I206" s="71">
        <f t="shared" si="27"/>
        <v>3295.3715699999998</v>
      </c>
      <c r="J206" s="71">
        <f t="shared" si="27"/>
        <v>181.18565999999998</v>
      </c>
      <c r="K206" s="71"/>
      <c r="L206" s="71">
        <f t="shared" si="27"/>
        <v>181.18565999999998</v>
      </c>
    </row>
    <row r="207" spans="1:12" ht="39" x14ac:dyDescent="0.25">
      <c r="A207" s="6" t="s">
        <v>195</v>
      </c>
      <c r="B207" s="6"/>
      <c r="C207" s="3" t="s">
        <v>196</v>
      </c>
      <c r="D207" s="70">
        <f t="shared" ref="D207:L207" si="28">D208</f>
        <v>98.75779</v>
      </c>
      <c r="E207" s="70"/>
      <c r="F207" s="70">
        <f t="shared" si="28"/>
        <v>98.75779</v>
      </c>
      <c r="G207" s="70">
        <f t="shared" si="28"/>
        <v>107.06657</v>
      </c>
      <c r="H207" s="70"/>
      <c r="I207" s="70">
        <f t="shared" si="28"/>
        <v>107.06657</v>
      </c>
      <c r="J207" s="70">
        <f t="shared" si="28"/>
        <v>107.58566</v>
      </c>
      <c r="K207" s="70"/>
      <c r="L207" s="70">
        <f t="shared" si="28"/>
        <v>107.58565999999999</v>
      </c>
    </row>
    <row r="208" spans="1:12" ht="26.25" x14ac:dyDescent="0.25">
      <c r="A208" s="6"/>
      <c r="B208" s="6" t="s">
        <v>281</v>
      </c>
      <c r="C208" s="3" t="s">
        <v>282</v>
      </c>
      <c r="D208" s="70">
        <v>98.75779</v>
      </c>
      <c r="E208" s="70"/>
      <c r="F208" s="70">
        <v>98.75779</v>
      </c>
      <c r="G208" s="70">
        <v>107.06657</v>
      </c>
      <c r="H208" s="70"/>
      <c r="I208" s="70">
        <v>107.06657</v>
      </c>
      <c r="J208" s="70">
        <v>107.58566</v>
      </c>
      <c r="K208" s="70"/>
      <c r="L208" s="70">
        <v>107.58565999999999</v>
      </c>
    </row>
    <row r="209" spans="1:12" ht="64.5" x14ac:dyDescent="0.25">
      <c r="A209" s="6" t="s">
        <v>197</v>
      </c>
      <c r="B209" s="6"/>
      <c r="C209" s="46" t="s">
        <v>198</v>
      </c>
      <c r="D209" s="70">
        <f t="shared" ref="D209:J209" si="29">D210</f>
        <v>3114.7049999999999</v>
      </c>
      <c r="E209" s="70"/>
      <c r="F209" s="70">
        <f t="shared" si="29"/>
        <v>3114.7049999999999</v>
      </c>
      <c r="G209" s="70">
        <f t="shared" si="29"/>
        <v>3114.7049999999999</v>
      </c>
      <c r="H209" s="70"/>
      <c r="I209" s="70">
        <f t="shared" si="29"/>
        <v>3114.7049999999999</v>
      </c>
      <c r="J209" s="70">
        <f t="shared" si="29"/>
        <v>0</v>
      </c>
      <c r="K209" s="70"/>
      <c r="L209" s="70">
        <f>L210</f>
        <v>0</v>
      </c>
    </row>
    <row r="210" spans="1:12" ht="26.25" x14ac:dyDescent="0.25">
      <c r="A210" s="6"/>
      <c r="B210" s="22" t="s">
        <v>299</v>
      </c>
      <c r="C210" s="3" t="s">
        <v>300</v>
      </c>
      <c r="D210" s="70">
        <v>3114.7049999999999</v>
      </c>
      <c r="E210" s="70"/>
      <c r="F210" s="70">
        <v>3114.7049999999999</v>
      </c>
      <c r="G210" s="70">
        <v>3114.7049999999999</v>
      </c>
      <c r="H210" s="70"/>
      <c r="I210" s="70">
        <v>3114.7049999999999</v>
      </c>
      <c r="J210" s="70">
        <v>0</v>
      </c>
      <c r="K210" s="70"/>
      <c r="L210" s="70">
        <v>0</v>
      </c>
    </row>
    <row r="211" spans="1:12" ht="51" x14ac:dyDescent="0.25">
      <c r="A211" s="6" t="s">
        <v>199</v>
      </c>
      <c r="B211" s="6"/>
      <c r="C211" s="1" t="s">
        <v>200</v>
      </c>
      <c r="D211" s="70">
        <v>71.2</v>
      </c>
      <c r="E211" s="70"/>
      <c r="F211" s="70">
        <v>71.2</v>
      </c>
      <c r="G211" s="70">
        <v>73.599999999999994</v>
      </c>
      <c r="H211" s="70"/>
      <c r="I211" s="70">
        <v>73.599999999999994</v>
      </c>
      <c r="J211" s="70">
        <v>73.599999999999994</v>
      </c>
      <c r="K211" s="70"/>
      <c r="L211" s="70">
        <v>73.599999999999994</v>
      </c>
    </row>
    <row r="212" spans="1:12" ht="51.75" x14ac:dyDescent="0.25">
      <c r="A212" s="6"/>
      <c r="B212" s="6" t="s">
        <v>399</v>
      </c>
      <c r="C212" s="3" t="s">
        <v>400</v>
      </c>
      <c r="D212" s="70">
        <v>51.7</v>
      </c>
      <c r="E212" s="70"/>
      <c r="F212" s="70">
        <v>51.7</v>
      </c>
      <c r="G212" s="70">
        <v>53.6</v>
      </c>
      <c r="H212" s="70"/>
      <c r="I212" s="70">
        <v>53.6</v>
      </c>
      <c r="J212" s="70">
        <v>53.6</v>
      </c>
      <c r="K212" s="70"/>
      <c r="L212" s="70">
        <v>53.6</v>
      </c>
    </row>
    <row r="213" spans="1:12" ht="26.25" x14ac:dyDescent="0.25">
      <c r="A213" s="6"/>
      <c r="B213" s="6" t="s">
        <v>281</v>
      </c>
      <c r="C213" s="3" t="s">
        <v>282</v>
      </c>
      <c r="D213" s="70">
        <v>19.5</v>
      </c>
      <c r="E213" s="70"/>
      <c r="F213" s="70">
        <v>19.5</v>
      </c>
      <c r="G213" s="70">
        <v>20</v>
      </c>
      <c r="H213" s="70"/>
      <c r="I213" s="70">
        <v>20</v>
      </c>
      <c r="J213" s="70">
        <v>20</v>
      </c>
      <c r="K213" s="70"/>
      <c r="L213" s="70">
        <v>20</v>
      </c>
    </row>
    <row r="214" spans="1:12" s="47" customFormat="1" ht="26.25" x14ac:dyDescent="0.25">
      <c r="A214" s="29" t="s">
        <v>201</v>
      </c>
      <c r="B214" s="29"/>
      <c r="C214" s="37" t="s">
        <v>202</v>
      </c>
      <c r="D214" s="72">
        <f t="shared" ref="D214:I214" si="30">D215+D231</f>
        <v>5263.2775499999998</v>
      </c>
      <c r="E214" s="72">
        <f t="shared" si="30"/>
        <v>0</v>
      </c>
      <c r="F214" s="72">
        <f t="shared" si="30"/>
        <v>5263.2775499999998</v>
      </c>
      <c r="G214" s="72">
        <f t="shared" si="30"/>
        <v>7700.2972499999996</v>
      </c>
      <c r="H214" s="72">
        <f t="shared" si="30"/>
        <v>0</v>
      </c>
      <c r="I214" s="72">
        <f t="shared" si="30"/>
        <v>7700.2972499999996</v>
      </c>
      <c r="J214" s="72">
        <f>J215</f>
        <v>1463.20218</v>
      </c>
      <c r="K214" s="72"/>
      <c r="L214" s="72">
        <f>L215</f>
        <v>1463.20218</v>
      </c>
    </row>
    <row r="215" spans="1:12" ht="39" x14ac:dyDescent="0.25">
      <c r="A215" s="33" t="s">
        <v>203</v>
      </c>
      <c r="B215" s="33"/>
      <c r="C215" s="34" t="s">
        <v>868</v>
      </c>
      <c r="D215" s="71">
        <f>D216+D218+D220+D225+D223+D227</f>
        <v>5263.2775499999998</v>
      </c>
      <c r="E215" s="71"/>
      <c r="F215" s="71">
        <f>F216+F218+F220+F225+F223+F227</f>
        <v>5263.2775499999998</v>
      </c>
      <c r="G215" s="71">
        <f>G216+G218+G220+G225+G223+G227</f>
        <v>3057.0972500000003</v>
      </c>
      <c r="H215" s="71"/>
      <c r="I215" s="71">
        <f>I216+I218+I220+I225+I223+I227</f>
        <v>3057.0972500000003</v>
      </c>
      <c r="J215" s="71">
        <f>J216+J218+J220+J225+J223+J227</f>
        <v>1463.20218</v>
      </c>
      <c r="K215" s="71"/>
      <c r="L215" s="71">
        <f>L216+L218+L220+L225+L223+L227</f>
        <v>1463.20218</v>
      </c>
    </row>
    <row r="216" spans="1:12" ht="38.25" x14ac:dyDescent="0.25">
      <c r="A216" s="6" t="s">
        <v>204</v>
      </c>
      <c r="B216" s="6"/>
      <c r="C216" s="5" t="s">
        <v>537</v>
      </c>
      <c r="D216" s="70">
        <f>D217</f>
        <v>1121.9000000000001</v>
      </c>
      <c r="E216" s="70"/>
      <c r="F216" s="70">
        <f>F217</f>
        <v>1121.9000000000001</v>
      </c>
      <c r="G216" s="70">
        <f>G217</f>
        <v>1182.4000000000001</v>
      </c>
      <c r="H216" s="70"/>
      <c r="I216" s="70">
        <f>I217</f>
        <v>1182.4000000000001</v>
      </c>
      <c r="J216" s="70">
        <f>J217</f>
        <v>1229.5999999999999</v>
      </c>
      <c r="K216" s="70"/>
      <c r="L216" s="70">
        <f>L217</f>
        <v>1229.5999999999999</v>
      </c>
    </row>
    <row r="217" spans="1:12" ht="26.25" x14ac:dyDescent="0.25">
      <c r="A217" s="6"/>
      <c r="B217" s="6" t="s">
        <v>281</v>
      </c>
      <c r="C217" s="3" t="s">
        <v>282</v>
      </c>
      <c r="D217" s="70">
        <f>864.2+257.7</f>
        <v>1121.9000000000001</v>
      </c>
      <c r="E217" s="70"/>
      <c r="F217" s="70">
        <f>864.2+257.7</f>
        <v>1121.9000000000001</v>
      </c>
      <c r="G217" s="70">
        <f>914.4+268</f>
        <v>1182.4000000000001</v>
      </c>
      <c r="H217" s="70"/>
      <c r="I217" s="70">
        <f>914.4+268</f>
        <v>1182.4000000000001</v>
      </c>
      <c r="J217" s="70">
        <f>950.9+278.7</f>
        <v>1229.5999999999999</v>
      </c>
      <c r="K217" s="70"/>
      <c r="L217" s="70">
        <f>950.9+278.7</f>
        <v>1229.5999999999999</v>
      </c>
    </row>
    <row r="218" spans="1:12" ht="39" x14ac:dyDescent="0.25">
      <c r="A218" s="6" t="s">
        <v>205</v>
      </c>
      <c r="B218" s="6"/>
      <c r="C218" s="13" t="s">
        <v>206</v>
      </c>
      <c r="D218" s="70">
        <f>D219</f>
        <v>95.3</v>
      </c>
      <c r="E218" s="70"/>
      <c r="F218" s="70">
        <f>F219</f>
        <v>95.3</v>
      </c>
      <c r="G218" s="70">
        <f>G219</f>
        <v>99.2</v>
      </c>
      <c r="H218" s="70"/>
      <c r="I218" s="70">
        <f>I219</f>
        <v>99.2</v>
      </c>
      <c r="J218" s="70">
        <f>J219</f>
        <v>103.2</v>
      </c>
      <c r="K218" s="70"/>
      <c r="L218" s="70">
        <f>L219</f>
        <v>103.2</v>
      </c>
    </row>
    <row r="219" spans="1:12" ht="26.25" x14ac:dyDescent="0.25">
      <c r="A219" s="6"/>
      <c r="B219" s="6" t="s">
        <v>281</v>
      </c>
      <c r="C219" s="3" t="s">
        <v>282</v>
      </c>
      <c r="D219" s="70">
        <v>95.3</v>
      </c>
      <c r="E219" s="70"/>
      <c r="F219" s="70">
        <v>95.3</v>
      </c>
      <c r="G219" s="70">
        <v>99.2</v>
      </c>
      <c r="H219" s="70"/>
      <c r="I219" s="70">
        <v>99.2</v>
      </c>
      <c r="J219" s="70">
        <v>103.2</v>
      </c>
      <c r="K219" s="70"/>
      <c r="L219" s="70">
        <v>103.2</v>
      </c>
    </row>
    <row r="220" spans="1:12" s="94" customFormat="1" ht="26.25" x14ac:dyDescent="0.25">
      <c r="A220" s="6" t="s">
        <v>207</v>
      </c>
      <c r="B220" s="6"/>
      <c r="C220" s="13" t="s">
        <v>208</v>
      </c>
      <c r="D220" s="70">
        <f>SUM(D221:D222)</f>
        <v>2411.8000000000002</v>
      </c>
      <c r="E220" s="70"/>
      <c r="F220" s="70">
        <f>SUM(F221:F222)</f>
        <v>2411.8000000000002</v>
      </c>
      <c r="G220" s="70">
        <v>0</v>
      </c>
      <c r="H220" s="70"/>
      <c r="I220" s="70">
        <v>0</v>
      </c>
      <c r="J220" s="70">
        <v>0</v>
      </c>
      <c r="K220" s="70"/>
      <c r="L220" s="70">
        <v>0</v>
      </c>
    </row>
    <row r="221" spans="1:12" ht="26.25" x14ac:dyDescent="0.25">
      <c r="A221" s="6"/>
      <c r="B221" s="6" t="s">
        <v>281</v>
      </c>
      <c r="C221" s="3" t="s">
        <v>282</v>
      </c>
      <c r="D221" s="70">
        <f>5357.4-4285.9</f>
        <v>1071.5</v>
      </c>
      <c r="E221" s="70"/>
      <c r="F221" s="70">
        <f>5357.4-4285.9</f>
        <v>1071.5</v>
      </c>
      <c r="G221" s="70">
        <v>0</v>
      </c>
      <c r="H221" s="70"/>
      <c r="I221" s="70">
        <v>0</v>
      </c>
      <c r="J221" s="70">
        <v>0</v>
      </c>
      <c r="K221" s="70"/>
      <c r="L221" s="70">
        <v>0</v>
      </c>
    </row>
    <row r="222" spans="1:12" x14ac:dyDescent="0.25">
      <c r="A222" s="6"/>
      <c r="B222" s="6" t="s">
        <v>424</v>
      </c>
      <c r="C222" s="3" t="s">
        <v>425</v>
      </c>
      <c r="D222" s="70">
        <v>1340.3</v>
      </c>
      <c r="E222" s="70"/>
      <c r="F222" s="70">
        <v>1340.3</v>
      </c>
      <c r="G222" s="70">
        <v>0</v>
      </c>
      <c r="H222" s="70"/>
      <c r="I222" s="70">
        <v>0</v>
      </c>
      <c r="J222" s="70">
        <v>0</v>
      </c>
      <c r="K222" s="70"/>
      <c r="L222" s="70">
        <v>0</v>
      </c>
    </row>
    <row r="223" spans="1:12" ht="26.25" x14ac:dyDescent="0.25">
      <c r="A223" s="6" t="s">
        <v>209</v>
      </c>
      <c r="B223" s="6"/>
      <c r="C223" s="3" t="s">
        <v>538</v>
      </c>
      <c r="D223" s="70">
        <f>D224</f>
        <v>104.2</v>
      </c>
      <c r="E223" s="70"/>
      <c r="F223" s="70">
        <f>F224</f>
        <v>104.2</v>
      </c>
      <c r="G223" s="70">
        <f>G224</f>
        <v>108.4</v>
      </c>
      <c r="H223" s="70"/>
      <c r="I223" s="70">
        <f>I224</f>
        <v>108.4</v>
      </c>
      <c r="J223" s="70">
        <f>J224</f>
        <v>112.7</v>
      </c>
      <c r="K223" s="70"/>
      <c r="L223" s="70">
        <f>L224</f>
        <v>112.7</v>
      </c>
    </row>
    <row r="224" spans="1:12" ht="26.25" x14ac:dyDescent="0.25">
      <c r="A224" s="6"/>
      <c r="B224" s="6" t="s">
        <v>281</v>
      </c>
      <c r="C224" s="3" t="s">
        <v>282</v>
      </c>
      <c r="D224" s="70">
        <v>104.2</v>
      </c>
      <c r="E224" s="70"/>
      <c r="F224" s="70">
        <v>104.2</v>
      </c>
      <c r="G224" s="70">
        <v>108.4</v>
      </c>
      <c r="H224" s="70"/>
      <c r="I224" s="70">
        <v>108.4</v>
      </c>
      <c r="J224" s="70">
        <v>112.7</v>
      </c>
      <c r="K224" s="70"/>
      <c r="L224" s="70">
        <v>112.7</v>
      </c>
    </row>
    <row r="225" spans="1:12" s="94" customFormat="1" ht="26.25" x14ac:dyDescent="0.25">
      <c r="A225" s="6" t="s">
        <v>507</v>
      </c>
      <c r="B225" s="6"/>
      <c r="C225" s="3" t="s">
        <v>793</v>
      </c>
      <c r="D225" s="70">
        <f>D226</f>
        <v>0</v>
      </c>
      <c r="E225" s="70"/>
      <c r="F225" s="70">
        <f>F226</f>
        <v>0</v>
      </c>
      <c r="G225" s="70">
        <f>G226</f>
        <v>0</v>
      </c>
      <c r="H225" s="70"/>
      <c r="I225" s="70">
        <f>I226</f>
        <v>0</v>
      </c>
      <c r="J225" s="70">
        <f>J226</f>
        <v>0</v>
      </c>
      <c r="K225" s="70"/>
      <c r="L225" s="70">
        <f>L226</f>
        <v>0</v>
      </c>
    </row>
    <row r="226" spans="1:12" ht="26.25" x14ac:dyDescent="0.25">
      <c r="A226" s="6"/>
      <c r="B226" s="6" t="s">
        <v>281</v>
      </c>
      <c r="C226" s="3" t="s">
        <v>282</v>
      </c>
      <c r="D226" s="70">
        <v>0</v>
      </c>
      <c r="E226" s="70"/>
      <c r="F226" s="70">
        <v>0</v>
      </c>
      <c r="G226" s="70">
        <v>0</v>
      </c>
      <c r="H226" s="70"/>
      <c r="I226" s="70">
        <v>0</v>
      </c>
      <c r="J226" s="70">
        <v>0</v>
      </c>
      <c r="K226" s="70"/>
      <c r="L226" s="70">
        <v>0</v>
      </c>
    </row>
    <row r="227" spans="1:12" ht="39" x14ac:dyDescent="0.25">
      <c r="A227" s="6" t="s">
        <v>494</v>
      </c>
      <c r="B227" s="6"/>
      <c r="C227" s="3" t="s">
        <v>495</v>
      </c>
      <c r="D227" s="70">
        <f>D228</f>
        <v>1530.0775500000002</v>
      </c>
      <c r="E227" s="70"/>
      <c r="F227" s="70">
        <f>F228</f>
        <v>1530.0775500000002</v>
      </c>
      <c r="G227" s="70">
        <f>G228</f>
        <v>1667.09725</v>
      </c>
      <c r="H227" s="70"/>
      <c r="I227" s="70">
        <f>I228</f>
        <v>1667.09725</v>
      </c>
      <c r="J227" s="70">
        <f>J228</f>
        <v>17.702179999999998</v>
      </c>
      <c r="K227" s="70"/>
      <c r="L227" s="70">
        <f>L228</f>
        <v>17.702179999999998</v>
      </c>
    </row>
    <row r="228" spans="1:12" ht="26.25" x14ac:dyDescent="0.25">
      <c r="A228" s="6"/>
      <c r="B228" s="6" t="s">
        <v>281</v>
      </c>
      <c r="C228" s="3" t="s">
        <v>282</v>
      </c>
      <c r="D228" s="70">
        <f>D229+D230</f>
        <v>1530.0775500000002</v>
      </c>
      <c r="E228" s="70"/>
      <c r="F228" s="70">
        <f>F229+F230</f>
        <v>1530.0775500000002</v>
      </c>
      <c r="G228" s="70">
        <f>G229+G230</f>
        <v>1667.09725</v>
      </c>
      <c r="H228" s="70"/>
      <c r="I228" s="70">
        <f>I229+I230</f>
        <v>1667.09725</v>
      </c>
      <c r="J228" s="70">
        <f>J229+J230</f>
        <v>17.702179999999998</v>
      </c>
      <c r="K228" s="70"/>
      <c r="L228" s="70">
        <f>L229+L230</f>
        <v>17.702179999999998</v>
      </c>
    </row>
    <row r="229" spans="1:12" x14ac:dyDescent="0.25">
      <c r="A229" s="6"/>
      <c r="B229" s="6"/>
      <c r="C229" s="3" t="s">
        <v>186</v>
      </c>
      <c r="D229" s="70">
        <v>1499.4760000000001</v>
      </c>
      <c r="E229" s="70"/>
      <c r="F229" s="70">
        <v>1499.4760000000001</v>
      </c>
      <c r="G229" s="70">
        <v>1634.0559000000001</v>
      </c>
      <c r="H229" s="70"/>
      <c r="I229" s="70">
        <v>1634.0559000000001</v>
      </c>
      <c r="J229" s="70">
        <v>0</v>
      </c>
      <c r="K229" s="70"/>
      <c r="L229" s="70">
        <v>0</v>
      </c>
    </row>
    <row r="230" spans="1:12" x14ac:dyDescent="0.25">
      <c r="A230" s="6"/>
      <c r="B230" s="6"/>
      <c r="C230" s="3" t="s">
        <v>150</v>
      </c>
      <c r="D230" s="70">
        <v>30.60155</v>
      </c>
      <c r="E230" s="70"/>
      <c r="F230" s="70">
        <v>30.60155</v>
      </c>
      <c r="G230" s="70">
        <v>33.041350000000001</v>
      </c>
      <c r="H230" s="70"/>
      <c r="I230" s="70">
        <v>33.041350000000001</v>
      </c>
      <c r="J230" s="70">
        <v>17.702179999999998</v>
      </c>
      <c r="K230" s="70"/>
      <c r="L230" s="70">
        <v>17.702179999999998</v>
      </c>
    </row>
    <row r="231" spans="1:12" ht="26.25" x14ac:dyDescent="0.25">
      <c r="A231" s="33" t="s">
        <v>539</v>
      </c>
      <c r="B231" s="33"/>
      <c r="C231" s="34" t="s">
        <v>542</v>
      </c>
      <c r="D231" s="71">
        <f t="shared" ref="D231:J232" si="31">D232</f>
        <v>0</v>
      </c>
      <c r="E231" s="71">
        <f t="shared" si="31"/>
        <v>0</v>
      </c>
      <c r="F231" s="71">
        <f t="shared" si="31"/>
        <v>0</v>
      </c>
      <c r="G231" s="71">
        <f t="shared" si="31"/>
        <v>4643.2</v>
      </c>
      <c r="H231" s="71">
        <f t="shared" si="31"/>
        <v>0</v>
      </c>
      <c r="I231" s="71">
        <f t="shared" si="31"/>
        <v>4643.2</v>
      </c>
      <c r="J231" s="71">
        <f t="shared" si="31"/>
        <v>0</v>
      </c>
      <c r="K231" s="71"/>
      <c r="L231" s="71">
        <f>L232</f>
        <v>0</v>
      </c>
    </row>
    <row r="232" spans="1:12" ht="26.25" x14ac:dyDescent="0.25">
      <c r="A232" s="6" t="s">
        <v>540</v>
      </c>
      <c r="B232" s="6"/>
      <c r="C232" s="13" t="s">
        <v>541</v>
      </c>
      <c r="D232" s="70">
        <f t="shared" si="31"/>
        <v>0</v>
      </c>
      <c r="E232" s="70">
        <f t="shared" si="31"/>
        <v>0</v>
      </c>
      <c r="F232" s="70">
        <f t="shared" si="31"/>
        <v>0</v>
      </c>
      <c r="G232" s="70">
        <f t="shared" si="31"/>
        <v>4643.2</v>
      </c>
      <c r="H232" s="70">
        <f t="shared" si="31"/>
        <v>0</v>
      </c>
      <c r="I232" s="70">
        <f t="shared" si="31"/>
        <v>4643.2</v>
      </c>
      <c r="J232" s="70">
        <f t="shared" si="31"/>
        <v>0</v>
      </c>
      <c r="K232" s="70"/>
      <c r="L232" s="70">
        <f>L233</f>
        <v>0</v>
      </c>
    </row>
    <row r="233" spans="1:12" ht="26.25" x14ac:dyDescent="0.25">
      <c r="A233" s="6"/>
      <c r="B233" s="22" t="s">
        <v>299</v>
      </c>
      <c r="C233" s="3" t="s">
        <v>300</v>
      </c>
      <c r="D233" s="70">
        <v>0</v>
      </c>
      <c r="E233" s="70"/>
      <c r="F233" s="70">
        <v>0</v>
      </c>
      <c r="G233" s="70">
        <v>4643.2</v>
      </c>
      <c r="H233" s="70"/>
      <c r="I233" s="70">
        <v>4643.2</v>
      </c>
      <c r="J233" s="70">
        <v>0</v>
      </c>
      <c r="K233" s="70"/>
      <c r="L233" s="70">
        <v>0</v>
      </c>
    </row>
    <row r="234" spans="1:12" ht="39" x14ac:dyDescent="0.25">
      <c r="A234" s="29" t="s">
        <v>211</v>
      </c>
      <c r="B234" s="29"/>
      <c r="C234" s="37" t="s">
        <v>212</v>
      </c>
      <c r="D234" s="72">
        <f t="shared" ref="D234:J234" si="32">D235+D282+D290</f>
        <v>143049.66000999999</v>
      </c>
      <c r="E234" s="72">
        <f t="shared" si="32"/>
        <v>165.3</v>
      </c>
      <c r="F234" s="72">
        <f t="shared" si="32"/>
        <v>143214.96000999998</v>
      </c>
      <c r="G234" s="72">
        <f t="shared" si="32"/>
        <v>96883.594960000017</v>
      </c>
      <c r="H234" s="72">
        <f t="shared" si="32"/>
        <v>0</v>
      </c>
      <c r="I234" s="72">
        <f t="shared" si="32"/>
        <v>96883.594960000017</v>
      </c>
      <c r="J234" s="72">
        <f t="shared" si="32"/>
        <v>88393.957890000005</v>
      </c>
      <c r="K234" s="72"/>
      <c r="L234" s="72">
        <f>L235+L282+L290</f>
        <v>88393.957890000005</v>
      </c>
    </row>
    <row r="235" spans="1:12" ht="26.25" x14ac:dyDescent="0.25">
      <c r="A235" s="31" t="s">
        <v>213</v>
      </c>
      <c r="B235" s="31"/>
      <c r="C235" s="32" t="s">
        <v>214</v>
      </c>
      <c r="D235" s="75">
        <f t="shared" ref="D235:J235" si="33">D236+D239+D244+D247+D250+D255+D258+D275</f>
        <v>141270.26001</v>
      </c>
      <c r="E235" s="75">
        <f t="shared" si="33"/>
        <v>165.3</v>
      </c>
      <c r="F235" s="75">
        <f t="shared" si="33"/>
        <v>141435.56000999999</v>
      </c>
      <c r="G235" s="75">
        <f t="shared" si="33"/>
        <v>95104.194960000008</v>
      </c>
      <c r="H235" s="75">
        <f t="shared" si="33"/>
        <v>0</v>
      </c>
      <c r="I235" s="75">
        <f t="shared" si="33"/>
        <v>95104.194960000008</v>
      </c>
      <c r="J235" s="75">
        <f t="shared" si="33"/>
        <v>86906.157890000002</v>
      </c>
      <c r="K235" s="75"/>
      <c r="L235" s="75">
        <f>L236+L239+L244+L247+L250+L255+L258+L275</f>
        <v>86906.157890000002</v>
      </c>
    </row>
    <row r="236" spans="1:12" ht="39" x14ac:dyDescent="0.25">
      <c r="A236" s="33" t="s">
        <v>215</v>
      </c>
      <c r="B236" s="33"/>
      <c r="C236" s="34" t="s">
        <v>216</v>
      </c>
      <c r="D236" s="71">
        <f t="shared" ref="D236:J237" si="34">D237</f>
        <v>47452.9</v>
      </c>
      <c r="E236" s="71"/>
      <c r="F236" s="71">
        <f t="shared" si="34"/>
        <v>47452.899999999994</v>
      </c>
      <c r="G236" s="71">
        <f t="shared" si="34"/>
        <v>46721.5</v>
      </c>
      <c r="H236" s="71"/>
      <c r="I236" s="71">
        <f t="shared" si="34"/>
        <v>46721.5</v>
      </c>
      <c r="J236" s="71">
        <f t="shared" si="34"/>
        <v>46721.5</v>
      </c>
      <c r="K236" s="71"/>
      <c r="L236" s="71">
        <f>L237</f>
        <v>46721.5</v>
      </c>
    </row>
    <row r="237" spans="1:12" ht="26.25" x14ac:dyDescent="0.25">
      <c r="A237" s="6" t="s">
        <v>217</v>
      </c>
      <c r="B237" s="6"/>
      <c r="C237" s="8" t="s">
        <v>437</v>
      </c>
      <c r="D237" s="70">
        <f t="shared" si="34"/>
        <v>47452.9</v>
      </c>
      <c r="E237" s="70"/>
      <c r="F237" s="70">
        <f t="shared" si="34"/>
        <v>47452.899999999994</v>
      </c>
      <c r="G237" s="70">
        <f t="shared" si="34"/>
        <v>46721.5</v>
      </c>
      <c r="H237" s="70"/>
      <c r="I237" s="70">
        <f t="shared" si="34"/>
        <v>46721.5</v>
      </c>
      <c r="J237" s="70">
        <f t="shared" si="34"/>
        <v>46721.5</v>
      </c>
      <c r="K237" s="70"/>
      <c r="L237" s="70">
        <f>L238</f>
        <v>46721.5</v>
      </c>
    </row>
    <row r="238" spans="1:12" ht="26.25" x14ac:dyDescent="0.25">
      <c r="A238" s="6"/>
      <c r="B238" s="6" t="s">
        <v>471</v>
      </c>
      <c r="C238" s="3" t="s">
        <v>472</v>
      </c>
      <c r="D238" s="70">
        <v>47452.9</v>
      </c>
      <c r="E238" s="80"/>
      <c r="F238" s="70">
        <f>46330.7+77+1045.2</f>
        <v>47452.899999999994</v>
      </c>
      <c r="G238" s="70">
        <f>46857.1-135.6</f>
        <v>46721.5</v>
      </c>
      <c r="H238" s="70"/>
      <c r="I238" s="70">
        <f>46857.1-135.6</f>
        <v>46721.5</v>
      </c>
      <c r="J238" s="70">
        <f>47006.2-284.7</f>
        <v>46721.5</v>
      </c>
      <c r="K238" s="70"/>
      <c r="L238" s="70">
        <f>47006.2-284.7</f>
        <v>46721.5</v>
      </c>
    </row>
    <row r="239" spans="1:12" ht="26.25" customHeight="1" x14ac:dyDescent="0.25">
      <c r="A239" s="33" t="s">
        <v>218</v>
      </c>
      <c r="B239" s="33"/>
      <c r="C239" s="34" t="s">
        <v>219</v>
      </c>
      <c r="D239" s="71">
        <f>D240+D242</f>
        <v>21828.7</v>
      </c>
      <c r="E239" s="71"/>
      <c r="F239" s="71">
        <f>F240+F242</f>
        <v>21828.7</v>
      </c>
      <c r="G239" s="71">
        <f>G240+G242</f>
        <v>19243</v>
      </c>
      <c r="H239" s="71"/>
      <c r="I239" s="71">
        <f>I240+I242</f>
        <v>19243</v>
      </c>
      <c r="J239" s="71">
        <f>J240+J242</f>
        <v>19243</v>
      </c>
      <c r="K239" s="71"/>
      <c r="L239" s="71">
        <f>L240+L242</f>
        <v>19243</v>
      </c>
    </row>
    <row r="240" spans="1:12" ht="26.25" x14ac:dyDescent="0.25">
      <c r="A240" s="6" t="s">
        <v>220</v>
      </c>
      <c r="B240" s="6"/>
      <c r="C240" s="8" t="s">
        <v>438</v>
      </c>
      <c r="D240" s="70">
        <f>D241</f>
        <v>21328.7</v>
      </c>
      <c r="E240" s="70"/>
      <c r="F240" s="70">
        <f>F241</f>
        <v>21328.7</v>
      </c>
      <c r="G240" s="70">
        <f>G241</f>
        <v>18743</v>
      </c>
      <c r="H240" s="70"/>
      <c r="I240" s="70">
        <f>I241</f>
        <v>18743</v>
      </c>
      <c r="J240" s="70">
        <f>J241</f>
        <v>18743</v>
      </c>
      <c r="K240" s="70"/>
      <c r="L240" s="70">
        <f>L241</f>
        <v>18743</v>
      </c>
    </row>
    <row r="241" spans="1:12" ht="26.25" x14ac:dyDescent="0.25">
      <c r="A241" s="6"/>
      <c r="B241" s="6" t="s">
        <v>471</v>
      </c>
      <c r="C241" s="3" t="s">
        <v>472</v>
      </c>
      <c r="D241" s="70">
        <v>21328.7</v>
      </c>
      <c r="E241" s="70"/>
      <c r="F241" s="70">
        <f>18743-113.2+2698.9</f>
        <v>21328.7</v>
      </c>
      <c r="G241" s="70">
        <f>18792-49</f>
        <v>18743</v>
      </c>
      <c r="H241" s="70"/>
      <c r="I241" s="70">
        <f>18792-49</f>
        <v>18743</v>
      </c>
      <c r="J241" s="70">
        <f>18843.2-100.2</f>
        <v>18743</v>
      </c>
      <c r="K241" s="70"/>
      <c r="L241" s="70">
        <f>18843.2-100.2</f>
        <v>18743</v>
      </c>
    </row>
    <row r="242" spans="1:12" ht="26.25" x14ac:dyDescent="0.25">
      <c r="A242" s="6" t="s">
        <v>221</v>
      </c>
      <c r="B242" s="6"/>
      <c r="C242" s="8" t="s">
        <v>222</v>
      </c>
      <c r="D242" s="70">
        <v>500</v>
      </c>
      <c r="E242" s="70"/>
      <c r="F242" s="70">
        <v>500</v>
      </c>
      <c r="G242" s="70">
        <v>500</v>
      </c>
      <c r="H242" s="70"/>
      <c r="I242" s="70">
        <v>500</v>
      </c>
      <c r="J242" s="70">
        <v>500</v>
      </c>
      <c r="K242" s="70"/>
      <c r="L242" s="70">
        <v>500</v>
      </c>
    </row>
    <row r="243" spans="1:12" ht="26.25" x14ac:dyDescent="0.25">
      <c r="A243" s="6"/>
      <c r="B243" s="6" t="s">
        <v>471</v>
      </c>
      <c r="C243" s="3" t="s">
        <v>472</v>
      </c>
      <c r="D243" s="70">
        <v>500</v>
      </c>
      <c r="E243" s="70"/>
      <c r="F243" s="70">
        <v>500</v>
      </c>
      <c r="G243" s="70">
        <v>500</v>
      </c>
      <c r="H243" s="70"/>
      <c r="I243" s="70">
        <v>500</v>
      </c>
      <c r="J243" s="70">
        <v>500</v>
      </c>
      <c r="K243" s="70"/>
      <c r="L243" s="70">
        <v>500</v>
      </c>
    </row>
    <row r="244" spans="1:12" ht="26.25" x14ac:dyDescent="0.25">
      <c r="A244" s="33" t="s">
        <v>223</v>
      </c>
      <c r="B244" s="33"/>
      <c r="C244" s="34" t="s">
        <v>224</v>
      </c>
      <c r="D244" s="71">
        <f t="shared" ref="D244:J245" si="35">D245</f>
        <v>1612.9</v>
      </c>
      <c r="E244" s="71"/>
      <c r="F244" s="71">
        <f t="shared" si="35"/>
        <v>1612.9</v>
      </c>
      <c r="G244" s="71">
        <f t="shared" si="35"/>
        <v>1427.3</v>
      </c>
      <c r="H244" s="71"/>
      <c r="I244" s="71">
        <f t="shared" si="35"/>
        <v>1427.3</v>
      </c>
      <c r="J244" s="71">
        <f t="shared" si="35"/>
        <v>1427.3</v>
      </c>
      <c r="K244" s="71"/>
      <c r="L244" s="71">
        <f>L245</f>
        <v>1427.3</v>
      </c>
    </row>
    <row r="245" spans="1:12" x14ac:dyDescent="0.25">
      <c r="A245" s="6" t="s">
        <v>225</v>
      </c>
      <c r="B245" s="6"/>
      <c r="C245" s="8" t="s">
        <v>439</v>
      </c>
      <c r="D245" s="70">
        <f t="shared" si="35"/>
        <v>1612.9</v>
      </c>
      <c r="E245" s="70"/>
      <c r="F245" s="70">
        <f t="shared" si="35"/>
        <v>1612.9</v>
      </c>
      <c r="G245" s="70">
        <f t="shared" si="35"/>
        <v>1427.3</v>
      </c>
      <c r="H245" s="70"/>
      <c r="I245" s="70">
        <f t="shared" si="35"/>
        <v>1427.3</v>
      </c>
      <c r="J245" s="70">
        <f t="shared" si="35"/>
        <v>1427.3</v>
      </c>
      <c r="K245" s="70"/>
      <c r="L245" s="70">
        <f>L246</f>
        <v>1427.3</v>
      </c>
    </row>
    <row r="246" spans="1:12" ht="26.25" x14ac:dyDescent="0.25">
      <c r="A246" s="6"/>
      <c r="B246" s="6" t="s">
        <v>471</v>
      </c>
      <c r="C246" s="3" t="s">
        <v>472</v>
      </c>
      <c r="D246" s="70">
        <v>1612.9</v>
      </c>
      <c r="E246" s="70"/>
      <c r="F246" s="70">
        <f>1427.3-5.3+190.9</f>
        <v>1612.9</v>
      </c>
      <c r="G246" s="70">
        <f>1429.8-2.5</f>
        <v>1427.3</v>
      </c>
      <c r="H246" s="70"/>
      <c r="I246" s="70">
        <f>1429.8-2.5</f>
        <v>1427.3</v>
      </c>
      <c r="J246" s="70">
        <f>1431.5-4.2</f>
        <v>1427.3</v>
      </c>
      <c r="K246" s="70"/>
      <c r="L246" s="70">
        <f>1431.5-4.2</f>
        <v>1427.3</v>
      </c>
    </row>
    <row r="247" spans="1:12" ht="26.25" x14ac:dyDescent="0.25">
      <c r="A247" s="33" t="s">
        <v>226</v>
      </c>
      <c r="B247" s="33"/>
      <c r="C247" s="34" t="s">
        <v>227</v>
      </c>
      <c r="D247" s="71">
        <f t="shared" ref="D247:J248" si="36">D248</f>
        <v>19445.100000000002</v>
      </c>
      <c r="E247" s="71"/>
      <c r="F247" s="71">
        <f t="shared" si="36"/>
        <v>19445.100000000002</v>
      </c>
      <c r="G247" s="71">
        <f t="shared" si="36"/>
        <v>19464.2</v>
      </c>
      <c r="H247" s="71"/>
      <c r="I247" s="71">
        <f t="shared" si="36"/>
        <v>19464.2</v>
      </c>
      <c r="J247" s="71">
        <f t="shared" si="36"/>
        <v>19464.2</v>
      </c>
      <c r="K247" s="71"/>
      <c r="L247" s="71">
        <f>L248</f>
        <v>19464.2</v>
      </c>
    </row>
    <row r="248" spans="1:12" x14ac:dyDescent="0.25">
      <c r="A248" s="6" t="s">
        <v>228</v>
      </c>
      <c r="B248" s="6"/>
      <c r="C248" s="8" t="s">
        <v>440</v>
      </c>
      <c r="D248" s="70">
        <f t="shared" si="36"/>
        <v>19445.100000000002</v>
      </c>
      <c r="E248" s="70"/>
      <c r="F248" s="70">
        <f t="shared" si="36"/>
        <v>19445.100000000002</v>
      </c>
      <c r="G248" s="70">
        <f t="shared" si="36"/>
        <v>19464.2</v>
      </c>
      <c r="H248" s="70"/>
      <c r="I248" s="70">
        <f t="shared" si="36"/>
        <v>19464.2</v>
      </c>
      <c r="J248" s="70">
        <f t="shared" si="36"/>
        <v>19464.2</v>
      </c>
      <c r="K248" s="70"/>
      <c r="L248" s="70">
        <f>L249</f>
        <v>19464.2</v>
      </c>
    </row>
    <row r="249" spans="1:12" ht="26.25" x14ac:dyDescent="0.25">
      <c r="A249" s="6"/>
      <c r="B249" s="6" t="s">
        <v>471</v>
      </c>
      <c r="C249" s="3" t="s">
        <v>472</v>
      </c>
      <c r="D249" s="70">
        <f>19464.2-19.1</f>
        <v>19445.100000000002</v>
      </c>
      <c r="E249" s="70"/>
      <c r="F249" s="70">
        <f>19464.2-19.1</f>
        <v>19445.100000000002</v>
      </c>
      <c r="G249" s="70">
        <f>19481.9-17.7</f>
        <v>19464.2</v>
      </c>
      <c r="H249" s="70"/>
      <c r="I249" s="70">
        <f>19481.9-17.7</f>
        <v>19464.2</v>
      </c>
      <c r="J249" s="70">
        <f>19500-35.8</f>
        <v>19464.2</v>
      </c>
      <c r="K249" s="70"/>
      <c r="L249" s="70">
        <f>19500-35.8</f>
        <v>19464.2</v>
      </c>
    </row>
    <row r="250" spans="1:12" ht="26.25" x14ac:dyDescent="0.25">
      <c r="A250" s="33" t="s">
        <v>229</v>
      </c>
      <c r="B250" s="36"/>
      <c r="C250" s="34" t="s">
        <v>230</v>
      </c>
      <c r="D250" s="71">
        <f>D251+D253</f>
        <v>1510.5</v>
      </c>
      <c r="E250" s="71">
        <f>E251+E253</f>
        <v>97</v>
      </c>
      <c r="F250" s="71">
        <f>F251+F253</f>
        <v>1607.5</v>
      </c>
      <c r="G250" s="71">
        <f>G251+G253</f>
        <v>1510.5</v>
      </c>
      <c r="H250" s="71"/>
      <c r="I250" s="71">
        <f>I251+I253</f>
        <v>1510.5</v>
      </c>
      <c r="J250" s="71">
        <f>J251+J253</f>
        <v>0</v>
      </c>
      <c r="K250" s="71"/>
      <c r="L250" s="71">
        <f>L251+L253</f>
        <v>0</v>
      </c>
    </row>
    <row r="251" spans="1:12" ht="64.5" x14ac:dyDescent="0.25">
      <c r="A251" s="6" t="s">
        <v>231</v>
      </c>
      <c r="B251" s="6"/>
      <c r="C251" s="3" t="s">
        <v>477</v>
      </c>
      <c r="D251" s="70">
        <f>D252</f>
        <v>950</v>
      </c>
      <c r="E251" s="70"/>
      <c r="F251" s="70">
        <f>F252</f>
        <v>950</v>
      </c>
      <c r="G251" s="70">
        <f>G252</f>
        <v>950</v>
      </c>
      <c r="H251" s="70"/>
      <c r="I251" s="70">
        <f>I252</f>
        <v>950</v>
      </c>
      <c r="J251" s="70">
        <f>J252</f>
        <v>0</v>
      </c>
      <c r="K251" s="70"/>
      <c r="L251" s="70">
        <f>L252</f>
        <v>0</v>
      </c>
    </row>
    <row r="252" spans="1:12" ht="26.25" x14ac:dyDescent="0.25">
      <c r="A252" s="6"/>
      <c r="B252" s="6" t="s">
        <v>471</v>
      </c>
      <c r="C252" s="3" t="s">
        <v>472</v>
      </c>
      <c r="D252" s="70">
        <v>950</v>
      </c>
      <c r="E252" s="70"/>
      <c r="F252" s="70">
        <v>950</v>
      </c>
      <c r="G252" s="70">
        <v>950</v>
      </c>
      <c r="H252" s="70"/>
      <c r="I252" s="70">
        <v>950</v>
      </c>
      <c r="J252" s="70">
        <v>0</v>
      </c>
      <c r="K252" s="70"/>
      <c r="L252" s="70">
        <v>0</v>
      </c>
    </row>
    <row r="253" spans="1:12" ht="51.75" x14ac:dyDescent="0.25">
      <c r="A253" s="6" t="s">
        <v>232</v>
      </c>
      <c r="B253" s="6"/>
      <c r="C253" s="3" t="s">
        <v>233</v>
      </c>
      <c r="D253" s="70">
        <f>D254</f>
        <v>560.5</v>
      </c>
      <c r="E253" s="70">
        <f>E254</f>
        <v>97</v>
      </c>
      <c r="F253" s="70">
        <f>F254</f>
        <v>657.5</v>
      </c>
      <c r="G253" s="70">
        <f>G254</f>
        <v>560.5</v>
      </c>
      <c r="H253" s="70"/>
      <c r="I253" s="70">
        <f>I254</f>
        <v>560.5</v>
      </c>
      <c r="J253" s="70">
        <f>J254</f>
        <v>0</v>
      </c>
      <c r="K253" s="70"/>
      <c r="L253" s="70">
        <f>L254</f>
        <v>0</v>
      </c>
    </row>
    <row r="254" spans="1:12" ht="26.25" x14ac:dyDescent="0.25">
      <c r="A254" s="6"/>
      <c r="B254" s="6" t="s">
        <v>471</v>
      </c>
      <c r="C254" s="3" t="s">
        <v>472</v>
      </c>
      <c r="D254" s="70">
        <f>590-29.5</f>
        <v>560.5</v>
      </c>
      <c r="E254" s="70">
        <v>97</v>
      </c>
      <c r="F254" s="70">
        <f>590-29.5+97</f>
        <v>657.5</v>
      </c>
      <c r="G254" s="70">
        <f>590-29.5</f>
        <v>560.5</v>
      </c>
      <c r="H254" s="70"/>
      <c r="I254" s="70">
        <f>590-29.5</f>
        <v>560.5</v>
      </c>
      <c r="J254" s="70">
        <v>0</v>
      </c>
      <c r="K254" s="70"/>
      <c r="L254" s="70">
        <v>0</v>
      </c>
    </row>
    <row r="255" spans="1:12" x14ac:dyDescent="0.25">
      <c r="A255" s="33" t="s">
        <v>234</v>
      </c>
      <c r="B255" s="36"/>
      <c r="C255" s="34" t="s">
        <v>235</v>
      </c>
      <c r="D255" s="71">
        <f t="shared" ref="D255:J256" si="37">D256</f>
        <v>50</v>
      </c>
      <c r="E255" s="71"/>
      <c r="F255" s="71">
        <f t="shared" si="37"/>
        <v>50</v>
      </c>
      <c r="G255" s="71">
        <f t="shared" si="37"/>
        <v>50</v>
      </c>
      <c r="H255" s="71"/>
      <c r="I255" s="71">
        <f t="shared" si="37"/>
        <v>50</v>
      </c>
      <c r="J255" s="71">
        <f t="shared" si="37"/>
        <v>50</v>
      </c>
      <c r="K255" s="71"/>
      <c r="L255" s="71">
        <f>L256</f>
        <v>50</v>
      </c>
    </row>
    <row r="256" spans="1:12" x14ac:dyDescent="0.25">
      <c r="A256" s="6" t="s">
        <v>236</v>
      </c>
      <c r="B256" s="6"/>
      <c r="C256" s="3" t="s">
        <v>683</v>
      </c>
      <c r="D256" s="70">
        <f t="shared" si="37"/>
        <v>50</v>
      </c>
      <c r="E256" s="70"/>
      <c r="F256" s="70">
        <f t="shared" si="37"/>
        <v>50</v>
      </c>
      <c r="G256" s="70">
        <f t="shared" si="37"/>
        <v>50</v>
      </c>
      <c r="H256" s="70"/>
      <c r="I256" s="70">
        <f t="shared" si="37"/>
        <v>50</v>
      </c>
      <c r="J256" s="70">
        <f t="shared" si="37"/>
        <v>50</v>
      </c>
      <c r="K256" s="70"/>
      <c r="L256" s="70">
        <f>L257</f>
        <v>50</v>
      </c>
    </row>
    <row r="257" spans="1:12" ht="26.25" x14ac:dyDescent="0.25">
      <c r="A257" s="6"/>
      <c r="B257" s="6" t="s">
        <v>471</v>
      </c>
      <c r="C257" s="3" t="s">
        <v>472</v>
      </c>
      <c r="D257" s="70">
        <v>50</v>
      </c>
      <c r="E257" s="70"/>
      <c r="F257" s="70">
        <v>50</v>
      </c>
      <c r="G257" s="70">
        <v>50</v>
      </c>
      <c r="H257" s="70"/>
      <c r="I257" s="70">
        <v>50</v>
      </c>
      <c r="J257" s="70">
        <v>50</v>
      </c>
      <c r="K257" s="70"/>
      <c r="L257" s="70">
        <v>50</v>
      </c>
    </row>
    <row r="258" spans="1:12" ht="51.75" x14ac:dyDescent="0.25">
      <c r="A258" s="33" t="s">
        <v>237</v>
      </c>
      <c r="B258" s="33"/>
      <c r="C258" s="48" t="s">
        <v>238</v>
      </c>
      <c r="D258" s="71">
        <f>D262+D267+D271+D273</f>
        <v>49370.107379999994</v>
      </c>
      <c r="E258" s="71">
        <f t="shared" ref="E258:L258" si="38">E262+E267+E271+E273</f>
        <v>68.3</v>
      </c>
      <c r="F258" s="71">
        <f t="shared" si="38"/>
        <v>49438.407379999997</v>
      </c>
      <c r="G258" s="71">
        <f t="shared" si="38"/>
        <v>6687.5370700000003</v>
      </c>
      <c r="H258" s="71">
        <f t="shared" si="38"/>
        <v>0</v>
      </c>
      <c r="I258" s="71">
        <f t="shared" si="38"/>
        <v>6687.5370700000003</v>
      </c>
      <c r="J258" s="71">
        <f t="shared" si="38"/>
        <v>0</v>
      </c>
      <c r="K258" s="71">
        <f t="shared" si="38"/>
        <v>0</v>
      </c>
      <c r="L258" s="71">
        <f t="shared" si="38"/>
        <v>0</v>
      </c>
    </row>
    <row r="259" spans="1:12" s="39" customFormat="1" ht="38.25" x14ac:dyDescent="0.25">
      <c r="A259" s="6" t="s">
        <v>887</v>
      </c>
      <c r="B259" s="17"/>
      <c r="C259" s="1" t="s">
        <v>888</v>
      </c>
      <c r="D259" s="85">
        <f>D260</f>
        <v>2013.2</v>
      </c>
      <c r="E259" s="85"/>
      <c r="F259" s="85">
        <f>F260</f>
        <v>2013.2</v>
      </c>
      <c r="G259" s="85">
        <v>0</v>
      </c>
      <c r="H259" s="85"/>
      <c r="I259" s="85">
        <v>0</v>
      </c>
      <c r="J259" s="85">
        <v>0</v>
      </c>
      <c r="K259" s="85"/>
      <c r="L259" s="85">
        <v>0</v>
      </c>
    </row>
    <row r="260" spans="1:12" s="39" customFormat="1" ht="26.25" x14ac:dyDescent="0.25">
      <c r="A260" s="6"/>
      <c r="B260" s="6" t="s">
        <v>471</v>
      </c>
      <c r="C260" s="3" t="s">
        <v>472</v>
      </c>
      <c r="D260" s="85">
        <f>D262</f>
        <v>2013.2</v>
      </c>
      <c r="E260" s="85"/>
      <c r="F260" s="85">
        <f>F262</f>
        <v>2013.2</v>
      </c>
      <c r="G260" s="85">
        <v>0</v>
      </c>
      <c r="H260" s="85"/>
      <c r="I260" s="85">
        <v>0</v>
      </c>
      <c r="J260" s="85">
        <v>0</v>
      </c>
      <c r="K260" s="85"/>
      <c r="L260" s="85">
        <v>0</v>
      </c>
    </row>
    <row r="261" spans="1:12" s="39" customFormat="1" x14ac:dyDescent="0.25">
      <c r="A261" s="6"/>
      <c r="B261" s="17"/>
      <c r="C261" s="3" t="s">
        <v>239</v>
      </c>
      <c r="D261" s="85">
        <v>0</v>
      </c>
      <c r="E261" s="85"/>
      <c r="F261" s="85">
        <v>0</v>
      </c>
      <c r="G261" s="85">
        <v>0</v>
      </c>
      <c r="H261" s="85"/>
      <c r="I261" s="85">
        <v>0</v>
      </c>
      <c r="J261" s="85">
        <v>0</v>
      </c>
      <c r="K261" s="85"/>
      <c r="L261" s="85">
        <v>0</v>
      </c>
    </row>
    <row r="262" spans="1:12" s="174" customFormat="1" ht="39" x14ac:dyDescent="0.25">
      <c r="A262" s="10"/>
      <c r="B262" s="10"/>
      <c r="C262" s="11" t="s">
        <v>240</v>
      </c>
      <c r="D262" s="77">
        <f>D264+D265</f>
        <v>2013.2</v>
      </c>
      <c r="E262" s="77"/>
      <c r="F262" s="77">
        <f>F264+F265</f>
        <v>2013.2</v>
      </c>
      <c r="G262" s="77">
        <v>0</v>
      </c>
      <c r="H262" s="77"/>
      <c r="I262" s="77">
        <v>0</v>
      </c>
      <c r="J262" s="77">
        <v>0</v>
      </c>
      <c r="K262" s="77"/>
      <c r="L262" s="77">
        <v>0</v>
      </c>
    </row>
    <row r="263" spans="1:12" s="39" customFormat="1" x14ac:dyDescent="0.25">
      <c r="A263" s="12"/>
      <c r="B263" s="6"/>
      <c r="C263" s="1" t="s">
        <v>188</v>
      </c>
      <c r="D263" s="85">
        <v>0</v>
      </c>
      <c r="E263" s="85"/>
      <c r="F263" s="85">
        <v>0</v>
      </c>
      <c r="G263" s="85">
        <v>0</v>
      </c>
      <c r="H263" s="85"/>
      <c r="I263" s="85">
        <v>0</v>
      </c>
      <c r="J263" s="85">
        <v>0</v>
      </c>
      <c r="K263" s="85"/>
      <c r="L263" s="85">
        <v>0</v>
      </c>
    </row>
    <row r="264" spans="1:12" s="39" customFormat="1" x14ac:dyDescent="0.25">
      <c r="A264" s="12"/>
      <c r="B264" s="6"/>
      <c r="C264" s="1" t="s">
        <v>186</v>
      </c>
      <c r="D264" s="85">
        <v>1509.9</v>
      </c>
      <c r="E264" s="85"/>
      <c r="F264" s="85">
        <v>1509.9</v>
      </c>
      <c r="G264" s="85">
        <v>0</v>
      </c>
      <c r="H264" s="85"/>
      <c r="I264" s="85">
        <v>0</v>
      </c>
      <c r="J264" s="85">
        <v>0</v>
      </c>
      <c r="K264" s="85"/>
      <c r="L264" s="85">
        <v>0</v>
      </c>
    </row>
    <row r="265" spans="1:12" s="39" customFormat="1" x14ac:dyDescent="0.25">
      <c r="A265" s="12"/>
      <c r="B265" s="6"/>
      <c r="C265" s="3" t="s">
        <v>150</v>
      </c>
      <c r="D265" s="85">
        <v>503.3</v>
      </c>
      <c r="E265" s="85"/>
      <c r="F265" s="85">
        <v>503.3</v>
      </c>
      <c r="G265" s="85">
        <v>0</v>
      </c>
      <c r="H265" s="85"/>
      <c r="I265" s="85">
        <v>0</v>
      </c>
      <c r="J265" s="85">
        <v>0</v>
      </c>
      <c r="K265" s="85"/>
      <c r="L265" s="85">
        <v>0</v>
      </c>
    </row>
    <row r="266" spans="1:12" s="39" customFormat="1" ht="25.5" x14ac:dyDescent="0.25">
      <c r="A266" s="68" t="s">
        <v>889</v>
      </c>
      <c r="B266" s="1"/>
      <c r="C266" s="1" t="s">
        <v>684</v>
      </c>
      <c r="D266" s="85">
        <f>D267</f>
        <v>47356.907379999997</v>
      </c>
      <c r="E266" s="85"/>
      <c r="F266" s="85">
        <f>F267</f>
        <v>47356.907379999997</v>
      </c>
      <c r="G266" s="85">
        <f>G268</f>
        <v>4087.5370699999999</v>
      </c>
      <c r="H266" s="85"/>
      <c r="I266" s="85">
        <f>I268</f>
        <v>4087.5370699999999</v>
      </c>
      <c r="J266" s="85"/>
      <c r="K266" s="85"/>
      <c r="L266" s="85"/>
    </row>
    <row r="267" spans="1:12" s="174" customFormat="1" ht="26.25" x14ac:dyDescent="0.25">
      <c r="A267" s="10"/>
      <c r="B267" s="172"/>
      <c r="C267" s="173" t="s">
        <v>493</v>
      </c>
      <c r="D267" s="81">
        <f t="shared" ref="D267:I267" si="39">D268</f>
        <v>47356.907379999997</v>
      </c>
      <c r="E267" s="81"/>
      <c r="F267" s="81">
        <f t="shared" si="39"/>
        <v>47356.907379999997</v>
      </c>
      <c r="G267" s="81">
        <f t="shared" si="39"/>
        <v>4087.5370699999999</v>
      </c>
      <c r="H267" s="81"/>
      <c r="I267" s="81">
        <f t="shared" si="39"/>
        <v>4087.5370699999999</v>
      </c>
      <c r="J267" s="81">
        <v>0</v>
      </c>
      <c r="K267" s="81"/>
      <c r="L267" s="81">
        <v>0</v>
      </c>
    </row>
    <row r="268" spans="1:12" s="39" customFormat="1" ht="26.25" x14ac:dyDescent="0.25">
      <c r="A268" s="6"/>
      <c r="B268" s="22" t="s">
        <v>299</v>
      </c>
      <c r="C268" s="3" t="s">
        <v>300</v>
      </c>
      <c r="D268" s="85">
        <f>D269+D270</f>
        <v>47356.907379999997</v>
      </c>
      <c r="E268" s="85"/>
      <c r="F268" s="85">
        <f>F269+F270</f>
        <v>47356.907379999997</v>
      </c>
      <c r="G268" s="85">
        <f>G270</f>
        <v>4087.5370699999999</v>
      </c>
      <c r="H268" s="85"/>
      <c r="I268" s="85">
        <f>I270</f>
        <v>4087.5370699999999</v>
      </c>
      <c r="J268" s="85">
        <v>0</v>
      </c>
      <c r="K268" s="85"/>
      <c r="L268" s="85">
        <v>0</v>
      </c>
    </row>
    <row r="269" spans="1:12" s="39" customFormat="1" x14ac:dyDescent="0.25">
      <c r="A269" s="6"/>
      <c r="B269" s="22"/>
      <c r="C269" s="1" t="s">
        <v>186</v>
      </c>
      <c r="D269" s="85">
        <v>45000</v>
      </c>
      <c r="E269" s="85"/>
      <c r="F269" s="85">
        <v>45000</v>
      </c>
      <c r="G269" s="85"/>
      <c r="H269" s="85"/>
      <c r="I269" s="85"/>
      <c r="J269" s="85">
        <v>0</v>
      </c>
      <c r="K269" s="85"/>
      <c r="L269" s="85">
        <v>0</v>
      </c>
    </row>
    <row r="270" spans="1:12" x14ac:dyDescent="0.25">
      <c r="A270" s="12"/>
      <c r="B270" s="6"/>
      <c r="C270" s="3" t="s">
        <v>150</v>
      </c>
      <c r="D270" s="73">
        <v>2356.9073800000001</v>
      </c>
      <c r="E270" s="73"/>
      <c r="F270" s="73">
        <f>SUM(D270:E270)</f>
        <v>2356.9073800000001</v>
      </c>
      <c r="G270" s="73">
        <v>4087.5370699999999</v>
      </c>
      <c r="H270" s="73"/>
      <c r="I270" s="73">
        <v>4087.5370699999999</v>
      </c>
      <c r="J270" s="73">
        <v>0</v>
      </c>
      <c r="K270" s="73"/>
      <c r="L270" s="73">
        <v>0</v>
      </c>
    </row>
    <row r="271" spans="1:12" ht="26.25" x14ac:dyDescent="0.25">
      <c r="A271" s="6" t="s">
        <v>943</v>
      </c>
      <c r="B271" s="6"/>
      <c r="C271" s="3" t="s">
        <v>942</v>
      </c>
      <c r="D271" s="73">
        <v>0</v>
      </c>
      <c r="E271" s="73">
        <f>E272</f>
        <v>68.3</v>
      </c>
      <c r="F271" s="73">
        <f>F272</f>
        <v>68.3</v>
      </c>
      <c r="G271" s="73">
        <f>G272</f>
        <v>0</v>
      </c>
      <c r="H271" s="73"/>
      <c r="I271" s="73">
        <f>I272</f>
        <v>0</v>
      </c>
      <c r="J271" s="73">
        <v>0</v>
      </c>
      <c r="K271" s="73"/>
      <c r="L271" s="73">
        <v>0</v>
      </c>
    </row>
    <row r="272" spans="1:12" ht="26.25" x14ac:dyDescent="0.25">
      <c r="A272" s="12"/>
      <c r="B272" s="6" t="s">
        <v>471</v>
      </c>
      <c r="C272" s="3" t="s">
        <v>472</v>
      </c>
      <c r="D272" s="73">
        <v>0</v>
      </c>
      <c r="E272" s="73">
        <v>68.3</v>
      </c>
      <c r="F272" s="73">
        <v>68.3</v>
      </c>
      <c r="G272" s="73">
        <v>0</v>
      </c>
      <c r="H272" s="73"/>
      <c r="I272" s="73">
        <v>0</v>
      </c>
      <c r="J272" s="73">
        <v>0</v>
      </c>
      <c r="K272" s="73"/>
      <c r="L272" s="73">
        <v>0</v>
      </c>
    </row>
    <row r="273" spans="1:12" ht="51.75" x14ac:dyDescent="0.25">
      <c r="A273" s="6" t="s">
        <v>894</v>
      </c>
      <c r="B273" s="6"/>
      <c r="C273" s="3" t="s">
        <v>903</v>
      </c>
      <c r="D273" s="73">
        <v>0</v>
      </c>
      <c r="E273" s="73"/>
      <c r="F273" s="73">
        <v>0</v>
      </c>
      <c r="G273" s="73">
        <v>2600</v>
      </c>
      <c r="H273" s="73"/>
      <c r="I273" s="73">
        <f>I274</f>
        <v>2600</v>
      </c>
      <c r="J273" s="73">
        <v>0</v>
      </c>
      <c r="K273" s="73"/>
      <c r="L273" s="73">
        <v>0</v>
      </c>
    </row>
    <row r="274" spans="1:12" ht="26.25" x14ac:dyDescent="0.25">
      <c r="A274" s="12"/>
      <c r="B274" s="6" t="s">
        <v>471</v>
      </c>
      <c r="C274" s="3" t="s">
        <v>472</v>
      </c>
      <c r="D274" s="73">
        <v>0</v>
      </c>
      <c r="E274" s="73"/>
      <c r="F274" s="73">
        <v>0</v>
      </c>
      <c r="G274" s="73">
        <v>2600</v>
      </c>
      <c r="H274" s="73"/>
      <c r="I274" s="73">
        <v>2600</v>
      </c>
      <c r="J274" s="73">
        <v>0</v>
      </c>
      <c r="K274" s="73"/>
      <c r="L274" s="73">
        <v>0</v>
      </c>
    </row>
    <row r="275" spans="1:12" s="51" customFormat="1" ht="25.5" x14ac:dyDescent="0.25">
      <c r="A275" s="14" t="s">
        <v>241</v>
      </c>
      <c r="B275" s="14"/>
      <c r="C275" s="15" t="s">
        <v>242</v>
      </c>
      <c r="D275" s="76">
        <f>D276+D279</f>
        <v>5.2630000000000003E-2</v>
      </c>
      <c r="E275" s="76">
        <f>E276+E279</f>
        <v>0</v>
      </c>
      <c r="F275" s="76">
        <f>F276+F279</f>
        <v>5.2630000000000003E-2</v>
      </c>
      <c r="G275" s="76">
        <f>G276+G279</f>
        <v>0.15789</v>
      </c>
      <c r="H275" s="76"/>
      <c r="I275" s="76">
        <f>I276+I279</f>
        <v>0.15789</v>
      </c>
      <c r="J275" s="76">
        <f>J276+J279</f>
        <v>0.15789</v>
      </c>
      <c r="K275" s="76"/>
      <c r="L275" s="76">
        <f>L276+L279</f>
        <v>0.15789</v>
      </c>
    </row>
    <row r="276" spans="1:12" ht="38.25" x14ac:dyDescent="0.25">
      <c r="A276" s="16" t="s">
        <v>491</v>
      </c>
      <c r="B276" s="16"/>
      <c r="C276" s="7" t="s">
        <v>543</v>
      </c>
      <c r="D276" s="73">
        <f t="shared" ref="D276:J277" si="40">D277</f>
        <v>5.2630000000000003E-2</v>
      </c>
      <c r="E276" s="73"/>
      <c r="F276" s="73">
        <f t="shared" si="40"/>
        <v>5.2630000000000003E-2</v>
      </c>
      <c r="G276" s="73">
        <f t="shared" si="40"/>
        <v>5.2630000000000003E-2</v>
      </c>
      <c r="H276" s="73"/>
      <c r="I276" s="73">
        <f t="shared" si="40"/>
        <v>5.2630000000000003E-2</v>
      </c>
      <c r="J276" s="73">
        <f t="shared" si="40"/>
        <v>5.2630000000000003E-2</v>
      </c>
      <c r="K276" s="73"/>
      <c r="L276" s="73">
        <f>L277</f>
        <v>5.2630000000000003E-2</v>
      </c>
    </row>
    <row r="277" spans="1:12" ht="25.5" x14ac:dyDescent="0.25">
      <c r="A277" s="17"/>
      <c r="B277" s="16" t="s">
        <v>471</v>
      </c>
      <c r="C277" s="1" t="s">
        <v>472</v>
      </c>
      <c r="D277" s="73">
        <f t="shared" si="40"/>
        <v>5.2630000000000003E-2</v>
      </c>
      <c r="E277" s="73"/>
      <c r="F277" s="73">
        <f t="shared" si="40"/>
        <v>5.2630000000000003E-2</v>
      </c>
      <c r="G277" s="73">
        <f t="shared" si="40"/>
        <v>5.2630000000000003E-2</v>
      </c>
      <c r="H277" s="73"/>
      <c r="I277" s="73">
        <f t="shared" si="40"/>
        <v>5.2630000000000003E-2</v>
      </c>
      <c r="J277" s="73">
        <f t="shared" si="40"/>
        <v>5.2630000000000003E-2</v>
      </c>
      <c r="K277" s="73"/>
      <c r="L277" s="73">
        <f>L278</f>
        <v>5.2630000000000003E-2</v>
      </c>
    </row>
    <row r="278" spans="1:12" x14ac:dyDescent="0.25">
      <c r="A278" s="17"/>
      <c r="B278" s="16"/>
      <c r="C278" s="3" t="s">
        <v>150</v>
      </c>
      <c r="D278" s="73">
        <v>5.2630000000000003E-2</v>
      </c>
      <c r="E278" s="73"/>
      <c r="F278" s="73">
        <v>5.2630000000000003E-2</v>
      </c>
      <c r="G278" s="73">
        <v>5.2630000000000003E-2</v>
      </c>
      <c r="H278" s="73"/>
      <c r="I278" s="73">
        <v>5.2630000000000003E-2</v>
      </c>
      <c r="J278" s="73">
        <v>5.2630000000000003E-2</v>
      </c>
      <c r="K278" s="73"/>
      <c r="L278" s="73">
        <v>5.2630000000000003E-2</v>
      </c>
    </row>
    <row r="279" spans="1:12" ht="25.5" x14ac:dyDescent="0.25">
      <c r="A279" s="16" t="s">
        <v>492</v>
      </c>
      <c r="B279" s="16"/>
      <c r="C279" s="7" t="s">
        <v>544</v>
      </c>
      <c r="D279" s="73">
        <f t="shared" ref="D279:J280" si="41">D280</f>
        <v>0</v>
      </c>
      <c r="E279" s="73"/>
      <c r="F279" s="73">
        <f t="shared" si="41"/>
        <v>0</v>
      </c>
      <c r="G279" s="73">
        <f t="shared" si="41"/>
        <v>0.10526000000000001</v>
      </c>
      <c r="H279" s="73"/>
      <c r="I279" s="73">
        <f t="shared" si="41"/>
        <v>0.10526000000000001</v>
      </c>
      <c r="J279" s="73">
        <f t="shared" si="41"/>
        <v>0.10526000000000001</v>
      </c>
      <c r="K279" s="73"/>
      <c r="L279" s="73">
        <f>L280</f>
        <v>0.10526000000000001</v>
      </c>
    </row>
    <row r="280" spans="1:12" ht="25.5" x14ac:dyDescent="0.25">
      <c r="A280" s="17"/>
      <c r="B280" s="16" t="s">
        <v>471</v>
      </c>
      <c r="C280" s="1" t="s">
        <v>472</v>
      </c>
      <c r="D280" s="73">
        <v>0</v>
      </c>
      <c r="E280" s="73"/>
      <c r="F280" s="73">
        <f t="shared" si="41"/>
        <v>0</v>
      </c>
      <c r="G280" s="73">
        <f t="shared" si="41"/>
        <v>0.10526000000000001</v>
      </c>
      <c r="H280" s="73"/>
      <c r="I280" s="73">
        <f t="shared" si="41"/>
        <v>0.10526000000000001</v>
      </c>
      <c r="J280" s="73">
        <f t="shared" si="41"/>
        <v>0.10526000000000001</v>
      </c>
      <c r="K280" s="73"/>
      <c r="L280" s="73">
        <f>L281</f>
        <v>0.10526000000000001</v>
      </c>
    </row>
    <row r="281" spans="1:12" x14ac:dyDescent="0.25">
      <c r="A281" s="17"/>
      <c r="B281" s="16"/>
      <c r="C281" s="3" t="s">
        <v>150</v>
      </c>
      <c r="D281" s="73">
        <v>0</v>
      </c>
      <c r="E281" s="73"/>
      <c r="F281" s="73">
        <v>0</v>
      </c>
      <c r="G281" s="73">
        <v>0.10526000000000001</v>
      </c>
      <c r="H281" s="73"/>
      <c r="I281" s="73">
        <v>0.10526000000000001</v>
      </c>
      <c r="J281" s="73">
        <v>0.10526000000000001</v>
      </c>
      <c r="K281" s="73"/>
      <c r="L281" s="73">
        <v>0.10526000000000001</v>
      </c>
    </row>
    <row r="282" spans="1:12" x14ac:dyDescent="0.25">
      <c r="A282" s="31" t="s">
        <v>243</v>
      </c>
      <c r="B282" s="31"/>
      <c r="C282" s="32" t="s">
        <v>244</v>
      </c>
      <c r="D282" s="75">
        <f>D283</f>
        <v>291.60000000000002</v>
      </c>
      <c r="E282" s="75"/>
      <c r="F282" s="75">
        <f>F283</f>
        <v>291.60000000000002</v>
      </c>
      <c r="G282" s="75">
        <f>G283</f>
        <v>291.60000000000002</v>
      </c>
      <c r="H282" s="75"/>
      <c r="I282" s="75">
        <f>I283</f>
        <v>291.60000000000002</v>
      </c>
      <c r="J282" s="75">
        <f>J283</f>
        <v>0</v>
      </c>
      <c r="K282" s="75"/>
      <c r="L282" s="75">
        <f>L283</f>
        <v>0</v>
      </c>
    </row>
    <row r="283" spans="1:12" ht="26.25" x14ac:dyDescent="0.25">
      <c r="A283" s="33" t="s">
        <v>245</v>
      </c>
      <c r="B283" s="33"/>
      <c r="C283" s="34" t="s">
        <v>246</v>
      </c>
      <c r="D283" s="71">
        <f>D284+D286</f>
        <v>291.60000000000002</v>
      </c>
      <c r="E283" s="71"/>
      <c r="F283" s="71">
        <f>F284+F286</f>
        <v>291.60000000000002</v>
      </c>
      <c r="G283" s="71">
        <f>G284+G286</f>
        <v>291.60000000000002</v>
      </c>
      <c r="H283" s="71"/>
      <c r="I283" s="71">
        <f>I284+I286</f>
        <v>291.60000000000002</v>
      </c>
      <c r="J283" s="71">
        <f>J284+J286</f>
        <v>0</v>
      </c>
      <c r="K283" s="71"/>
      <c r="L283" s="71">
        <f>L284+L286</f>
        <v>0</v>
      </c>
    </row>
    <row r="284" spans="1:12" ht="90" x14ac:dyDescent="0.25">
      <c r="A284" s="6" t="s">
        <v>247</v>
      </c>
      <c r="B284" s="6"/>
      <c r="C284" s="3" t="s">
        <v>248</v>
      </c>
      <c r="D284" s="70">
        <f>D285</f>
        <v>225.1</v>
      </c>
      <c r="E284" s="70"/>
      <c r="F284" s="70">
        <f>F285</f>
        <v>225.1</v>
      </c>
      <c r="G284" s="70">
        <f>G285</f>
        <v>225.1</v>
      </c>
      <c r="H284" s="70"/>
      <c r="I284" s="70">
        <f>I285</f>
        <v>225.1</v>
      </c>
      <c r="J284" s="70">
        <f>J285</f>
        <v>0</v>
      </c>
      <c r="K284" s="70"/>
      <c r="L284" s="70">
        <f>L285</f>
        <v>0</v>
      </c>
    </row>
    <row r="285" spans="1:12" ht="26.25" x14ac:dyDescent="0.25">
      <c r="A285" s="6"/>
      <c r="B285" s="6" t="s">
        <v>471</v>
      </c>
      <c r="C285" s="3" t="s">
        <v>472</v>
      </c>
      <c r="D285" s="70">
        <f>237-11.9</f>
        <v>225.1</v>
      </c>
      <c r="E285" s="70"/>
      <c r="F285" s="70">
        <f>237-11.9</f>
        <v>225.1</v>
      </c>
      <c r="G285" s="70">
        <f>237-11.9</f>
        <v>225.1</v>
      </c>
      <c r="H285" s="70"/>
      <c r="I285" s="70">
        <f>237-11.9</f>
        <v>225.1</v>
      </c>
      <c r="J285" s="70">
        <v>0</v>
      </c>
      <c r="K285" s="70"/>
      <c r="L285" s="70">
        <v>0</v>
      </c>
    </row>
    <row r="286" spans="1:12" x14ac:dyDescent="0.25">
      <c r="A286" s="16" t="s">
        <v>249</v>
      </c>
      <c r="B286" s="16"/>
      <c r="C286" s="1" t="s">
        <v>250</v>
      </c>
      <c r="D286" s="70">
        <f>D287</f>
        <v>66.5</v>
      </c>
      <c r="E286" s="70"/>
      <c r="F286" s="70">
        <f>F287</f>
        <v>66.5</v>
      </c>
      <c r="G286" s="70">
        <f>G287</f>
        <v>66.5</v>
      </c>
      <c r="H286" s="70"/>
      <c r="I286" s="70">
        <f>I287</f>
        <v>66.5</v>
      </c>
      <c r="J286" s="70">
        <f>J287</f>
        <v>0</v>
      </c>
      <c r="K286" s="70"/>
      <c r="L286" s="70">
        <f>L287</f>
        <v>0</v>
      </c>
    </row>
    <row r="287" spans="1:12" ht="26.25" x14ac:dyDescent="0.25">
      <c r="A287" s="16"/>
      <c r="B287" s="6" t="s">
        <v>471</v>
      </c>
      <c r="C287" s="3" t="s">
        <v>472</v>
      </c>
      <c r="D287" s="70">
        <f>D289</f>
        <v>66.5</v>
      </c>
      <c r="E287" s="70"/>
      <c r="F287" s="70">
        <f>F289</f>
        <v>66.5</v>
      </c>
      <c r="G287" s="70">
        <f>G289</f>
        <v>66.5</v>
      </c>
      <c r="H287" s="70"/>
      <c r="I287" s="70">
        <f>I289</f>
        <v>66.5</v>
      </c>
      <c r="J287" s="70">
        <f>J289</f>
        <v>0</v>
      </c>
      <c r="K287" s="70"/>
      <c r="L287" s="70">
        <f>L289</f>
        <v>0</v>
      </c>
    </row>
    <row r="288" spans="1:12" x14ac:dyDescent="0.25">
      <c r="A288" s="6"/>
      <c r="B288" s="6"/>
      <c r="C288" s="1" t="s">
        <v>186</v>
      </c>
      <c r="D288" s="70">
        <v>0</v>
      </c>
      <c r="E288" s="70"/>
      <c r="F288" s="70">
        <v>0</v>
      </c>
      <c r="G288" s="70">
        <v>0</v>
      </c>
      <c r="H288" s="70"/>
      <c r="I288" s="70">
        <v>0</v>
      </c>
      <c r="J288" s="70">
        <v>0</v>
      </c>
      <c r="K288" s="70"/>
      <c r="L288" s="70">
        <v>0</v>
      </c>
    </row>
    <row r="289" spans="1:12" x14ac:dyDescent="0.25">
      <c r="A289" s="6"/>
      <c r="B289" s="6"/>
      <c r="C289" s="1" t="s">
        <v>150</v>
      </c>
      <c r="D289" s="70">
        <f>70-3.5</f>
        <v>66.5</v>
      </c>
      <c r="E289" s="70"/>
      <c r="F289" s="70">
        <f>70-3.5</f>
        <v>66.5</v>
      </c>
      <c r="G289" s="70">
        <f>70-3.5</f>
        <v>66.5</v>
      </c>
      <c r="H289" s="70"/>
      <c r="I289" s="70">
        <f>70-3.5</f>
        <v>66.5</v>
      </c>
      <c r="J289" s="70">
        <v>0</v>
      </c>
      <c r="K289" s="70"/>
      <c r="L289" s="70">
        <v>0</v>
      </c>
    </row>
    <row r="290" spans="1:12" x14ac:dyDescent="0.25">
      <c r="A290" s="31" t="s">
        <v>251</v>
      </c>
      <c r="B290" s="31"/>
      <c r="C290" s="32" t="s">
        <v>252</v>
      </c>
      <c r="D290" s="75">
        <f t="shared" ref="D290:L292" si="42">D291</f>
        <v>1487.8</v>
      </c>
      <c r="E290" s="75"/>
      <c r="F290" s="75">
        <f t="shared" si="42"/>
        <v>1487.8</v>
      </c>
      <c r="G290" s="75">
        <f t="shared" si="42"/>
        <v>1487.8</v>
      </c>
      <c r="H290" s="75"/>
      <c r="I290" s="75">
        <f t="shared" si="42"/>
        <v>1487.8</v>
      </c>
      <c r="J290" s="75">
        <f t="shared" si="42"/>
        <v>1487.8</v>
      </c>
      <c r="K290" s="75"/>
      <c r="L290" s="75">
        <f t="shared" si="42"/>
        <v>1487.8</v>
      </c>
    </row>
    <row r="291" spans="1:12" ht="51.75" x14ac:dyDescent="0.25">
      <c r="A291" s="33" t="s">
        <v>253</v>
      </c>
      <c r="B291" s="33"/>
      <c r="C291" s="34" t="s">
        <v>254</v>
      </c>
      <c r="D291" s="71">
        <f t="shared" si="42"/>
        <v>1487.8</v>
      </c>
      <c r="E291" s="71"/>
      <c r="F291" s="71">
        <f t="shared" si="42"/>
        <v>1487.8</v>
      </c>
      <c r="G291" s="71">
        <f t="shared" si="42"/>
        <v>1487.8</v>
      </c>
      <c r="H291" s="71"/>
      <c r="I291" s="71">
        <f t="shared" si="42"/>
        <v>1487.8</v>
      </c>
      <c r="J291" s="71">
        <f t="shared" si="42"/>
        <v>1487.8</v>
      </c>
      <c r="K291" s="71"/>
      <c r="L291" s="71">
        <f t="shared" si="42"/>
        <v>1487.8</v>
      </c>
    </row>
    <row r="292" spans="1:12" ht="26.25" x14ac:dyDescent="0.25">
      <c r="A292" s="6" t="s">
        <v>255</v>
      </c>
      <c r="B292" s="6"/>
      <c r="C292" s="3" t="s">
        <v>478</v>
      </c>
      <c r="D292" s="70">
        <f>D293</f>
        <v>1487.8</v>
      </c>
      <c r="E292" s="70"/>
      <c r="F292" s="70">
        <f>F293</f>
        <v>1487.8</v>
      </c>
      <c r="G292" s="70">
        <f t="shared" si="42"/>
        <v>1487.8</v>
      </c>
      <c r="H292" s="70"/>
      <c r="I292" s="70">
        <f t="shared" si="42"/>
        <v>1487.8</v>
      </c>
      <c r="J292" s="70">
        <f t="shared" si="42"/>
        <v>1487.8</v>
      </c>
      <c r="K292" s="70"/>
      <c r="L292" s="70">
        <f t="shared" si="42"/>
        <v>1487.8</v>
      </c>
    </row>
    <row r="293" spans="1:12" ht="26.25" x14ac:dyDescent="0.25">
      <c r="A293" s="6"/>
      <c r="B293" s="6" t="s">
        <v>471</v>
      </c>
      <c r="C293" s="3" t="s">
        <v>472</v>
      </c>
      <c r="D293" s="70">
        <v>1487.8</v>
      </c>
      <c r="E293" s="70"/>
      <c r="F293" s="70">
        <v>1487.8</v>
      </c>
      <c r="G293" s="70">
        <v>1487.8</v>
      </c>
      <c r="H293" s="70"/>
      <c r="I293" s="70">
        <v>1487.8</v>
      </c>
      <c r="J293" s="70">
        <v>1487.8</v>
      </c>
      <c r="K293" s="70"/>
      <c r="L293" s="70">
        <v>1487.8</v>
      </c>
    </row>
    <row r="294" spans="1:12" ht="26.25" x14ac:dyDescent="0.25">
      <c r="A294" s="29" t="s">
        <v>256</v>
      </c>
      <c r="B294" s="29"/>
      <c r="C294" s="37" t="s">
        <v>257</v>
      </c>
      <c r="D294" s="72">
        <f t="shared" ref="D294:J294" si="43">D295+D301+D308</f>
        <v>5647.03</v>
      </c>
      <c r="E294" s="72">
        <f>E295+E301+E308</f>
        <v>-38.330000000000013</v>
      </c>
      <c r="F294" s="72">
        <f t="shared" si="43"/>
        <v>5608.7</v>
      </c>
      <c r="G294" s="72">
        <f t="shared" si="43"/>
        <v>0</v>
      </c>
      <c r="H294" s="72"/>
      <c r="I294" s="72">
        <f t="shared" si="43"/>
        <v>0</v>
      </c>
      <c r="J294" s="72">
        <f t="shared" si="43"/>
        <v>0</v>
      </c>
      <c r="K294" s="72"/>
      <c r="L294" s="72">
        <f>L295+L301+L308</f>
        <v>0</v>
      </c>
    </row>
    <row r="295" spans="1:12" ht="39" x14ac:dyDescent="0.25">
      <c r="A295" s="33" t="s">
        <v>258</v>
      </c>
      <c r="B295" s="36"/>
      <c r="C295" s="34" t="s">
        <v>685</v>
      </c>
      <c r="D295" s="71">
        <f>D296+D298</f>
        <v>1647.03</v>
      </c>
      <c r="E295" s="71">
        <f>E296+E298</f>
        <v>-138.33000000000001</v>
      </c>
      <c r="F295" s="71">
        <f>F296+F298</f>
        <v>1508.7</v>
      </c>
      <c r="G295" s="71">
        <f t="shared" ref="D295:J296" si="44">G296</f>
        <v>0</v>
      </c>
      <c r="H295" s="71"/>
      <c r="I295" s="71">
        <f t="shared" si="44"/>
        <v>0</v>
      </c>
      <c r="J295" s="71">
        <f t="shared" si="44"/>
        <v>0</v>
      </c>
      <c r="K295" s="71"/>
      <c r="L295" s="71">
        <f>L296</f>
        <v>0</v>
      </c>
    </row>
    <row r="296" spans="1:12" ht="51.75" x14ac:dyDescent="0.25">
      <c r="A296" s="6" t="s">
        <v>260</v>
      </c>
      <c r="B296" s="6"/>
      <c r="C296" s="3" t="s">
        <v>545</v>
      </c>
      <c r="D296" s="70">
        <f t="shared" si="44"/>
        <v>1508.7</v>
      </c>
      <c r="E296" s="70"/>
      <c r="F296" s="70">
        <f t="shared" si="44"/>
        <v>1508.7</v>
      </c>
      <c r="G296" s="70">
        <f t="shared" si="44"/>
        <v>0</v>
      </c>
      <c r="H296" s="70"/>
      <c r="I296" s="70">
        <f t="shared" si="44"/>
        <v>0</v>
      </c>
      <c r="J296" s="70">
        <f t="shared" si="44"/>
        <v>0</v>
      </c>
      <c r="K296" s="70"/>
      <c r="L296" s="70">
        <f>L297</f>
        <v>0</v>
      </c>
    </row>
    <row r="297" spans="1:12" ht="26.25" x14ac:dyDescent="0.25">
      <c r="A297" s="6"/>
      <c r="B297" s="6" t="s">
        <v>471</v>
      </c>
      <c r="C297" s="3" t="s">
        <v>472</v>
      </c>
      <c r="D297" s="70">
        <v>1508.7</v>
      </c>
      <c r="E297" s="70"/>
      <c r="F297" s="70">
        <v>1508.7</v>
      </c>
      <c r="G297" s="70">
        <v>0</v>
      </c>
      <c r="H297" s="70"/>
      <c r="I297" s="70">
        <v>0</v>
      </c>
      <c r="J297" s="70">
        <v>0</v>
      </c>
      <c r="K297" s="70"/>
      <c r="L297" s="70">
        <v>0</v>
      </c>
    </row>
    <row r="298" spans="1:12" x14ac:dyDescent="0.25">
      <c r="A298" s="6" t="s">
        <v>830</v>
      </c>
      <c r="B298" s="6"/>
      <c r="C298" s="3" t="s">
        <v>831</v>
      </c>
      <c r="D298" s="70">
        <f t="shared" ref="D298:F299" si="45">D299</f>
        <v>138.33000000000001</v>
      </c>
      <c r="E298" s="70">
        <f>E299</f>
        <v>-138.33000000000001</v>
      </c>
      <c r="F298" s="70">
        <f t="shared" si="45"/>
        <v>0</v>
      </c>
      <c r="G298" s="70">
        <v>0</v>
      </c>
      <c r="H298" s="70"/>
      <c r="I298" s="70">
        <v>0</v>
      </c>
      <c r="J298" s="70">
        <v>0</v>
      </c>
      <c r="K298" s="70"/>
      <c r="L298" s="70">
        <v>0</v>
      </c>
    </row>
    <row r="299" spans="1:12" ht="26.25" x14ac:dyDescent="0.25">
      <c r="A299" s="6"/>
      <c r="B299" s="6" t="s">
        <v>471</v>
      </c>
      <c r="C299" s="3" t="s">
        <v>472</v>
      </c>
      <c r="D299" s="70">
        <f t="shared" si="45"/>
        <v>138.33000000000001</v>
      </c>
      <c r="E299" s="70">
        <f>E300</f>
        <v>-138.33000000000001</v>
      </c>
      <c r="F299" s="70">
        <f t="shared" si="45"/>
        <v>0</v>
      </c>
      <c r="G299" s="70">
        <v>0</v>
      </c>
      <c r="H299" s="70"/>
      <c r="I299" s="70">
        <v>0</v>
      </c>
      <c r="J299" s="70">
        <v>0</v>
      </c>
      <c r="K299" s="70"/>
      <c r="L299" s="70">
        <v>0</v>
      </c>
    </row>
    <row r="300" spans="1:12" x14ac:dyDescent="0.25">
      <c r="A300" s="6"/>
      <c r="B300" s="6"/>
      <c r="C300" s="1" t="s">
        <v>150</v>
      </c>
      <c r="D300" s="70">
        <v>138.33000000000001</v>
      </c>
      <c r="E300" s="80">
        <v>-138.33000000000001</v>
      </c>
      <c r="F300" s="70">
        <f>SUM(D300:E300)</f>
        <v>0</v>
      </c>
      <c r="G300" s="70">
        <v>0</v>
      </c>
      <c r="H300" s="70"/>
      <c r="I300" s="70">
        <v>0</v>
      </c>
      <c r="J300" s="70">
        <v>0</v>
      </c>
      <c r="K300" s="70"/>
      <c r="L300" s="70">
        <v>0</v>
      </c>
    </row>
    <row r="301" spans="1:12" ht="39" x14ac:dyDescent="0.25">
      <c r="A301" s="33" t="s">
        <v>262</v>
      </c>
      <c r="B301" s="33"/>
      <c r="C301" s="34" t="s">
        <v>263</v>
      </c>
      <c r="D301" s="71">
        <f t="shared" ref="D301:J302" si="46">D302</f>
        <v>4000</v>
      </c>
      <c r="E301" s="71">
        <f>E306</f>
        <v>100</v>
      </c>
      <c r="F301" s="71">
        <f>F302+F306</f>
        <v>4100</v>
      </c>
      <c r="G301" s="71">
        <f t="shared" si="46"/>
        <v>0</v>
      </c>
      <c r="H301" s="71"/>
      <c r="I301" s="71">
        <f t="shared" si="46"/>
        <v>0</v>
      </c>
      <c r="J301" s="71">
        <f t="shared" si="46"/>
        <v>0</v>
      </c>
      <c r="K301" s="71"/>
      <c r="L301" s="71">
        <f>L302</f>
        <v>0</v>
      </c>
    </row>
    <row r="302" spans="1:12" ht="39" x14ac:dyDescent="0.25">
      <c r="A302" s="6" t="s">
        <v>264</v>
      </c>
      <c r="B302" s="6"/>
      <c r="C302" s="3" t="s">
        <v>265</v>
      </c>
      <c r="D302" s="70">
        <f t="shared" si="46"/>
        <v>4000</v>
      </c>
      <c r="E302" s="70"/>
      <c r="F302" s="70">
        <f t="shared" si="46"/>
        <v>4000</v>
      </c>
      <c r="G302" s="70">
        <f t="shared" si="46"/>
        <v>0</v>
      </c>
      <c r="H302" s="70"/>
      <c r="I302" s="70">
        <f t="shared" si="46"/>
        <v>0</v>
      </c>
      <c r="J302" s="70">
        <f t="shared" si="46"/>
        <v>0</v>
      </c>
      <c r="K302" s="70"/>
      <c r="L302" s="70">
        <f>L303</f>
        <v>0</v>
      </c>
    </row>
    <row r="303" spans="1:12" ht="26.25" x14ac:dyDescent="0.25">
      <c r="A303" s="6"/>
      <c r="B303" s="6" t="s">
        <v>471</v>
      </c>
      <c r="C303" s="3" t="s">
        <v>472</v>
      </c>
      <c r="D303" s="70">
        <f>D304+D305</f>
        <v>4000</v>
      </c>
      <c r="E303" s="70"/>
      <c r="F303" s="70">
        <f>F304+F305</f>
        <v>4000</v>
      </c>
      <c r="G303" s="70">
        <f>G304+G305</f>
        <v>0</v>
      </c>
      <c r="H303" s="70"/>
      <c r="I303" s="70">
        <f>I304+I305</f>
        <v>0</v>
      </c>
      <c r="J303" s="70">
        <v>0</v>
      </c>
      <c r="K303" s="70"/>
      <c r="L303" s="70">
        <v>0</v>
      </c>
    </row>
    <row r="304" spans="1:12" x14ac:dyDescent="0.25">
      <c r="A304" s="6"/>
      <c r="B304" s="6"/>
      <c r="C304" s="3" t="s">
        <v>153</v>
      </c>
      <c r="D304" s="80">
        <v>3000</v>
      </c>
      <c r="E304" s="70"/>
      <c r="F304" s="80">
        <v>3000</v>
      </c>
      <c r="G304" s="80">
        <v>0</v>
      </c>
      <c r="H304" s="80"/>
      <c r="I304" s="80">
        <v>0</v>
      </c>
      <c r="J304" s="80">
        <v>0</v>
      </c>
      <c r="K304" s="80"/>
      <c r="L304" s="80">
        <v>0</v>
      </c>
    </row>
    <row r="305" spans="1:12" s="94" customFormat="1" x14ac:dyDescent="0.25">
      <c r="A305" s="92"/>
      <c r="B305" s="92"/>
      <c r="C305" s="3" t="s">
        <v>105</v>
      </c>
      <c r="D305" s="70">
        <v>1000</v>
      </c>
      <c r="E305" s="70"/>
      <c r="F305" s="70">
        <v>1000</v>
      </c>
      <c r="G305" s="70">
        <v>0</v>
      </c>
      <c r="H305" s="70"/>
      <c r="I305" s="70">
        <v>0</v>
      </c>
      <c r="J305" s="70">
        <v>0</v>
      </c>
      <c r="K305" s="70"/>
      <c r="L305" s="70">
        <v>0</v>
      </c>
    </row>
    <row r="306" spans="1:12" s="94" customFormat="1" ht="51.75" x14ac:dyDescent="0.25">
      <c r="A306" s="6" t="s">
        <v>933</v>
      </c>
      <c r="B306" s="6"/>
      <c r="C306" s="3" t="s">
        <v>934</v>
      </c>
      <c r="D306" s="70">
        <v>0</v>
      </c>
      <c r="E306" s="70">
        <f>E307</f>
        <v>100</v>
      </c>
      <c r="F306" s="70">
        <f>F307</f>
        <v>100</v>
      </c>
      <c r="G306" s="70">
        <v>0</v>
      </c>
      <c r="H306" s="70"/>
      <c r="I306" s="70">
        <v>0</v>
      </c>
      <c r="J306" s="70">
        <v>0</v>
      </c>
      <c r="K306" s="70"/>
      <c r="L306" s="70">
        <v>0</v>
      </c>
    </row>
    <row r="307" spans="1:12" s="94" customFormat="1" ht="26.25" x14ac:dyDescent="0.25">
      <c r="A307" s="6"/>
      <c r="B307" s="6" t="s">
        <v>471</v>
      </c>
      <c r="C307" s="3" t="s">
        <v>472</v>
      </c>
      <c r="D307" s="70">
        <v>0</v>
      </c>
      <c r="E307" s="70">
        <v>100</v>
      </c>
      <c r="F307" s="70">
        <f>E307</f>
        <v>100</v>
      </c>
      <c r="G307" s="70">
        <v>0</v>
      </c>
      <c r="H307" s="70"/>
      <c r="I307" s="70">
        <v>0</v>
      </c>
      <c r="J307" s="70">
        <v>0</v>
      </c>
      <c r="K307" s="70"/>
      <c r="L307" s="70">
        <v>0</v>
      </c>
    </row>
    <row r="308" spans="1:12" ht="26.25" x14ac:dyDescent="0.25">
      <c r="A308" s="66" t="s">
        <v>441</v>
      </c>
      <c r="B308" s="66"/>
      <c r="C308" s="66" t="s">
        <v>442</v>
      </c>
      <c r="D308" s="71">
        <f>D309</f>
        <v>0</v>
      </c>
      <c r="E308" s="71"/>
      <c r="F308" s="71">
        <f>F309</f>
        <v>0</v>
      </c>
      <c r="G308" s="71">
        <f>G309</f>
        <v>0</v>
      </c>
      <c r="H308" s="71">
        <f>H309</f>
        <v>0</v>
      </c>
      <c r="I308" s="71">
        <f>I309</f>
        <v>0</v>
      </c>
      <c r="J308" s="71">
        <f>J309</f>
        <v>0</v>
      </c>
      <c r="K308" s="71"/>
      <c r="L308" s="71">
        <f>L309</f>
        <v>0</v>
      </c>
    </row>
    <row r="309" spans="1:12" ht="26.25" x14ac:dyDescent="0.25">
      <c r="A309" s="6" t="s">
        <v>443</v>
      </c>
      <c r="B309" s="6"/>
      <c r="C309" s="3" t="s">
        <v>266</v>
      </c>
      <c r="D309" s="70">
        <v>0</v>
      </c>
      <c r="E309" s="70"/>
      <c r="F309" s="70">
        <v>0</v>
      </c>
      <c r="G309" s="70">
        <f>G310</f>
        <v>0</v>
      </c>
      <c r="H309" s="70"/>
      <c r="I309" s="70">
        <f>I310</f>
        <v>0</v>
      </c>
      <c r="J309" s="70">
        <v>0</v>
      </c>
      <c r="K309" s="70"/>
      <c r="L309" s="70">
        <v>0</v>
      </c>
    </row>
    <row r="310" spans="1:12" ht="26.25" x14ac:dyDescent="0.25">
      <c r="A310" s="6"/>
      <c r="B310" s="6" t="s">
        <v>471</v>
      </c>
      <c r="C310" s="3" t="s">
        <v>472</v>
      </c>
      <c r="D310" s="70">
        <v>0</v>
      </c>
      <c r="E310" s="70"/>
      <c r="F310" s="70">
        <v>0</v>
      </c>
      <c r="G310" s="70">
        <f>G312</f>
        <v>0</v>
      </c>
      <c r="H310" s="70"/>
      <c r="I310" s="70">
        <f>I312</f>
        <v>0</v>
      </c>
      <c r="J310" s="70">
        <v>0</v>
      </c>
      <c r="K310" s="70"/>
      <c r="L310" s="70">
        <v>0</v>
      </c>
    </row>
    <row r="311" spans="1:12" x14ac:dyDescent="0.25">
      <c r="A311" s="6"/>
      <c r="B311" s="6"/>
      <c r="C311" s="3" t="s">
        <v>153</v>
      </c>
      <c r="D311" s="80">
        <v>0</v>
      </c>
      <c r="E311" s="80"/>
      <c r="F311" s="80">
        <v>0</v>
      </c>
      <c r="G311" s="80">
        <v>0</v>
      </c>
      <c r="H311" s="80"/>
      <c r="I311" s="80">
        <v>0</v>
      </c>
      <c r="J311" s="80">
        <v>0</v>
      </c>
      <c r="K311" s="80"/>
      <c r="L311" s="80">
        <v>0</v>
      </c>
    </row>
    <row r="312" spans="1:12" x14ac:dyDescent="0.25">
      <c r="A312" s="6"/>
      <c r="B312" s="6"/>
      <c r="C312" s="3" t="s">
        <v>105</v>
      </c>
      <c r="D312" s="70">
        <v>0</v>
      </c>
      <c r="E312" s="70"/>
      <c r="F312" s="70">
        <v>0</v>
      </c>
      <c r="G312" s="70">
        <v>0</v>
      </c>
      <c r="H312" s="70"/>
      <c r="I312" s="70">
        <v>0</v>
      </c>
      <c r="J312" s="70">
        <v>0</v>
      </c>
      <c r="K312" s="70"/>
      <c r="L312" s="70">
        <v>0</v>
      </c>
    </row>
    <row r="313" spans="1:12" ht="42" customHeight="1" x14ac:dyDescent="0.25">
      <c r="A313" s="29" t="s">
        <v>267</v>
      </c>
      <c r="B313" s="29"/>
      <c r="C313" s="37" t="s">
        <v>268</v>
      </c>
      <c r="D313" s="72">
        <f>D314+D320</f>
        <v>956.09999999999991</v>
      </c>
      <c r="E313" s="72">
        <f>E314+E320</f>
        <v>-50.499999999999993</v>
      </c>
      <c r="F313" s="72">
        <f t="shared" ref="F313:L313" si="47">F314+F320</f>
        <v>905.59999999999991</v>
      </c>
      <c r="G313" s="72">
        <f t="shared" si="47"/>
        <v>905.7</v>
      </c>
      <c r="H313" s="72"/>
      <c r="I313" s="72">
        <f t="shared" si="47"/>
        <v>905.7</v>
      </c>
      <c r="J313" s="72">
        <f t="shared" si="47"/>
        <v>905.7</v>
      </c>
      <c r="K313" s="72"/>
      <c r="L313" s="72">
        <f t="shared" si="47"/>
        <v>905.7</v>
      </c>
    </row>
    <row r="314" spans="1:12" ht="26.25" x14ac:dyDescent="0.25">
      <c r="A314" s="31" t="s">
        <v>269</v>
      </c>
      <c r="B314" s="31"/>
      <c r="C314" s="32" t="s">
        <v>270</v>
      </c>
      <c r="D314" s="75">
        <f>D315</f>
        <v>562</v>
      </c>
      <c r="E314" s="75">
        <f>E315</f>
        <v>-87.6</v>
      </c>
      <c r="F314" s="75">
        <f>F315</f>
        <v>474.4</v>
      </c>
      <c r="G314" s="75">
        <f>G315</f>
        <v>562</v>
      </c>
      <c r="H314" s="75"/>
      <c r="I314" s="75">
        <f>I315</f>
        <v>562</v>
      </c>
      <c r="J314" s="75">
        <f>J315</f>
        <v>562</v>
      </c>
      <c r="K314" s="75"/>
      <c r="L314" s="75">
        <f>L315</f>
        <v>562</v>
      </c>
    </row>
    <row r="315" spans="1:12" ht="39" x14ac:dyDescent="0.25">
      <c r="A315" s="33" t="s">
        <v>271</v>
      </c>
      <c r="B315" s="36"/>
      <c r="C315" s="34" t="s">
        <v>272</v>
      </c>
      <c r="D315" s="71">
        <f>D316+D318</f>
        <v>562</v>
      </c>
      <c r="E315" s="71">
        <f>E316+E318</f>
        <v>-87.6</v>
      </c>
      <c r="F315" s="71">
        <f>F316+F318</f>
        <v>474.4</v>
      </c>
      <c r="G315" s="71">
        <f>G316+G318</f>
        <v>562</v>
      </c>
      <c r="H315" s="71"/>
      <c r="I315" s="71">
        <f>I316+I318</f>
        <v>562</v>
      </c>
      <c r="J315" s="71">
        <f>J316+J318</f>
        <v>562</v>
      </c>
      <c r="K315" s="71"/>
      <c r="L315" s="71">
        <f>L316+L318</f>
        <v>562</v>
      </c>
    </row>
    <row r="316" spans="1:12" ht="39" x14ac:dyDescent="0.25">
      <c r="A316" s="6" t="s">
        <v>273</v>
      </c>
      <c r="B316" s="6"/>
      <c r="C316" s="3" t="s">
        <v>274</v>
      </c>
      <c r="D316" s="70">
        <v>10</v>
      </c>
      <c r="E316" s="70">
        <f>E317</f>
        <v>-6.5</v>
      </c>
      <c r="F316" s="70">
        <f>F317</f>
        <v>3.5</v>
      </c>
      <c r="G316" s="70">
        <f>G317</f>
        <v>10</v>
      </c>
      <c r="H316" s="70"/>
      <c r="I316" s="70">
        <f>I317</f>
        <v>10</v>
      </c>
      <c r="J316" s="70">
        <f>J317</f>
        <v>10</v>
      </c>
      <c r="K316" s="70"/>
      <c r="L316" s="70">
        <f>L317</f>
        <v>10</v>
      </c>
    </row>
    <row r="317" spans="1:12" ht="26.25" x14ac:dyDescent="0.25">
      <c r="A317" s="6"/>
      <c r="B317" s="6" t="s">
        <v>281</v>
      </c>
      <c r="C317" s="3" t="s">
        <v>282</v>
      </c>
      <c r="D317" s="70">
        <v>10</v>
      </c>
      <c r="E317" s="70">
        <v>-6.5</v>
      </c>
      <c r="F317" s="70">
        <f>SUM(D317:E317)</f>
        <v>3.5</v>
      </c>
      <c r="G317" s="70">
        <v>10</v>
      </c>
      <c r="H317" s="70"/>
      <c r="I317" s="70">
        <v>10</v>
      </c>
      <c r="J317" s="70">
        <v>10</v>
      </c>
      <c r="K317" s="70"/>
      <c r="L317" s="70">
        <v>10</v>
      </c>
    </row>
    <row r="318" spans="1:12" ht="51.75" x14ac:dyDescent="0.25">
      <c r="A318" s="6" t="s">
        <v>275</v>
      </c>
      <c r="B318" s="6"/>
      <c r="C318" s="3" t="s">
        <v>276</v>
      </c>
      <c r="D318" s="70">
        <f>D319</f>
        <v>552</v>
      </c>
      <c r="E318" s="70">
        <f>E319</f>
        <v>-81.099999999999994</v>
      </c>
      <c r="F318" s="70">
        <f>F319</f>
        <v>470.9</v>
      </c>
      <c r="G318" s="70">
        <f>G319</f>
        <v>552</v>
      </c>
      <c r="H318" s="70"/>
      <c r="I318" s="70">
        <f>I319</f>
        <v>552</v>
      </c>
      <c r="J318" s="70">
        <f>J319</f>
        <v>552</v>
      </c>
      <c r="K318" s="70"/>
      <c r="L318" s="70">
        <f>L319</f>
        <v>552</v>
      </c>
    </row>
    <row r="319" spans="1:12" ht="26.25" x14ac:dyDescent="0.25">
      <c r="A319" s="6"/>
      <c r="B319" s="6" t="s">
        <v>281</v>
      </c>
      <c r="C319" s="3" t="s">
        <v>282</v>
      </c>
      <c r="D319" s="70">
        <v>552</v>
      </c>
      <c r="E319" s="70">
        <v>-81.099999999999994</v>
      </c>
      <c r="F319" s="70">
        <f>SUM(D319:E319)</f>
        <v>470.9</v>
      </c>
      <c r="G319" s="70">
        <v>552</v>
      </c>
      <c r="H319" s="70"/>
      <c r="I319" s="70">
        <v>552</v>
      </c>
      <c r="J319" s="70">
        <v>552</v>
      </c>
      <c r="K319" s="70"/>
      <c r="L319" s="70">
        <v>552</v>
      </c>
    </row>
    <row r="320" spans="1:12" ht="26.25" x14ac:dyDescent="0.25">
      <c r="A320" s="31" t="s">
        <v>277</v>
      </c>
      <c r="B320" s="31"/>
      <c r="C320" s="32" t="s">
        <v>278</v>
      </c>
      <c r="D320" s="75">
        <f>D321</f>
        <v>394.09999999999997</v>
      </c>
      <c r="E320" s="75">
        <f>E321</f>
        <v>37.1</v>
      </c>
      <c r="F320" s="75">
        <f t="shared" ref="F320:L320" si="48">F321</f>
        <v>431.2</v>
      </c>
      <c r="G320" s="75">
        <f t="shared" si="48"/>
        <v>343.7</v>
      </c>
      <c r="H320" s="75"/>
      <c r="I320" s="75">
        <f t="shared" si="48"/>
        <v>343.7</v>
      </c>
      <c r="J320" s="75">
        <f t="shared" si="48"/>
        <v>343.7</v>
      </c>
      <c r="K320" s="75"/>
      <c r="L320" s="75">
        <f t="shared" si="48"/>
        <v>343.7</v>
      </c>
    </row>
    <row r="321" spans="1:12" ht="26.25" x14ac:dyDescent="0.25">
      <c r="A321" s="33" t="s">
        <v>445</v>
      </c>
      <c r="B321" s="36"/>
      <c r="C321" s="34" t="s">
        <v>279</v>
      </c>
      <c r="D321" s="71">
        <f>D322+D329+D326</f>
        <v>394.09999999999997</v>
      </c>
      <c r="E321" s="71">
        <f>E322+E329+E326</f>
        <v>37.1</v>
      </c>
      <c r="F321" s="71">
        <f t="shared" ref="F321:L321" si="49">F322+F329+F326</f>
        <v>431.2</v>
      </c>
      <c r="G321" s="71">
        <f t="shared" si="49"/>
        <v>343.7</v>
      </c>
      <c r="H321" s="71"/>
      <c r="I321" s="71">
        <f t="shared" si="49"/>
        <v>343.7</v>
      </c>
      <c r="J321" s="71">
        <f t="shared" si="49"/>
        <v>343.7</v>
      </c>
      <c r="K321" s="71"/>
      <c r="L321" s="71">
        <f t="shared" si="49"/>
        <v>343.7</v>
      </c>
    </row>
    <row r="322" spans="1:12" ht="39" x14ac:dyDescent="0.25">
      <c r="A322" s="6" t="s">
        <v>444</v>
      </c>
      <c r="B322" s="6"/>
      <c r="C322" s="45" t="s">
        <v>280</v>
      </c>
      <c r="D322" s="70">
        <f>D325+D324</f>
        <v>342.9</v>
      </c>
      <c r="E322" s="70"/>
      <c r="F322" s="70">
        <f>F325+F324</f>
        <v>342.9</v>
      </c>
      <c r="G322" s="70">
        <f>G325+G324</f>
        <v>292.5</v>
      </c>
      <c r="H322" s="70"/>
      <c r="I322" s="70">
        <f>I325+I324</f>
        <v>292.5</v>
      </c>
      <c r="J322" s="70">
        <f>J325+J324</f>
        <v>292.5</v>
      </c>
      <c r="K322" s="70"/>
      <c r="L322" s="70">
        <f>L325+L324</f>
        <v>292.5</v>
      </c>
    </row>
    <row r="323" spans="1:12" ht="26.25" x14ac:dyDescent="0.25">
      <c r="A323" s="6"/>
      <c r="B323" s="6" t="s">
        <v>281</v>
      </c>
      <c r="C323" s="3" t="s">
        <v>282</v>
      </c>
      <c r="D323" s="70">
        <f>D324+D325</f>
        <v>342.9</v>
      </c>
      <c r="E323" s="70"/>
      <c r="F323" s="70">
        <f>F324+F325</f>
        <v>342.9</v>
      </c>
      <c r="G323" s="70">
        <f>G324+G325</f>
        <v>292.5</v>
      </c>
      <c r="H323" s="70"/>
      <c r="I323" s="70">
        <f>I324+I325</f>
        <v>292.5</v>
      </c>
      <c r="J323" s="70">
        <f>J324+J325</f>
        <v>292.5</v>
      </c>
      <c r="K323" s="70"/>
      <c r="L323" s="70">
        <f>L324+L325</f>
        <v>292.5</v>
      </c>
    </row>
    <row r="324" spans="1:12" x14ac:dyDescent="0.25">
      <c r="A324" s="6"/>
      <c r="B324" s="6"/>
      <c r="C324" s="3" t="s">
        <v>153</v>
      </c>
      <c r="D324" s="70">
        <v>114.1</v>
      </c>
      <c r="E324" s="70"/>
      <c r="F324" s="70">
        <v>114.1</v>
      </c>
      <c r="G324" s="70">
        <v>114.1</v>
      </c>
      <c r="H324" s="70"/>
      <c r="I324" s="70">
        <v>114.1</v>
      </c>
      <c r="J324" s="70">
        <v>114.1</v>
      </c>
      <c r="K324" s="70"/>
      <c r="L324" s="70">
        <v>114.1</v>
      </c>
    </row>
    <row r="325" spans="1:12" x14ac:dyDescent="0.25">
      <c r="A325" s="6"/>
      <c r="B325" s="6"/>
      <c r="C325" s="3" t="s">
        <v>105</v>
      </c>
      <c r="D325" s="70">
        <v>228.8</v>
      </c>
      <c r="E325" s="70"/>
      <c r="F325" s="70">
        <v>228.8</v>
      </c>
      <c r="G325" s="70">
        <v>178.4</v>
      </c>
      <c r="H325" s="70"/>
      <c r="I325" s="70">
        <v>178.4</v>
      </c>
      <c r="J325" s="70">
        <v>178.4</v>
      </c>
      <c r="K325" s="70"/>
      <c r="L325" s="70">
        <v>178.4</v>
      </c>
    </row>
    <row r="326" spans="1:12" ht="39" x14ac:dyDescent="0.25">
      <c r="A326" s="6" t="s">
        <v>446</v>
      </c>
      <c r="B326" s="6"/>
      <c r="C326" s="3" t="s">
        <v>479</v>
      </c>
      <c r="D326" s="80">
        <f>D327+D328</f>
        <v>31.2</v>
      </c>
      <c r="E326" s="80">
        <f>E327</f>
        <v>37.1</v>
      </c>
      <c r="F326" s="80">
        <f>F327+F328</f>
        <v>68.3</v>
      </c>
      <c r="G326" s="80">
        <f>G327+G328</f>
        <v>31.2</v>
      </c>
      <c r="H326" s="80"/>
      <c r="I326" s="80">
        <f>I327+I328</f>
        <v>31.2</v>
      </c>
      <c r="J326" s="80">
        <f>J327+J328</f>
        <v>31.2</v>
      </c>
      <c r="K326" s="80"/>
      <c r="L326" s="80">
        <f>L327+L328</f>
        <v>31.2</v>
      </c>
    </row>
    <row r="327" spans="1:12" ht="26.25" x14ac:dyDescent="0.25">
      <c r="A327" s="6"/>
      <c r="B327" s="6" t="s">
        <v>281</v>
      </c>
      <c r="C327" s="3" t="s">
        <v>282</v>
      </c>
      <c r="D327" s="80">
        <v>27.4</v>
      </c>
      <c r="E327" s="80">
        <v>37.1</v>
      </c>
      <c r="F327" s="80">
        <f>SUM(D327:E327)</f>
        <v>64.5</v>
      </c>
      <c r="G327" s="80">
        <v>27.4</v>
      </c>
      <c r="H327" s="80"/>
      <c r="I327" s="80">
        <v>27.4</v>
      </c>
      <c r="J327" s="80">
        <v>27.4</v>
      </c>
      <c r="K327" s="80"/>
      <c r="L327" s="80">
        <v>27.4</v>
      </c>
    </row>
    <row r="328" spans="1:12" ht="26.25" x14ac:dyDescent="0.25">
      <c r="A328" s="6"/>
      <c r="B328" s="6" t="s">
        <v>471</v>
      </c>
      <c r="C328" s="3" t="s">
        <v>472</v>
      </c>
      <c r="D328" s="80">
        <v>3.8</v>
      </c>
      <c r="E328" s="80"/>
      <c r="F328" s="80">
        <v>3.8</v>
      </c>
      <c r="G328" s="80">
        <v>3.8</v>
      </c>
      <c r="H328" s="80"/>
      <c r="I328" s="80">
        <v>3.8</v>
      </c>
      <c r="J328" s="80">
        <v>3.8</v>
      </c>
      <c r="K328" s="80"/>
      <c r="L328" s="80">
        <v>3.8</v>
      </c>
    </row>
    <row r="329" spans="1:12" x14ac:dyDescent="0.25">
      <c r="A329" s="6" t="s">
        <v>447</v>
      </c>
      <c r="B329" s="6"/>
      <c r="C329" s="3" t="s">
        <v>480</v>
      </c>
      <c r="D329" s="80">
        <f>D330</f>
        <v>20</v>
      </c>
      <c r="E329" s="80"/>
      <c r="F329" s="80">
        <f>F330</f>
        <v>20</v>
      </c>
      <c r="G329" s="80">
        <f>G330</f>
        <v>20</v>
      </c>
      <c r="H329" s="80"/>
      <c r="I329" s="80">
        <f>I330</f>
        <v>20</v>
      </c>
      <c r="J329" s="80">
        <f>J330</f>
        <v>20</v>
      </c>
      <c r="K329" s="80"/>
      <c r="L329" s="80">
        <f>L330</f>
        <v>20</v>
      </c>
    </row>
    <row r="330" spans="1:12" ht="26.25" x14ac:dyDescent="0.25">
      <c r="A330" s="6"/>
      <c r="B330" s="6" t="s">
        <v>471</v>
      </c>
      <c r="C330" s="3" t="s">
        <v>472</v>
      </c>
      <c r="D330" s="80">
        <v>20</v>
      </c>
      <c r="E330" s="80"/>
      <c r="F330" s="80">
        <v>20</v>
      </c>
      <c r="G330" s="80">
        <v>20</v>
      </c>
      <c r="H330" s="80"/>
      <c r="I330" s="80">
        <v>20</v>
      </c>
      <c r="J330" s="80">
        <v>20</v>
      </c>
      <c r="K330" s="80"/>
      <c r="L330" s="80">
        <v>20</v>
      </c>
    </row>
    <row r="331" spans="1:12" ht="26.25" x14ac:dyDescent="0.25">
      <c r="A331" s="29" t="s">
        <v>283</v>
      </c>
      <c r="B331" s="29"/>
      <c r="C331" s="37" t="s">
        <v>284</v>
      </c>
      <c r="D331" s="72">
        <f>D332+D338</f>
        <v>247.10000000000002</v>
      </c>
      <c r="E331" s="72">
        <f>E332+E338</f>
        <v>0</v>
      </c>
      <c r="F331" s="72">
        <f>F332+F338</f>
        <v>247.10000000000002</v>
      </c>
      <c r="G331" s="72">
        <f>G332+G338</f>
        <v>277.10000000000002</v>
      </c>
      <c r="H331" s="72"/>
      <c r="I331" s="72">
        <f>I332+I338</f>
        <v>277.10000000000002</v>
      </c>
      <c r="J331" s="72">
        <f>J332+J338</f>
        <v>277.10000000000002</v>
      </c>
      <c r="K331" s="72"/>
      <c r="L331" s="72">
        <f>L332+L338</f>
        <v>277.10000000000002</v>
      </c>
    </row>
    <row r="332" spans="1:12" ht="26.25" x14ac:dyDescent="0.25">
      <c r="A332" s="31" t="s">
        <v>448</v>
      </c>
      <c r="B332" s="31"/>
      <c r="C332" s="52" t="s">
        <v>449</v>
      </c>
      <c r="D332" s="75">
        <f>D333</f>
        <v>13.5</v>
      </c>
      <c r="E332" s="75">
        <f>E333</f>
        <v>0</v>
      </c>
      <c r="F332" s="75">
        <f>F333</f>
        <v>13.5</v>
      </c>
      <c r="G332" s="75">
        <f>G333</f>
        <v>43.5</v>
      </c>
      <c r="H332" s="75"/>
      <c r="I332" s="75">
        <f>I333</f>
        <v>43.5</v>
      </c>
      <c r="J332" s="75">
        <f>J333</f>
        <v>43.5</v>
      </c>
      <c r="K332" s="75"/>
      <c r="L332" s="75">
        <f>L333</f>
        <v>43.5</v>
      </c>
    </row>
    <row r="333" spans="1:12" ht="26.25" x14ac:dyDescent="0.25">
      <c r="A333" s="33" t="s">
        <v>508</v>
      </c>
      <c r="B333" s="36"/>
      <c r="C333" s="20" t="s">
        <v>501</v>
      </c>
      <c r="D333" s="71">
        <f>D334+D336</f>
        <v>13.5</v>
      </c>
      <c r="E333" s="71">
        <f>E334+E336</f>
        <v>0</v>
      </c>
      <c r="F333" s="71">
        <f>F334+F336</f>
        <v>13.5</v>
      </c>
      <c r="G333" s="71">
        <f>G334+G336</f>
        <v>43.5</v>
      </c>
      <c r="H333" s="71"/>
      <c r="I333" s="71">
        <f>I334+I336</f>
        <v>43.5</v>
      </c>
      <c r="J333" s="71">
        <f>J334+J336</f>
        <v>43.5</v>
      </c>
      <c r="K333" s="71"/>
      <c r="L333" s="71">
        <f>L334+L336</f>
        <v>43.5</v>
      </c>
    </row>
    <row r="334" spans="1:12" ht="26.25" x14ac:dyDescent="0.25">
      <c r="A334" s="6" t="s">
        <v>509</v>
      </c>
      <c r="B334" s="6"/>
      <c r="C334" s="19" t="s">
        <v>502</v>
      </c>
      <c r="D334" s="80">
        <f>D335</f>
        <v>13.5</v>
      </c>
      <c r="E334" s="80"/>
      <c r="F334" s="80">
        <f>F335</f>
        <v>13.5</v>
      </c>
      <c r="G334" s="80">
        <f>G335</f>
        <v>13.5</v>
      </c>
      <c r="H334" s="80"/>
      <c r="I334" s="80">
        <f>I335</f>
        <v>13.5</v>
      </c>
      <c r="J334" s="80">
        <f>J335</f>
        <v>13.5</v>
      </c>
      <c r="K334" s="80"/>
      <c r="L334" s="80">
        <f>L335</f>
        <v>13.5</v>
      </c>
    </row>
    <row r="335" spans="1:12" ht="26.25" x14ac:dyDescent="0.25">
      <c r="A335" s="6"/>
      <c r="B335" s="6" t="s">
        <v>281</v>
      </c>
      <c r="C335" s="3" t="s">
        <v>282</v>
      </c>
      <c r="D335" s="80">
        <v>13.5</v>
      </c>
      <c r="E335" s="80"/>
      <c r="F335" s="80">
        <v>13.5</v>
      </c>
      <c r="G335" s="80">
        <v>13.5</v>
      </c>
      <c r="H335" s="80"/>
      <c r="I335" s="80">
        <v>13.5</v>
      </c>
      <c r="J335" s="80">
        <v>13.5</v>
      </c>
      <c r="K335" s="80"/>
      <c r="L335" s="80">
        <v>13.5</v>
      </c>
    </row>
    <row r="336" spans="1:12" x14ac:dyDescent="0.25">
      <c r="A336" s="6" t="s">
        <v>510</v>
      </c>
      <c r="B336" s="6"/>
      <c r="C336" s="19" t="s">
        <v>686</v>
      </c>
      <c r="D336" s="80">
        <f>D337</f>
        <v>0</v>
      </c>
      <c r="E336" s="80"/>
      <c r="F336" s="80">
        <f>F337</f>
        <v>0</v>
      </c>
      <c r="G336" s="80">
        <f>G337</f>
        <v>30</v>
      </c>
      <c r="H336" s="80"/>
      <c r="I336" s="80">
        <f>I337</f>
        <v>30</v>
      </c>
      <c r="J336" s="80">
        <f>J337</f>
        <v>30</v>
      </c>
      <c r="K336" s="80"/>
      <c r="L336" s="80">
        <f>L337</f>
        <v>30</v>
      </c>
    </row>
    <row r="337" spans="1:12" ht="26.25" x14ac:dyDescent="0.25">
      <c r="A337" s="6"/>
      <c r="B337" s="6" t="s">
        <v>281</v>
      </c>
      <c r="C337" s="3" t="s">
        <v>282</v>
      </c>
      <c r="D337" s="80">
        <v>0</v>
      </c>
      <c r="E337" s="80"/>
      <c r="F337" s="80">
        <f>D337+E337</f>
        <v>0</v>
      </c>
      <c r="G337" s="80">
        <v>30</v>
      </c>
      <c r="H337" s="80"/>
      <c r="I337" s="80">
        <v>30</v>
      </c>
      <c r="J337" s="80">
        <v>30</v>
      </c>
      <c r="K337" s="80"/>
      <c r="L337" s="80">
        <v>30</v>
      </c>
    </row>
    <row r="338" spans="1:12" ht="26.25" x14ac:dyDescent="0.25">
      <c r="A338" s="31" t="s">
        <v>450</v>
      </c>
      <c r="B338" s="31"/>
      <c r="C338" s="52" t="s">
        <v>451</v>
      </c>
      <c r="D338" s="75">
        <f>D339+D342</f>
        <v>233.60000000000002</v>
      </c>
      <c r="E338" s="75"/>
      <c r="F338" s="75">
        <f>F339+F342</f>
        <v>233.60000000000002</v>
      </c>
      <c r="G338" s="75">
        <f>G339+G342</f>
        <v>233.60000000000002</v>
      </c>
      <c r="H338" s="75"/>
      <c r="I338" s="75">
        <f>I339+I342</f>
        <v>233.60000000000002</v>
      </c>
      <c r="J338" s="75">
        <f>J339+J342</f>
        <v>233.60000000000002</v>
      </c>
      <c r="K338" s="75"/>
      <c r="L338" s="75">
        <f>L339+L342</f>
        <v>233.60000000000002</v>
      </c>
    </row>
    <row r="339" spans="1:12" ht="26.25" x14ac:dyDescent="0.25">
      <c r="A339" s="33" t="s">
        <v>452</v>
      </c>
      <c r="B339" s="33"/>
      <c r="C339" s="20" t="s">
        <v>353</v>
      </c>
      <c r="D339" s="71">
        <f t="shared" ref="D339:J340" si="50">D340</f>
        <v>112.7</v>
      </c>
      <c r="E339" s="71"/>
      <c r="F339" s="71">
        <f t="shared" si="50"/>
        <v>112.7</v>
      </c>
      <c r="G339" s="71">
        <f t="shared" si="50"/>
        <v>112.7</v>
      </c>
      <c r="H339" s="71"/>
      <c r="I339" s="71">
        <f t="shared" si="50"/>
        <v>112.7</v>
      </c>
      <c r="J339" s="71">
        <f t="shared" si="50"/>
        <v>112.7</v>
      </c>
      <c r="K339" s="71"/>
      <c r="L339" s="71">
        <f>L340</f>
        <v>112.7</v>
      </c>
    </row>
    <row r="340" spans="1:12" x14ac:dyDescent="0.25">
      <c r="A340" s="6" t="s">
        <v>453</v>
      </c>
      <c r="B340" s="6"/>
      <c r="C340" s="19" t="s">
        <v>285</v>
      </c>
      <c r="D340" s="80">
        <f t="shared" si="50"/>
        <v>112.7</v>
      </c>
      <c r="E340" s="80"/>
      <c r="F340" s="80">
        <f t="shared" si="50"/>
        <v>112.7</v>
      </c>
      <c r="G340" s="80">
        <f t="shared" si="50"/>
        <v>112.7</v>
      </c>
      <c r="H340" s="80"/>
      <c r="I340" s="80">
        <f t="shared" si="50"/>
        <v>112.7</v>
      </c>
      <c r="J340" s="80">
        <f t="shared" si="50"/>
        <v>112.7</v>
      </c>
      <c r="K340" s="80"/>
      <c r="L340" s="80">
        <f>L341</f>
        <v>112.7</v>
      </c>
    </row>
    <row r="341" spans="1:12" ht="26.25" x14ac:dyDescent="0.25">
      <c r="A341" s="6"/>
      <c r="B341" s="6" t="s">
        <v>281</v>
      </c>
      <c r="C341" s="3" t="s">
        <v>282</v>
      </c>
      <c r="D341" s="80">
        <v>112.7</v>
      </c>
      <c r="E341" s="80"/>
      <c r="F341" s="80">
        <v>112.7</v>
      </c>
      <c r="G341" s="80">
        <v>112.7</v>
      </c>
      <c r="H341" s="80"/>
      <c r="I341" s="80">
        <v>112.7</v>
      </c>
      <c r="J341" s="80">
        <v>112.7</v>
      </c>
      <c r="K341" s="80"/>
      <c r="L341" s="80">
        <v>112.7</v>
      </c>
    </row>
    <row r="342" spans="1:12" x14ac:dyDescent="0.25">
      <c r="A342" s="33" t="s">
        <v>454</v>
      </c>
      <c r="B342" s="33"/>
      <c r="C342" s="20" t="s">
        <v>354</v>
      </c>
      <c r="D342" s="71">
        <f>D343+D345+D347+D349</f>
        <v>120.9</v>
      </c>
      <c r="E342" s="71"/>
      <c r="F342" s="71">
        <f>F343+F345+F347+F349</f>
        <v>120.9</v>
      </c>
      <c r="G342" s="71">
        <f>G343+G345+G347+G349</f>
        <v>120.9</v>
      </c>
      <c r="H342" s="71"/>
      <c r="I342" s="71">
        <f>I343+I345+I347+I349</f>
        <v>120.9</v>
      </c>
      <c r="J342" s="71">
        <f>J343+J345+J347+J349</f>
        <v>120.9</v>
      </c>
      <c r="K342" s="71"/>
      <c r="L342" s="71">
        <f>L343+L345+L347+L349</f>
        <v>120.9</v>
      </c>
    </row>
    <row r="343" spans="1:12" ht="26.25" x14ac:dyDescent="0.25">
      <c r="A343" s="6" t="s">
        <v>455</v>
      </c>
      <c r="B343" s="6"/>
      <c r="C343" s="19" t="s">
        <v>286</v>
      </c>
      <c r="D343" s="80">
        <f>D344</f>
        <v>32.6</v>
      </c>
      <c r="E343" s="80"/>
      <c r="F343" s="80">
        <f>F344</f>
        <v>32.6</v>
      </c>
      <c r="G343" s="80">
        <f>G344</f>
        <v>32.6</v>
      </c>
      <c r="H343" s="80"/>
      <c r="I343" s="80">
        <f>I344</f>
        <v>32.6</v>
      </c>
      <c r="J343" s="80">
        <f>J344</f>
        <v>32.6</v>
      </c>
      <c r="K343" s="80"/>
      <c r="L343" s="80">
        <f>L344</f>
        <v>32.6</v>
      </c>
    </row>
    <row r="344" spans="1:12" ht="26.25" x14ac:dyDescent="0.25">
      <c r="A344" s="6"/>
      <c r="B344" s="6" t="s">
        <v>281</v>
      </c>
      <c r="C344" s="3" t="s">
        <v>282</v>
      </c>
      <c r="D344" s="80">
        <v>32.6</v>
      </c>
      <c r="E344" s="80"/>
      <c r="F344" s="80">
        <v>32.6</v>
      </c>
      <c r="G344" s="80">
        <v>32.6</v>
      </c>
      <c r="H344" s="80"/>
      <c r="I344" s="80">
        <v>32.6</v>
      </c>
      <c r="J344" s="80">
        <v>32.6</v>
      </c>
      <c r="K344" s="80"/>
      <c r="L344" s="80">
        <v>32.6</v>
      </c>
    </row>
    <row r="345" spans="1:12" ht="26.25" x14ac:dyDescent="0.25">
      <c r="A345" s="6" t="s">
        <v>456</v>
      </c>
      <c r="B345" s="6"/>
      <c r="C345" s="19" t="s">
        <v>287</v>
      </c>
      <c r="D345" s="80">
        <v>40</v>
      </c>
      <c r="E345" s="80"/>
      <c r="F345" s="80">
        <v>40</v>
      </c>
      <c r="G345" s="80">
        <f>G346</f>
        <v>40</v>
      </c>
      <c r="H345" s="80"/>
      <c r="I345" s="80">
        <f>I346</f>
        <v>40</v>
      </c>
      <c r="J345" s="80">
        <f>J346</f>
        <v>40</v>
      </c>
      <c r="K345" s="80"/>
      <c r="L345" s="80">
        <f>L346</f>
        <v>40</v>
      </c>
    </row>
    <row r="346" spans="1:12" ht="26.25" x14ac:dyDescent="0.25">
      <c r="A346" s="6"/>
      <c r="B346" s="6" t="s">
        <v>281</v>
      </c>
      <c r="C346" s="3" t="s">
        <v>282</v>
      </c>
      <c r="D346" s="80">
        <v>40</v>
      </c>
      <c r="E346" s="80"/>
      <c r="F346" s="80">
        <v>40</v>
      </c>
      <c r="G346" s="80">
        <v>40</v>
      </c>
      <c r="H346" s="80"/>
      <c r="I346" s="80">
        <v>40</v>
      </c>
      <c r="J346" s="80">
        <v>40</v>
      </c>
      <c r="K346" s="80"/>
      <c r="L346" s="80">
        <v>40</v>
      </c>
    </row>
    <row r="347" spans="1:12" x14ac:dyDescent="0.25">
      <c r="A347" s="6" t="s">
        <v>457</v>
      </c>
      <c r="B347" s="6"/>
      <c r="C347" s="19" t="s">
        <v>288</v>
      </c>
      <c r="D347" s="80">
        <f>D348</f>
        <v>25.4</v>
      </c>
      <c r="E347" s="80"/>
      <c r="F347" s="80">
        <f>F348</f>
        <v>25.4</v>
      </c>
      <c r="G347" s="80">
        <f>G348</f>
        <v>25.4</v>
      </c>
      <c r="H347" s="80"/>
      <c r="I347" s="80">
        <f>I348</f>
        <v>25.4</v>
      </c>
      <c r="J347" s="80">
        <f>J348</f>
        <v>25.4</v>
      </c>
      <c r="K347" s="80"/>
      <c r="L347" s="80">
        <f>L348</f>
        <v>25.4</v>
      </c>
    </row>
    <row r="348" spans="1:12" ht="26.25" x14ac:dyDescent="0.25">
      <c r="A348" s="6"/>
      <c r="B348" s="6" t="s">
        <v>281</v>
      </c>
      <c r="C348" s="3" t="s">
        <v>282</v>
      </c>
      <c r="D348" s="80">
        <v>25.4</v>
      </c>
      <c r="E348" s="80"/>
      <c r="F348" s="80">
        <v>25.4</v>
      </c>
      <c r="G348" s="80">
        <v>25.4</v>
      </c>
      <c r="H348" s="80"/>
      <c r="I348" s="80">
        <v>25.4</v>
      </c>
      <c r="J348" s="80">
        <v>25.4</v>
      </c>
      <c r="K348" s="80"/>
      <c r="L348" s="80">
        <v>25.4</v>
      </c>
    </row>
    <row r="349" spans="1:12" x14ac:dyDescent="0.25">
      <c r="A349" s="6" t="s">
        <v>458</v>
      </c>
      <c r="B349" s="6"/>
      <c r="C349" s="19" t="s">
        <v>289</v>
      </c>
      <c r="D349" s="80">
        <f>D350</f>
        <v>22.9</v>
      </c>
      <c r="E349" s="80"/>
      <c r="F349" s="80">
        <f>F350</f>
        <v>22.9</v>
      </c>
      <c r="G349" s="80">
        <f>G350</f>
        <v>22.9</v>
      </c>
      <c r="H349" s="80"/>
      <c r="I349" s="80">
        <f>I350</f>
        <v>22.9</v>
      </c>
      <c r="J349" s="80">
        <f>J350</f>
        <v>22.9</v>
      </c>
      <c r="K349" s="80"/>
      <c r="L349" s="80">
        <f>L350</f>
        <v>22.9</v>
      </c>
    </row>
    <row r="350" spans="1:12" ht="26.25" x14ac:dyDescent="0.25">
      <c r="A350" s="6"/>
      <c r="B350" s="6" t="s">
        <v>281</v>
      </c>
      <c r="C350" s="3" t="s">
        <v>282</v>
      </c>
      <c r="D350" s="80">
        <v>22.9</v>
      </c>
      <c r="E350" s="80"/>
      <c r="F350" s="80">
        <v>22.9</v>
      </c>
      <c r="G350" s="80">
        <v>22.9</v>
      </c>
      <c r="H350" s="80"/>
      <c r="I350" s="80">
        <v>22.9</v>
      </c>
      <c r="J350" s="80">
        <v>22.9</v>
      </c>
      <c r="K350" s="80"/>
      <c r="L350" s="80">
        <v>22.9</v>
      </c>
    </row>
    <row r="351" spans="1:12" ht="26.25" x14ac:dyDescent="0.25">
      <c r="A351" s="29" t="s">
        <v>290</v>
      </c>
      <c r="B351" s="29"/>
      <c r="C351" s="37" t="s">
        <v>291</v>
      </c>
      <c r="D351" s="72">
        <f t="shared" ref="D351:L351" si="51">D352+D359+D397</f>
        <v>43134.443299999999</v>
      </c>
      <c r="E351" s="72">
        <f t="shared" si="51"/>
        <v>-144.19999999999999</v>
      </c>
      <c r="F351" s="72">
        <f t="shared" si="51"/>
        <v>42990.243300000002</v>
      </c>
      <c r="G351" s="72">
        <f t="shared" si="51"/>
        <v>51622.970099999991</v>
      </c>
      <c r="H351" s="72">
        <f>H352+H359+H397</f>
        <v>0</v>
      </c>
      <c r="I351" s="72">
        <f t="shared" si="51"/>
        <v>51622.970100000006</v>
      </c>
      <c r="J351" s="72">
        <f t="shared" si="51"/>
        <v>55536.232110000004</v>
      </c>
      <c r="K351" s="72">
        <f>K352+K359+K397</f>
        <v>0</v>
      </c>
      <c r="L351" s="72">
        <f t="shared" si="51"/>
        <v>55536.232110000004</v>
      </c>
    </row>
    <row r="352" spans="1:12" x14ac:dyDescent="0.25">
      <c r="A352" s="31" t="s">
        <v>292</v>
      </c>
      <c r="B352" s="31"/>
      <c r="C352" s="52" t="s">
        <v>293</v>
      </c>
      <c r="D352" s="75">
        <f>D353</f>
        <v>4104.9799899999998</v>
      </c>
      <c r="E352" s="75"/>
      <c r="F352" s="75">
        <f t="shared" ref="F352:L353" si="52">F353</f>
        <v>4104.9799899999998</v>
      </c>
      <c r="G352" s="75">
        <f t="shared" si="52"/>
        <v>18822.809589999997</v>
      </c>
      <c r="H352" s="75">
        <f t="shared" si="52"/>
        <v>0</v>
      </c>
      <c r="I352" s="75">
        <f t="shared" si="52"/>
        <v>18822.809590000001</v>
      </c>
      <c r="J352" s="75">
        <f t="shared" si="52"/>
        <v>35981.132110000006</v>
      </c>
      <c r="K352" s="75">
        <f t="shared" si="52"/>
        <v>0</v>
      </c>
      <c r="L352" s="75">
        <f t="shared" si="52"/>
        <v>35981.132110000006</v>
      </c>
    </row>
    <row r="353" spans="1:12" ht="39" x14ac:dyDescent="0.25">
      <c r="A353" s="33" t="s">
        <v>294</v>
      </c>
      <c r="B353" s="33"/>
      <c r="C353" s="20" t="s">
        <v>295</v>
      </c>
      <c r="D353" s="71">
        <f>D354</f>
        <v>4104.9799899999998</v>
      </c>
      <c r="E353" s="71"/>
      <c r="F353" s="71">
        <f t="shared" si="52"/>
        <v>4104.9799899999998</v>
      </c>
      <c r="G353" s="71">
        <f t="shared" si="52"/>
        <v>18822.809589999997</v>
      </c>
      <c r="H353" s="71">
        <f t="shared" si="52"/>
        <v>0</v>
      </c>
      <c r="I353" s="71">
        <f t="shared" si="52"/>
        <v>18822.809590000001</v>
      </c>
      <c r="J353" s="71">
        <f t="shared" si="52"/>
        <v>35981.132110000006</v>
      </c>
      <c r="K353" s="71">
        <f t="shared" si="52"/>
        <v>0</v>
      </c>
      <c r="L353" s="71">
        <f t="shared" si="52"/>
        <v>35981.132110000006</v>
      </c>
    </row>
    <row r="354" spans="1:12" ht="26.25" x14ac:dyDescent="0.25">
      <c r="A354" s="22" t="s">
        <v>297</v>
      </c>
      <c r="B354" s="6"/>
      <c r="C354" s="3" t="s">
        <v>298</v>
      </c>
      <c r="D354" s="70">
        <f>D356+D357+D358</f>
        <v>4104.9799899999998</v>
      </c>
      <c r="E354" s="70"/>
      <c r="F354" s="70">
        <f t="shared" ref="F354:L354" si="53">F356+F357+F358</f>
        <v>4104.9799899999998</v>
      </c>
      <c r="G354" s="70">
        <f t="shared" si="53"/>
        <v>18822.809589999997</v>
      </c>
      <c r="H354" s="70"/>
      <c r="I354" s="70">
        <f t="shared" si="53"/>
        <v>18822.809590000001</v>
      </c>
      <c r="J354" s="70">
        <f t="shared" si="53"/>
        <v>35981.132110000006</v>
      </c>
      <c r="K354" s="70"/>
      <c r="L354" s="70">
        <f t="shared" si="53"/>
        <v>35981.132110000006</v>
      </c>
    </row>
    <row r="355" spans="1:12" ht="26.25" x14ac:dyDescent="0.25">
      <c r="A355" s="22"/>
      <c r="B355" s="22" t="s">
        <v>281</v>
      </c>
      <c r="C355" s="54" t="s">
        <v>282</v>
      </c>
      <c r="D355" s="70">
        <f>D356+D357+D358</f>
        <v>4104.9799899999998</v>
      </c>
      <c r="E355" s="70"/>
      <c r="F355" s="70">
        <f t="shared" ref="F355:L355" si="54">F356+F357+F358</f>
        <v>4104.9799899999998</v>
      </c>
      <c r="G355" s="70">
        <f t="shared" si="54"/>
        <v>18822.809589999997</v>
      </c>
      <c r="H355" s="70"/>
      <c r="I355" s="70">
        <f t="shared" si="54"/>
        <v>18822.809590000001</v>
      </c>
      <c r="J355" s="70">
        <f t="shared" si="54"/>
        <v>35981.132110000006</v>
      </c>
      <c r="K355" s="70"/>
      <c r="L355" s="70">
        <f t="shared" si="54"/>
        <v>35981.132110000006</v>
      </c>
    </row>
    <row r="356" spans="1:12" x14ac:dyDescent="0.25">
      <c r="A356" s="22"/>
      <c r="B356" s="6"/>
      <c r="C356" s="53" t="s">
        <v>152</v>
      </c>
      <c r="D356" s="70">
        <v>2729.81169</v>
      </c>
      <c r="E356" s="70"/>
      <c r="F356" s="70">
        <v>2729.81169</v>
      </c>
      <c r="G356" s="70">
        <v>12515.89741</v>
      </c>
      <c r="H356" s="70"/>
      <c r="I356" s="70">
        <v>12515.897410000001</v>
      </c>
      <c r="J356" s="70">
        <v>22547.57863</v>
      </c>
      <c r="K356" s="70"/>
      <c r="L356" s="70">
        <v>22547.57863</v>
      </c>
    </row>
    <row r="357" spans="1:12" x14ac:dyDescent="0.25">
      <c r="A357" s="22"/>
      <c r="B357" s="6"/>
      <c r="C357" s="53" t="s">
        <v>210</v>
      </c>
      <c r="D357" s="70">
        <v>143.67429999999999</v>
      </c>
      <c r="E357" s="70"/>
      <c r="F357" s="70">
        <v>143.67429999999999</v>
      </c>
      <c r="G357" s="70">
        <v>658.73144000000002</v>
      </c>
      <c r="H357" s="70"/>
      <c r="I357" s="70">
        <v>658.73144000000002</v>
      </c>
      <c r="J357" s="70">
        <v>1186.7146600000001</v>
      </c>
      <c r="K357" s="70"/>
      <c r="L357" s="70">
        <v>1186.7146599999999</v>
      </c>
    </row>
    <row r="358" spans="1:12" s="94" customFormat="1" x14ac:dyDescent="0.25">
      <c r="A358" s="93"/>
      <c r="B358" s="92"/>
      <c r="C358" s="53" t="s">
        <v>296</v>
      </c>
      <c r="D358" s="70">
        <v>1231.4939999999999</v>
      </c>
      <c r="E358" s="70"/>
      <c r="F358" s="70">
        <v>1231.4939999999999</v>
      </c>
      <c r="G358" s="70">
        <v>5648.1807399999998</v>
      </c>
      <c r="H358" s="70"/>
      <c r="I358" s="70">
        <f>SUM(G358:H358)</f>
        <v>5648.1807399999998</v>
      </c>
      <c r="J358" s="70">
        <v>12246.838820000001</v>
      </c>
      <c r="K358" s="70"/>
      <c r="L358" s="70">
        <f>SUM(J358:K358)</f>
        <v>12246.838820000001</v>
      </c>
    </row>
    <row r="359" spans="1:12" ht="26.25" x14ac:dyDescent="0.25">
      <c r="A359" s="31" t="s">
        <v>301</v>
      </c>
      <c r="B359" s="31"/>
      <c r="C359" s="52" t="s">
        <v>302</v>
      </c>
      <c r="D359" s="75">
        <f t="shared" ref="D359:K359" si="55">D360+D380+D391+D394</f>
        <v>25989.85108</v>
      </c>
      <c r="E359" s="75">
        <f t="shared" si="55"/>
        <v>-167.5</v>
      </c>
      <c r="F359" s="75">
        <f t="shared" si="55"/>
        <v>25822.35108</v>
      </c>
      <c r="G359" s="75">
        <f t="shared" si="55"/>
        <v>18558.840819999998</v>
      </c>
      <c r="H359" s="75">
        <f>H360+H380+H391+H394</f>
        <v>0</v>
      </c>
      <c r="I359" s="75">
        <f t="shared" si="55"/>
        <v>18558.840819999998</v>
      </c>
      <c r="J359" s="75">
        <f t="shared" si="55"/>
        <v>19555.099999999999</v>
      </c>
      <c r="K359" s="75">
        <f t="shared" si="55"/>
        <v>0</v>
      </c>
      <c r="L359" s="75">
        <f>L360+L380+L391+L394</f>
        <v>19555.099999999999</v>
      </c>
    </row>
    <row r="360" spans="1:12" ht="26.25" x14ac:dyDescent="0.25">
      <c r="A360" s="33" t="s">
        <v>303</v>
      </c>
      <c r="B360" s="33"/>
      <c r="C360" s="20" t="s">
        <v>304</v>
      </c>
      <c r="D360" s="71">
        <f>D361+D365+D367+D369+D373+D375+D378</f>
        <v>6630.4510799999998</v>
      </c>
      <c r="E360" s="71">
        <f>E361+E365+E367+E369+E373+E375+E378</f>
        <v>12.5</v>
      </c>
      <c r="F360" s="71">
        <f>F361+F365+F367+F369+F373+F375+F378</f>
        <v>6642.9510799999998</v>
      </c>
      <c r="G360" s="71">
        <f>G365+G367+G369+G375</f>
        <v>627.34082000000001</v>
      </c>
      <c r="H360" s="71">
        <f>H361+H365+H367+H369+H373+H375+H378</f>
        <v>0</v>
      </c>
      <c r="I360" s="71">
        <f>I365+I367+I369+I375</f>
        <v>627.34082000000001</v>
      </c>
      <c r="J360" s="71">
        <f>J365+J367+J369</f>
        <v>0</v>
      </c>
      <c r="K360" s="71"/>
      <c r="L360" s="71">
        <f>L365+L367+L369</f>
        <v>0</v>
      </c>
    </row>
    <row r="361" spans="1:12" x14ac:dyDescent="0.25">
      <c r="A361" s="6" t="s">
        <v>832</v>
      </c>
      <c r="B361" s="6"/>
      <c r="C361" s="19" t="s">
        <v>833</v>
      </c>
      <c r="D361" s="80">
        <f>D362</f>
        <v>462.50008000000003</v>
      </c>
      <c r="E361" s="80"/>
      <c r="F361" s="80">
        <f>F362</f>
        <v>462.50008000000003</v>
      </c>
      <c r="G361" s="80">
        <v>0</v>
      </c>
      <c r="H361" s="80"/>
      <c r="I361" s="80">
        <v>0</v>
      </c>
      <c r="J361" s="80">
        <v>0</v>
      </c>
      <c r="K361" s="80"/>
      <c r="L361" s="80">
        <v>0</v>
      </c>
    </row>
    <row r="362" spans="1:12" ht="26.25" x14ac:dyDescent="0.25">
      <c r="A362" s="6"/>
      <c r="B362" s="6" t="s">
        <v>281</v>
      </c>
      <c r="C362" s="3" t="s">
        <v>282</v>
      </c>
      <c r="D362" s="80">
        <f>D363+D364</f>
        <v>462.50008000000003</v>
      </c>
      <c r="E362" s="80"/>
      <c r="F362" s="80">
        <f>F363+F364</f>
        <v>462.50008000000003</v>
      </c>
      <c r="G362" s="80">
        <v>0</v>
      </c>
      <c r="H362" s="80"/>
      <c r="I362" s="80">
        <v>0</v>
      </c>
      <c r="J362" s="80">
        <v>0</v>
      </c>
      <c r="K362" s="80"/>
      <c r="L362" s="80">
        <v>0</v>
      </c>
    </row>
    <row r="363" spans="1:12" x14ac:dyDescent="0.25">
      <c r="A363" s="6"/>
      <c r="B363" s="6"/>
      <c r="C363" s="53" t="s">
        <v>296</v>
      </c>
      <c r="D363" s="80">
        <v>246.251</v>
      </c>
      <c r="E363" s="80"/>
      <c r="F363" s="80">
        <v>246.251</v>
      </c>
      <c r="G363" s="80">
        <v>0</v>
      </c>
      <c r="H363" s="80"/>
      <c r="I363" s="80">
        <v>0</v>
      </c>
      <c r="J363" s="80">
        <v>0</v>
      </c>
      <c r="K363" s="80"/>
      <c r="L363" s="80">
        <v>0</v>
      </c>
    </row>
    <row r="364" spans="1:12" x14ac:dyDescent="0.25">
      <c r="A364" s="6"/>
      <c r="B364" s="6"/>
      <c r="C364" s="53" t="s">
        <v>850</v>
      </c>
      <c r="D364" s="80">
        <v>216.24907999999999</v>
      </c>
      <c r="E364" s="80"/>
      <c r="F364" s="80">
        <f>91+125.24908</f>
        <v>216.24907999999999</v>
      </c>
      <c r="G364" s="80">
        <v>0</v>
      </c>
      <c r="H364" s="80"/>
      <c r="I364" s="80">
        <v>0</v>
      </c>
      <c r="J364" s="80">
        <v>0</v>
      </c>
      <c r="K364" s="80"/>
      <c r="L364" s="80">
        <v>0</v>
      </c>
    </row>
    <row r="365" spans="1:12" s="94" customFormat="1" ht="25.5" x14ac:dyDescent="0.25">
      <c r="A365" s="16" t="s">
        <v>305</v>
      </c>
      <c r="B365" s="16"/>
      <c r="C365" s="1" t="s">
        <v>459</v>
      </c>
      <c r="D365" s="80">
        <f>D366</f>
        <v>678.79999999999973</v>
      </c>
      <c r="E365" s="80">
        <f>E366</f>
        <v>12.5</v>
      </c>
      <c r="F365" s="80">
        <f t="shared" ref="F365:L365" si="56">F366</f>
        <v>691.29999999999973</v>
      </c>
      <c r="G365" s="80">
        <f t="shared" si="56"/>
        <v>0</v>
      </c>
      <c r="H365" s="80"/>
      <c r="I365" s="80">
        <f t="shared" si="56"/>
        <v>0</v>
      </c>
      <c r="J365" s="80">
        <f t="shared" si="56"/>
        <v>0</v>
      </c>
      <c r="K365" s="80"/>
      <c r="L365" s="80">
        <f t="shared" si="56"/>
        <v>0</v>
      </c>
    </row>
    <row r="366" spans="1:12" ht="26.25" x14ac:dyDescent="0.25">
      <c r="A366" s="16"/>
      <c r="B366" s="6" t="s">
        <v>281</v>
      </c>
      <c r="C366" s="3" t="s">
        <v>282</v>
      </c>
      <c r="D366" s="80">
        <f>3394.1-2715.3</f>
        <v>678.79999999999973</v>
      </c>
      <c r="E366" s="80">
        <v>12.5</v>
      </c>
      <c r="F366" s="80">
        <f>SUM(D366:E366)</f>
        <v>691.29999999999973</v>
      </c>
      <c r="G366" s="80">
        <v>0</v>
      </c>
      <c r="H366" s="80"/>
      <c r="I366" s="80">
        <v>0</v>
      </c>
      <c r="J366" s="80">
        <v>0</v>
      </c>
      <c r="K366" s="80"/>
      <c r="L366" s="80">
        <v>0</v>
      </c>
    </row>
    <row r="367" spans="1:12" s="94" customFormat="1" ht="25.5" x14ac:dyDescent="0.25">
      <c r="A367" s="16" t="s">
        <v>306</v>
      </c>
      <c r="B367" s="16"/>
      <c r="C367" s="1" t="s">
        <v>307</v>
      </c>
      <c r="D367" s="80">
        <f>D368</f>
        <v>452.79999999999995</v>
      </c>
      <c r="E367" s="80"/>
      <c r="F367" s="80">
        <f>F368</f>
        <v>452.79999999999995</v>
      </c>
      <c r="G367" s="80">
        <f>G368</f>
        <v>0</v>
      </c>
      <c r="H367" s="80"/>
      <c r="I367" s="80">
        <f>I368</f>
        <v>0</v>
      </c>
      <c r="J367" s="80">
        <f>J368</f>
        <v>0</v>
      </c>
      <c r="K367" s="80"/>
      <c r="L367" s="80">
        <f>L368</f>
        <v>0</v>
      </c>
    </row>
    <row r="368" spans="1:12" ht="26.25" x14ac:dyDescent="0.25">
      <c r="A368" s="16"/>
      <c r="B368" s="6" t="s">
        <v>281</v>
      </c>
      <c r="C368" s="3" t="s">
        <v>282</v>
      </c>
      <c r="D368" s="80">
        <f>2264-1811.2</f>
        <v>452.79999999999995</v>
      </c>
      <c r="E368" s="80"/>
      <c r="F368" s="80">
        <f>SUM(D368:E368)</f>
        <v>452.79999999999995</v>
      </c>
      <c r="G368" s="80">
        <v>0</v>
      </c>
      <c r="H368" s="80"/>
      <c r="I368" s="80">
        <v>0</v>
      </c>
      <c r="J368" s="80">
        <v>0</v>
      </c>
      <c r="K368" s="80"/>
      <c r="L368" s="80">
        <v>0</v>
      </c>
    </row>
    <row r="369" spans="1:12" ht="51" x14ac:dyDescent="0.25">
      <c r="A369" s="6" t="s">
        <v>511</v>
      </c>
      <c r="B369" s="6"/>
      <c r="C369" s="1" t="s">
        <v>546</v>
      </c>
      <c r="D369" s="80">
        <f>D370</f>
        <v>3572.0699999999997</v>
      </c>
      <c r="E369" s="80"/>
      <c r="F369" s="80">
        <f>F370</f>
        <v>3572.0699999999997</v>
      </c>
      <c r="G369" s="80">
        <v>0</v>
      </c>
      <c r="H369" s="80"/>
      <c r="I369" s="80">
        <v>0</v>
      </c>
      <c r="J369" s="80">
        <v>0</v>
      </c>
      <c r="K369" s="80"/>
      <c r="L369" s="80">
        <v>0</v>
      </c>
    </row>
    <row r="370" spans="1:12" ht="26.25" x14ac:dyDescent="0.25">
      <c r="A370" s="16"/>
      <c r="B370" s="6" t="s">
        <v>281</v>
      </c>
      <c r="C370" s="3" t="s">
        <v>282</v>
      </c>
      <c r="D370" s="80">
        <f>SUM(D371:D372)</f>
        <v>3572.0699999999997</v>
      </c>
      <c r="E370" s="80"/>
      <c r="F370" s="80">
        <f>SUM(F371:F372)</f>
        <v>3572.0699999999997</v>
      </c>
      <c r="G370" s="80">
        <v>0</v>
      </c>
      <c r="H370" s="80"/>
      <c r="I370" s="80">
        <v>0</v>
      </c>
      <c r="J370" s="80">
        <v>0</v>
      </c>
      <c r="K370" s="80"/>
      <c r="L370" s="80">
        <v>0</v>
      </c>
    </row>
    <row r="371" spans="1:12" x14ac:dyDescent="0.25">
      <c r="A371" s="16"/>
      <c r="B371" s="6"/>
      <c r="C371" s="53" t="s">
        <v>210</v>
      </c>
      <c r="D371" s="80">
        <v>3214.8629999999998</v>
      </c>
      <c r="E371" s="80"/>
      <c r="F371" s="80">
        <v>3214.8629999999998</v>
      </c>
      <c r="G371" s="80">
        <v>0</v>
      </c>
      <c r="H371" s="80"/>
      <c r="I371" s="80">
        <v>0</v>
      </c>
      <c r="J371" s="80">
        <v>0</v>
      </c>
      <c r="K371" s="80"/>
      <c r="L371" s="80">
        <v>0</v>
      </c>
    </row>
    <row r="372" spans="1:12" x14ac:dyDescent="0.25">
      <c r="A372" s="16"/>
      <c r="B372" s="6"/>
      <c r="C372" s="53" t="s">
        <v>296</v>
      </c>
      <c r="D372" s="80">
        <v>357.20699999999999</v>
      </c>
      <c r="E372" s="80"/>
      <c r="F372" s="80">
        <v>357.20699999999999</v>
      </c>
      <c r="G372" s="80">
        <v>0</v>
      </c>
      <c r="H372" s="80"/>
      <c r="I372" s="80">
        <v>0</v>
      </c>
      <c r="J372" s="80">
        <v>0</v>
      </c>
      <c r="K372" s="80"/>
      <c r="L372" s="80">
        <v>0</v>
      </c>
    </row>
    <row r="373" spans="1:12" x14ac:dyDescent="0.25">
      <c r="A373" s="16" t="s">
        <v>877</v>
      </c>
      <c r="B373" s="6"/>
      <c r="C373" s="53" t="s">
        <v>876</v>
      </c>
      <c r="D373" s="80">
        <v>591.70000000000005</v>
      </c>
      <c r="E373" s="80"/>
      <c r="F373" s="80">
        <f>F374</f>
        <v>591.70000000000005</v>
      </c>
      <c r="G373" s="80">
        <v>0</v>
      </c>
      <c r="H373" s="80"/>
      <c r="I373" s="80">
        <v>0</v>
      </c>
      <c r="J373" s="80">
        <v>0</v>
      </c>
      <c r="K373" s="80"/>
      <c r="L373" s="80">
        <v>0</v>
      </c>
    </row>
    <row r="374" spans="1:12" ht="26.25" x14ac:dyDescent="0.25">
      <c r="A374" s="16"/>
      <c r="B374" s="6" t="s">
        <v>471</v>
      </c>
      <c r="C374" s="3" t="s">
        <v>282</v>
      </c>
      <c r="D374" s="80">
        <v>591.70000000000005</v>
      </c>
      <c r="E374" s="80"/>
      <c r="F374" s="80">
        <v>591.70000000000005</v>
      </c>
      <c r="G374" s="80">
        <v>0</v>
      </c>
      <c r="H374" s="80"/>
      <c r="I374" s="80">
        <v>0</v>
      </c>
      <c r="J374" s="80">
        <v>0</v>
      </c>
      <c r="K374" s="80"/>
      <c r="L374" s="80">
        <v>0</v>
      </c>
    </row>
    <row r="375" spans="1:12" x14ac:dyDescent="0.25">
      <c r="A375" s="6" t="s">
        <v>886</v>
      </c>
      <c r="B375" s="6"/>
      <c r="C375" s="3" t="s">
        <v>880</v>
      </c>
      <c r="D375" s="80">
        <v>746.28099999999995</v>
      </c>
      <c r="E375" s="80"/>
      <c r="F375" s="80">
        <v>746.28099999999995</v>
      </c>
      <c r="G375" s="80">
        <v>627.34082000000001</v>
      </c>
      <c r="H375" s="80"/>
      <c r="I375" s="80">
        <f>I376</f>
        <v>627.34082000000001</v>
      </c>
      <c r="J375" s="80">
        <v>0</v>
      </c>
      <c r="K375" s="80"/>
      <c r="L375" s="80">
        <v>0</v>
      </c>
    </row>
    <row r="376" spans="1:12" ht="26.25" x14ac:dyDescent="0.25">
      <c r="A376" s="16"/>
      <c r="B376" s="6" t="s">
        <v>281</v>
      </c>
      <c r="C376" s="3" t="s">
        <v>282</v>
      </c>
      <c r="D376" s="80">
        <v>746.28099999999995</v>
      </c>
      <c r="E376" s="80"/>
      <c r="F376" s="80">
        <v>746.28099999999995</v>
      </c>
      <c r="G376" s="80">
        <v>627.34082000000001</v>
      </c>
      <c r="H376" s="80"/>
      <c r="I376" s="80">
        <f>I377</f>
        <v>627.34082000000001</v>
      </c>
      <c r="J376" s="80">
        <v>0</v>
      </c>
      <c r="K376" s="80"/>
      <c r="L376" s="80">
        <v>0</v>
      </c>
    </row>
    <row r="377" spans="1:12" x14ac:dyDescent="0.25">
      <c r="A377" s="16"/>
      <c r="B377" s="6"/>
      <c r="C377" s="53" t="s">
        <v>296</v>
      </c>
      <c r="D377" s="80">
        <v>746.28099999999995</v>
      </c>
      <c r="E377" s="80"/>
      <c r="F377" s="80">
        <v>746.28099999999995</v>
      </c>
      <c r="G377" s="80">
        <v>627.34082000000001</v>
      </c>
      <c r="H377" s="80"/>
      <c r="I377" s="80">
        <v>627.34082000000001</v>
      </c>
      <c r="J377" s="80">
        <v>0</v>
      </c>
      <c r="K377" s="80"/>
      <c r="L377" s="80">
        <v>0</v>
      </c>
    </row>
    <row r="378" spans="1:12" ht="26.25" x14ac:dyDescent="0.25">
      <c r="A378" s="16" t="s">
        <v>890</v>
      </c>
      <c r="B378" s="6"/>
      <c r="C378" s="53" t="s">
        <v>891</v>
      </c>
      <c r="D378" s="80">
        <f>D379</f>
        <v>126.3</v>
      </c>
      <c r="E378" s="80"/>
      <c r="F378" s="80">
        <f>F379</f>
        <v>126.3</v>
      </c>
      <c r="G378" s="80">
        <v>0</v>
      </c>
      <c r="H378" s="80"/>
      <c r="I378" s="80">
        <v>0</v>
      </c>
      <c r="J378" s="80">
        <v>0</v>
      </c>
      <c r="K378" s="80"/>
      <c r="L378" s="80">
        <v>0</v>
      </c>
    </row>
    <row r="379" spans="1:12" ht="26.25" x14ac:dyDescent="0.25">
      <c r="A379" s="16"/>
      <c r="B379" s="6" t="s">
        <v>281</v>
      </c>
      <c r="C379" s="3" t="s">
        <v>282</v>
      </c>
      <c r="D379" s="80">
        <v>126.3</v>
      </c>
      <c r="E379" s="80"/>
      <c r="F379" s="80">
        <v>126.3</v>
      </c>
      <c r="G379" s="80">
        <v>0</v>
      </c>
      <c r="H379" s="80"/>
      <c r="I379" s="80">
        <v>0</v>
      </c>
      <c r="J379" s="80">
        <v>0</v>
      </c>
      <c r="K379" s="80"/>
      <c r="L379" s="80">
        <v>0</v>
      </c>
    </row>
    <row r="380" spans="1:12" ht="30.75" customHeight="1" x14ac:dyDescent="0.25">
      <c r="A380" s="33" t="s">
        <v>308</v>
      </c>
      <c r="B380" s="36"/>
      <c r="C380" s="20" t="s">
        <v>309</v>
      </c>
      <c r="D380" s="71">
        <f>D381+D383+D387+D385+D389</f>
        <v>995.9</v>
      </c>
      <c r="E380" s="71">
        <f>E381+E383+E387+E385+E389</f>
        <v>-180</v>
      </c>
      <c r="F380" s="71">
        <f>F381+F383+F387+F385+F389</f>
        <v>815.9</v>
      </c>
      <c r="G380" s="71">
        <f>G381+G383+G387+G385</f>
        <v>589.4</v>
      </c>
      <c r="H380" s="71"/>
      <c r="I380" s="71">
        <f>I381+I383+I387+I385</f>
        <v>589.4</v>
      </c>
      <c r="J380" s="71">
        <f>J381+J383+J387+J385</f>
        <v>1191.5999999999999</v>
      </c>
      <c r="K380" s="71"/>
      <c r="L380" s="71">
        <f>L381+L383+L387+L385</f>
        <v>1191.5999999999999</v>
      </c>
    </row>
    <row r="381" spans="1:12" x14ac:dyDescent="0.25">
      <c r="A381" s="6" t="s">
        <v>310</v>
      </c>
      <c r="B381" s="55"/>
      <c r="C381" s="3" t="s">
        <v>547</v>
      </c>
      <c r="D381" s="80">
        <f>D382</f>
        <v>205.85623999999999</v>
      </c>
      <c r="E381" s="80"/>
      <c r="F381" s="80">
        <f>F382</f>
        <v>205.85623999999999</v>
      </c>
      <c r="G381" s="80">
        <f>G382</f>
        <v>431.4</v>
      </c>
      <c r="H381" s="80"/>
      <c r="I381" s="80">
        <f>I382</f>
        <v>431.4</v>
      </c>
      <c r="J381" s="80">
        <f>J382</f>
        <v>1191.5999999999999</v>
      </c>
      <c r="K381" s="80"/>
      <c r="L381" s="80">
        <f>L382</f>
        <v>1191.5999999999999</v>
      </c>
    </row>
    <row r="382" spans="1:12" s="94" customFormat="1" ht="26.25" x14ac:dyDescent="0.25">
      <c r="A382" s="95"/>
      <c r="B382" s="6" t="s">
        <v>281</v>
      </c>
      <c r="C382" s="3" t="s">
        <v>282</v>
      </c>
      <c r="D382" s="80">
        <v>205.85623999999999</v>
      </c>
      <c r="E382" s="80"/>
      <c r="F382" s="80">
        <f>SUM(D382:E382)</f>
        <v>205.85623999999999</v>
      </c>
      <c r="G382" s="80">
        <v>431.4</v>
      </c>
      <c r="H382" s="80"/>
      <c r="I382" s="80">
        <v>431.4</v>
      </c>
      <c r="J382" s="80">
        <v>1191.5999999999999</v>
      </c>
      <c r="K382" s="80"/>
      <c r="L382" s="80">
        <v>1191.5999999999999</v>
      </c>
    </row>
    <row r="383" spans="1:12" x14ac:dyDescent="0.25">
      <c r="A383" s="6" t="s">
        <v>311</v>
      </c>
      <c r="B383" s="22"/>
      <c r="C383" s="54" t="s">
        <v>312</v>
      </c>
      <c r="D383" s="80">
        <f>D384</f>
        <v>195</v>
      </c>
      <c r="E383" s="296"/>
      <c r="F383" s="80">
        <f>F384</f>
        <v>195</v>
      </c>
      <c r="G383" s="80">
        <f>G384</f>
        <v>158</v>
      </c>
      <c r="H383" s="80"/>
      <c r="I383" s="80">
        <f>I384</f>
        <v>158</v>
      </c>
      <c r="J383" s="80">
        <f>J384</f>
        <v>0</v>
      </c>
      <c r="K383" s="80"/>
      <c r="L383" s="80">
        <f>L384</f>
        <v>0</v>
      </c>
    </row>
    <row r="384" spans="1:12" ht="26.25" x14ac:dyDescent="0.25">
      <c r="A384" s="6"/>
      <c r="B384" s="6" t="s">
        <v>281</v>
      </c>
      <c r="C384" s="3" t="s">
        <v>282</v>
      </c>
      <c r="D384" s="80">
        <v>195</v>
      </c>
      <c r="E384" s="296"/>
      <c r="F384" s="80">
        <f>SUM(D384:E384)</f>
        <v>195</v>
      </c>
      <c r="G384" s="80">
        <v>158</v>
      </c>
      <c r="H384" s="80"/>
      <c r="I384" s="80">
        <v>158</v>
      </c>
      <c r="J384" s="80">
        <v>0</v>
      </c>
      <c r="K384" s="80"/>
      <c r="L384" s="80">
        <v>0</v>
      </c>
    </row>
    <row r="385" spans="1:12" ht="26.25" x14ac:dyDescent="0.25">
      <c r="A385" s="6" t="s">
        <v>313</v>
      </c>
      <c r="B385" s="6"/>
      <c r="C385" s="3" t="s">
        <v>314</v>
      </c>
      <c r="D385" s="80">
        <v>22.5</v>
      </c>
      <c r="E385" s="80"/>
      <c r="F385" s="80">
        <v>22.5</v>
      </c>
      <c r="G385" s="80">
        <v>0</v>
      </c>
      <c r="H385" s="80"/>
      <c r="I385" s="80">
        <v>0</v>
      </c>
      <c r="J385" s="80">
        <v>0</v>
      </c>
      <c r="K385" s="80"/>
      <c r="L385" s="80">
        <v>0</v>
      </c>
    </row>
    <row r="386" spans="1:12" ht="26.25" x14ac:dyDescent="0.25">
      <c r="A386" s="6"/>
      <c r="B386" s="6" t="s">
        <v>281</v>
      </c>
      <c r="C386" s="3" t="s">
        <v>282</v>
      </c>
      <c r="D386" s="80">
        <v>22.5</v>
      </c>
      <c r="E386" s="80"/>
      <c r="F386" s="80">
        <v>22.5</v>
      </c>
      <c r="G386" s="80">
        <v>0</v>
      </c>
      <c r="H386" s="80"/>
      <c r="I386" s="80">
        <v>0</v>
      </c>
      <c r="J386" s="80">
        <v>0</v>
      </c>
      <c r="K386" s="80"/>
      <c r="L386" s="80">
        <v>0</v>
      </c>
    </row>
    <row r="387" spans="1:12" ht="26.25" x14ac:dyDescent="0.25">
      <c r="A387" s="6" t="s">
        <v>315</v>
      </c>
      <c r="B387" s="22"/>
      <c r="C387" s="54" t="s">
        <v>316</v>
      </c>
      <c r="D387" s="80">
        <f>D388</f>
        <v>540.30000000000007</v>
      </c>
      <c r="E387" s="80">
        <f>E388</f>
        <v>-180</v>
      </c>
      <c r="F387" s="80">
        <f>F388</f>
        <v>360.3</v>
      </c>
      <c r="G387" s="80">
        <v>0</v>
      </c>
      <c r="H387" s="80"/>
      <c r="I387" s="80">
        <v>0</v>
      </c>
      <c r="J387" s="80">
        <v>0</v>
      </c>
      <c r="K387" s="80"/>
      <c r="L387" s="80">
        <v>0</v>
      </c>
    </row>
    <row r="388" spans="1:12" s="94" customFormat="1" ht="26.25" x14ac:dyDescent="0.25">
      <c r="A388" s="96"/>
      <c r="B388" s="6" t="s">
        <v>281</v>
      </c>
      <c r="C388" s="3" t="s">
        <v>282</v>
      </c>
      <c r="D388" s="80">
        <f>1080.7-540.4</f>
        <v>540.30000000000007</v>
      </c>
      <c r="E388" s="80">
        <v>-180</v>
      </c>
      <c r="F388" s="80">
        <v>360.3</v>
      </c>
      <c r="G388" s="80">
        <v>0</v>
      </c>
      <c r="H388" s="80"/>
      <c r="I388" s="80">
        <v>0</v>
      </c>
      <c r="J388" s="80">
        <v>0</v>
      </c>
      <c r="K388" s="80"/>
      <c r="L388" s="80">
        <v>0</v>
      </c>
    </row>
    <row r="389" spans="1:12" s="94" customFormat="1" ht="26.25" x14ac:dyDescent="0.25">
      <c r="A389" s="6" t="s">
        <v>893</v>
      </c>
      <c r="B389" s="6"/>
      <c r="C389" s="3" t="s">
        <v>892</v>
      </c>
      <c r="D389" s="80">
        <f>D390</f>
        <v>32.243760000000002</v>
      </c>
      <c r="E389" s="80"/>
      <c r="F389" s="80">
        <f>F390</f>
        <v>32.243760000000002</v>
      </c>
      <c r="G389" s="80">
        <v>0</v>
      </c>
      <c r="H389" s="80"/>
      <c r="I389" s="80">
        <v>0</v>
      </c>
      <c r="J389" s="80">
        <v>0</v>
      </c>
      <c r="K389" s="80"/>
      <c r="L389" s="80">
        <v>0</v>
      </c>
    </row>
    <row r="390" spans="1:12" s="94" customFormat="1" ht="26.25" x14ac:dyDescent="0.25">
      <c r="A390" s="96"/>
      <c r="B390" s="6" t="s">
        <v>281</v>
      </c>
      <c r="C390" s="3" t="s">
        <v>282</v>
      </c>
      <c r="D390" s="80">
        <v>32.243760000000002</v>
      </c>
      <c r="E390" s="80"/>
      <c r="F390" s="80">
        <v>32.243760000000002</v>
      </c>
      <c r="G390" s="80">
        <v>0</v>
      </c>
      <c r="H390" s="80"/>
      <c r="I390" s="80">
        <v>0</v>
      </c>
      <c r="J390" s="80">
        <v>0</v>
      </c>
      <c r="K390" s="80"/>
      <c r="L390" s="80">
        <v>0</v>
      </c>
    </row>
    <row r="391" spans="1:12" ht="39" x14ac:dyDescent="0.25">
      <c r="A391" s="33" t="s">
        <v>317</v>
      </c>
      <c r="B391" s="36"/>
      <c r="C391" s="20" t="s">
        <v>473</v>
      </c>
      <c r="D391" s="71">
        <f t="shared" ref="D391:J392" si="57">D392</f>
        <v>113</v>
      </c>
      <c r="E391" s="71"/>
      <c r="F391" s="71">
        <f t="shared" si="57"/>
        <v>113</v>
      </c>
      <c r="G391" s="71">
        <f t="shared" si="57"/>
        <v>113</v>
      </c>
      <c r="H391" s="71"/>
      <c r="I391" s="71">
        <f t="shared" si="57"/>
        <v>113</v>
      </c>
      <c r="J391" s="71">
        <f t="shared" si="57"/>
        <v>113</v>
      </c>
      <c r="K391" s="71"/>
      <c r="L391" s="71">
        <f>L392</f>
        <v>113</v>
      </c>
    </row>
    <row r="392" spans="1:12" ht="38.25" x14ac:dyDescent="0.25">
      <c r="A392" s="16" t="s">
        <v>512</v>
      </c>
      <c r="B392" s="16"/>
      <c r="C392" s="1" t="s">
        <v>548</v>
      </c>
      <c r="D392" s="80">
        <f t="shared" si="57"/>
        <v>113</v>
      </c>
      <c r="E392" s="80"/>
      <c r="F392" s="80">
        <f t="shared" si="57"/>
        <v>113</v>
      </c>
      <c r="G392" s="80">
        <f t="shared" si="57"/>
        <v>113</v>
      </c>
      <c r="H392" s="80"/>
      <c r="I392" s="80">
        <f t="shared" si="57"/>
        <v>113</v>
      </c>
      <c r="J392" s="80">
        <f t="shared" si="57"/>
        <v>113</v>
      </c>
      <c r="K392" s="80"/>
      <c r="L392" s="80">
        <f>L393</f>
        <v>113</v>
      </c>
    </row>
    <row r="393" spans="1:12" ht="26.25" x14ac:dyDescent="0.25">
      <c r="A393" s="16"/>
      <c r="B393" s="6" t="s">
        <v>281</v>
      </c>
      <c r="C393" s="3" t="s">
        <v>282</v>
      </c>
      <c r="D393" s="80">
        <v>113</v>
      </c>
      <c r="E393" s="80"/>
      <c r="F393" s="80">
        <v>113</v>
      </c>
      <c r="G393" s="80">
        <v>113</v>
      </c>
      <c r="H393" s="80"/>
      <c r="I393" s="80">
        <v>113</v>
      </c>
      <c r="J393" s="80">
        <v>113</v>
      </c>
      <c r="K393" s="80"/>
      <c r="L393" s="80">
        <v>113</v>
      </c>
    </row>
    <row r="394" spans="1:12" ht="26.25" x14ac:dyDescent="0.25">
      <c r="A394" s="33" t="s">
        <v>549</v>
      </c>
      <c r="B394" s="33"/>
      <c r="C394" s="20" t="s">
        <v>550</v>
      </c>
      <c r="D394" s="71">
        <f t="shared" ref="D394:F395" si="58">D395</f>
        <v>18250.5</v>
      </c>
      <c r="E394" s="71">
        <f>E395</f>
        <v>0</v>
      </c>
      <c r="F394" s="71">
        <f t="shared" si="58"/>
        <v>18250.5</v>
      </c>
      <c r="G394" s="71">
        <f t="shared" ref="G394:I395" si="59">G395</f>
        <v>17229.099999999999</v>
      </c>
      <c r="H394" s="71"/>
      <c r="I394" s="71">
        <f t="shared" si="59"/>
        <v>17229.099999999999</v>
      </c>
      <c r="J394" s="71">
        <f t="shared" ref="J394:L395" si="60">J395</f>
        <v>18250.5</v>
      </c>
      <c r="K394" s="71"/>
      <c r="L394" s="71">
        <f t="shared" si="60"/>
        <v>18250.5</v>
      </c>
    </row>
    <row r="395" spans="1:12" ht="25.5" x14ac:dyDescent="0.25">
      <c r="A395" s="6" t="s">
        <v>551</v>
      </c>
      <c r="B395" s="6"/>
      <c r="C395" s="21" t="s">
        <v>674</v>
      </c>
      <c r="D395" s="70">
        <f t="shared" si="58"/>
        <v>18250.5</v>
      </c>
      <c r="E395" s="70"/>
      <c r="F395" s="70">
        <f t="shared" si="58"/>
        <v>18250.5</v>
      </c>
      <c r="G395" s="70">
        <f t="shared" si="59"/>
        <v>17229.099999999999</v>
      </c>
      <c r="H395" s="70"/>
      <c r="I395" s="70">
        <f t="shared" si="59"/>
        <v>17229.099999999999</v>
      </c>
      <c r="J395" s="70">
        <f t="shared" si="60"/>
        <v>18250.5</v>
      </c>
      <c r="K395" s="70"/>
      <c r="L395" s="70">
        <f t="shared" si="60"/>
        <v>18250.5</v>
      </c>
    </row>
    <row r="396" spans="1:12" ht="25.5" x14ac:dyDescent="0.25">
      <c r="A396" s="6"/>
      <c r="B396" s="6" t="s">
        <v>471</v>
      </c>
      <c r="C396" s="1" t="s">
        <v>472</v>
      </c>
      <c r="D396" s="70">
        <v>18250.5</v>
      </c>
      <c r="E396" s="70"/>
      <c r="F396" s="70">
        <f>SUM(D396:E396)</f>
        <v>18250.5</v>
      </c>
      <c r="G396" s="70">
        <v>17229.099999999999</v>
      </c>
      <c r="H396" s="70"/>
      <c r="I396" s="70">
        <v>17229.099999999999</v>
      </c>
      <c r="J396" s="70">
        <v>18250.5</v>
      </c>
      <c r="K396" s="70"/>
      <c r="L396" s="70">
        <v>18250.5</v>
      </c>
    </row>
    <row r="397" spans="1:12" ht="26.25" x14ac:dyDescent="0.25">
      <c r="A397" s="31" t="s">
        <v>318</v>
      </c>
      <c r="B397" s="31"/>
      <c r="C397" s="52" t="s">
        <v>319</v>
      </c>
      <c r="D397" s="75">
        <f t="shared" ref="D397:J397" si="61">D398+D412</f>
        <v>13039.612230000001</v>
      </c>
      <c r="E397" s="75">
        <f>E398+E412</f>
        <v>23.299999999999997</v>
      </c>
      <c r="F397" s="75">
        <f t="shared" si="61"/>
        <v>13062.91223</v>
      </c>
      <c r="G397" s="75">
        <f t="shared" si="61"/>
        <v>14241.31969</v>
      </c>
      <c r="H397" s="75">
        <f>H398+H412</f>
        <v>0</v>
      </c>
      <c r="I397" s="75">
        <f t="shared" si="61"/>
        <v>14241.31969</v>
      </c>
      <c r="J397" s="75">
        <f t="shared" si="61"/>
        <v>0</v>
      </c>
      <c r="K397" s="75"/>
      <c r="L397" s="75">
        <f>L398+L412</f>
        <v>0</v>
      </c>
    </row>
    <row r="398" spans="1:12" ht="39" x14ac:dyDescent="0.25">
      <c r="A398" s="33" t="s">
        <v>320</v>
      </c>
      <c r="B398" s="33"/>
      <c r="C398" s="20" t="s">
        <v>321</v>
      </c>
      <c r="D398" s="71">
        <f>D399+D402+D404+D406+D410</f>
        <v>11566.712230000001</v>
      </c>
      <c r="E398" s="71">
        <f>E399+E402+E404+E406+E410</f>
        <v>23.299999999999997</v>
      </c>
      <c r="F398" s="71">
        <f>F399+F402+F404+F406+F410</f>
        <v>11590.01223</v>
      </c>
      <c r="G398" s="71">
        <f>G399+G402+G404+G406</f>
        <v>6022.3196900000003</v>
      </c>
      <c r="H398" s="71">
        <f>H399+H402+H404+H406</f>
        <v>0</v>
      </c>
      <c r="I398" s="71">
        <f>I399+I402+I404+I406</f>
        <v>6022.3196900000003</v>
      </c>
      <c r="J398" s="71">
        <f>J399+J402+J404+J406</f>
        <v>0</v>
      </c>
      <c r="K398" s="71"/>
      <c r="L398" s="71">
        <f>L399+L402+L404+L406</f>
        <v>0</v>
      </c>
    </row>
    <row r="399" spans="1:12" s="94" customFormat="1" ht="26.25" x14ac:dyDescent="0.25">
      <c r="A399" s="6" t="s">
        <v>322</v>
      </c>
      <c r="B399" s="6"/>
      <c r="C399" s="54" t="s">
        <v>323</v>
      </c>
      <c r="D399" s="80">
        <f>D400+D401</f>
        <v>6314.3</v>
      </c>
      <c r="E399" s="80">
        <f>E400+E401</f>
        <v>80</v>
      </c>
      <c r="F399" s="80">
        <f>F400+F401</f>
        <v>6394.3</v>
      </c>
      <c r="G399" s="80">
        <f>G400</f>
        <v>0</v>
      </c>
      <c r="H399" s="80"/>
      <c r="I399" s="80">
        <f>I400</f>
        <v>0</v>
      </c>
      <c r="J399" s="80">
        <f>J400</f>
        <v>0</v>
      </c>
      <c r="K399" s="80"/>
      <c r="L399" s="80">
        <f>L400</f>
        <v>0</v>
      </c>
    </row>
    <row r="400" spans="1:12" ht="26.25" x14ac:dyDescent="0.25">
      <c r="A400" s="12"/>
      <c r="B400" s="313" t="s">
        <v>281</v>
      </c>
      <c r="C400" s="314" t="s">
        <v>282</v>
      </c>
      <c r="D400" s="315">
        <v>6024.3</v>
      </c>
      <c r="E400" s="315"/>
      <c r="F400" s="315">
        <f>SUM(D400:E400)</f>
        <v>6024.3</v>
      </c>
      <c r="G400" s="80">
        <v>0</v>
      </c>
      <c r="H400" s="80"/>
      <c r="I400" s="80">
        <v>0</v>
      </c>
      <c r="J400" s="80">
        <f>3880.1-3880.1</f>
        <v>0</v>
      </c>
      <c r="K400" s="80"/>
      <c r="L400" s="80">
        <f>3880.1-3880.1</f>
        <v>0</v>
      </c>
    </row>
    <row r="401" spans="1:12" ht="25.5" x14ac:dyDescent="0.25">
      <c r="A401" s="12"/>
      <c r="B401" s="313" t="s">
        <v>471</v>
      </c>
      <c r="C401" s="316" t="s">
        <v>472</v>
      </c>
      <c r="D401" s="315">
        <v>290</v>
      </c>
      <c r="E401" s="315">
        <v>80</v>
      </c>
      <c r="F401" s="315">
        <f>290+80</f>
        <v>370</v>
      </c>
      <c r="G401" s="80">
        <v>0</v>
      </c>
      <c r="H401" s="80"/>
      <c r="I401" s="80">
        <v>0</v>
      </c>
      <c r="J401" s="80">
        <v>0</v>
      </c>
      <c r="K401" s="80"/>
      <c r="L401" s="80">
        <v>0</v>
      </c>
    </row>
    <row r="402" spans="1:12" ht="39" x14ac:dyDescent="0.25">
      <c r="A402" s="6" t="s">
        <v>460</v>
      </c>
      <c r="B402" s="6"/>
      <c r="C402" s="3" t="s">
        <v>324</v>
      </c>
      <c r="D402" s="70">
        <f>D403</f>
        <v>1023.4</v>
      </c>
      <c r="E402" s="70"/>
      <c r="F402" s="70">
        <f>F403</f>
        <v>1023.4</v>
      </c>
      <c r="G402" s="70">
        <f>G403</f>
        <v>0</v>
      </c>
      <c r="H402" s="70"/>
      <c r="I402" s="70">
        <f>I403</f>
        <v>0</v>
      </c>
      <c r="J402" s="70">
        <f>J403</f>
        <v>0</v>
      </c>
      <c r="K402" s="70"/>
      <c r="L402" s="70">
        <f>L403</f>
        <v>0</v>
      </c>
    </row>
    <row r="403" spans="1:12" ht="26.25" x14ac:dyDescent="0.25">
      <c r="A403" s="6"/>
      <c r="B403" s="6" t="s">
        <v>281</v>
      </c>
      <c r="C403" s="3" t="s">
        <v>282</v>
      </c>
      <c r="D403" s="70">
        <v>1023.4</v>
      </c>
      <c r="E403" s="70"/>
      <c r="F403" s="70">
        <f>SUM(D403:E403)</f>
        <v>1023.4</v>
      </c>
      <c r="G403" s="70">
        <v>0</v>
      </c>
      <c r="H403" s="70"/>
      <c r="I403" s="70">
        <v>0</v>
      </c>
      <c r="J403" s="70">
        <v>0</v>
      </c>
      <c r="K403" s="70"/>
      <c r="L403" s="70">
        <v>0</v>
      </c>
    </row>
    <row r="404" spans="1:12" x14ac:dyDescent="0.25">
      <c r="A404" s="16" t="s">
        <v>673</v>
      </c>
      <c r="B404" s="18"/>
      <c r="C404" s="1" t="s">
        <v>503</v>
      </c>
      <c r="D404" s="80">
        <f>D405</f>
        <v>356.8</v>
      </c>
      <c r="E404" s="296"/>
      <c r="F404" s="80">
        <f>F405</f>
        <v>356.8</v>
      </c>
      <c r="G404" s="80">
        <v>0</v>
      </c>
      <c r="H404" s="80"/>
      <c r="I404" s="80">
        <v>0</v>
      </c>
      <c r="J404" s="80">
        <v>0</v>
      </c>
      <c r="K404" s="80"/>
      <c r="L404" s="80">
        <v>0</v>
      </c>
    </row>
    <row r="405" spans="1:12" ht="26.25" x14ac:dyDescent="0.25">
      <c r="A405" s="16"/>
      <c r="B405" s="6" t="s">
        <v>281</v>
      </c>
      <c r="C405" s="3" t="s">
        <v>282</v>
      </c>
      <c r="D405" s="80">
        <v>356.8</v>
      </c>
      <c r="E405" s="296"/>
      <c r="F405" s="80">
        <f>SUM(D405:E405)</f>
        <v>356.8</v>
      </c>
      <c r="G405" s="80">
        <v>0</v>
      </c>
      <c r="H405" s="80"/>
      <c r="I405" s="80">
        <v>0</v>
      </c>
      <c r="J405" s="80">
        <v>0</v>
      </c>
      <c r="K405" s="80"/>
      <c r="L405" s="80">
        <v>0</v>
      </c>
    </row>
    <row r="406" spans="1:12" s="94" customFormat="1" ht="51" x14ac:dyDescent="0.25">
      <c r="A406" s="6" t="s">
        <v>913</v>
      </c>
      <c r="B406" s="6"/>
      <c r="C406" s="1" t="s">
        <v>504</v>
      </c>
      <c r="D406" s="80">
        <f>D407</f>
        <v>3615.5122299999998</v>
      </c>
      <c r="E406" s="80"/>
      <c r="F406" s="80">
        <f>F407</f>
        <v>3615.5122299999998</v>
      </c>
      <c r="G406" s="80">
        <f>G407</f>
        <v>6022.3196900000003</v>
      </c>
      <c r="H406" s="80">
        <f>H407</f>
        <v>0</v>
      </c>
      <c r="I406" s="80">
        <f>I407</f>
        <v>6022.3196900000003</v>
      </c>
      <c r="J406" s="80">
        <v>0</v>
      </c>
      <c r="K406" s="80"/>
      <c r="L406" s="80">
        <v>0</v>
      </c>
    </row>
    <row r="407" spans="1:12" ht="26.25" x14ac:dyDescent="0.25">
      <c r="A407" s="16"/>
      <c r="B407" s="6" t="s">
        <v>281</v>
      </c>
      <c r="C407" s="3" t="s">
        <v>282</v>
      </c>
      <c r="D407" s="80">
        <f>D408+D409</f>
        <v>3615.5122299999998</v>
      </c>
      <c r="E407" s="80"/>
      <c r="F407" s="80">
        <f>F408+F409</f>
        <v>3615.5122299999998</v>
      </c>
      <c r="G407" s="80">
        <f>G408+G409</f>
        <v>6022.3196900000003</v>
      </c>
      <c r="H407" s="80">
        <f>H409</f>
        <v>0</v>
      </c>
      <c r="I407" s="80">
        <f>I408+I409</f>
        <v>6022.3196900000003</v>
      </c>
      <c r="J407" s="80">
        <v>0</v>
      </c>
      <c r="K407" s="80"/>
      <c r="L407" s="80">
        <v>0</v>
      </c>
    </row>
    <row r="408" spans="1:12" x14ac:dyDescent="0.25">
      <c r="A408" s="16"/>
      <c r="B408" s="6"/>
      <c r="C408" s="3" t="s">
        <v>153</v>
      </c>
      <c r="D408" s="80">
        <v>2711.6341699999998</v>
      </c>
      <c r="E408" s="80"/>
      <c r="F408" s="80">
        <v>2711.6341699999998</v>
      </c>
      <c r="G408" s="80">
        <v>3891.8873600000002</v>
      </c>
      <c r="H408" s="80"/>
      <c r="I408" s="80">
        <v>3891.8873600000002</v>
      </c>
      <c r="J408" s="80">
        <v>0</v>
      </c>
      <c r="K408" s="80"/>
      <c r="L408" s="80">
        <v>0</v>
      </c>
    </row>
    <row r="409" spans="1:12" x14ac:dyDescent="0.25">
      <c r="A409" s="16"/>
      <c r="B409" s="6"/>
      <c r="C409" s="19" t="s">
        <v>105</v>
      </c>
      <c r="D409" s="80">
        <v>903.87806</v>
      </c>
      <c r="E409" s="80"/>
      <c r="F409" s="80">
        <v>903.87806</v>
      </c>
      <c r="G409" s="80">
        <v>2130.4323299999996</v>
      </c>
      <c r="H409" s="80"/>
      <c r="I409" s="80">
        <f>SUM(G409:H409)</f>
        <v>2130.4323299999996</v>
      </c>
      <c r="J409" s="80">
        <v>0</v>
      </c>
      <c r="K409" s="80"/>
      <c r="L409" s="80">
        <v>0</v>
      </c>
    </row>
    <row r="410" spans="1:12" ht="26.25" x14ac:dyDescent="0.25">
      <c r="A410" s="22" t="s">
        <v>834</v>
      </c>
      <c r="B410" s="22"/>
      <c r="C410" s="54" t="s">
        <v>879</v>
      </c>
      <c r="D410" s="80">
        <f>D411</f>
        <v>256.7</v>
      </c>
      <c r="E410" s="80">
        <f>E411</f>
        <v>-56.7</v>
      </c>
      <c r="F410" s="80">
        <f>F411</f>
        <v>200</v>
      </c>
      <c r="G410" s="80">
        <f>G411</f>
        <v>0</v>
      </c>
      <c r="H410" s="80"/>
      <c r="I410" s="80">
        <f>I411</f>
        <v>0</v>
      </c>
      <c r="J410" s="80">
        <f>J411</f>
        <v>0</v>
      </c>
      <c r="K410" s="80"/>
      <c r="L410" s="80">
        <f>L411</f>
        <v>0</v>
      </c>
    </row>
    <row r="411" spans="1:12" ht="26.25" x14ac:dyDescent="0.25">
      <c r="A411" s="22"/>
      <c r="B411" s="22" t="s">
        <v>281</v>
      </c>
      <c r="C411" s="54" t="s">
        <v>282</v>
      </c>
      <c r="D411" s="80">
        <v>256.7</v>
      </c>
      <c r="E411" s="80">
        <v>-56.7</v>
      </c>
      <c r="F411" s="80">
        <f>SUM(D411:E411)</f>
        <v>200</v>
      </c>
      <c r="G411" s="80">
        <v>0</v>
      </c>
      <c r="H411" s="80"/>
      <c r="I411" s="80">
        <v>0</v>
      </c>
      <c r="J411" s="80">
        <v>0</v>
      </c>
      <c r="K411" s="80"/>
      <c r="L411" s="80">
        <v>0</v>
      </c>
    </row>
    <row r="412" spans="1:12" ht="26.25" x14ac:dyDescent="0.25">
      <c r="A412" s="33" t="s">
        <v>325</v>
      </c>
      <c r="B412" s="33"/>
      <c r="C412" s="20" t="s">
        <v>326</v>
      </c>
      <c r="D412" s="71">
        <f>D413+D415</f>
        <v>1472.9</v>
      </c>
      <c r="E412" s="71">
        <f>E415</f>
        <v>0</v>
      </c>
      <c r="F412" s="71">
        <f t="shared" ref="F412:L412" si="62">F413+F415</f>
        <v>1472.9</v>
      </c>
      <c r="G412" s="71">
        <f t="shared" si="62"/>
        <v>8219</v>
      </c>
      <c r="H412" s="71"/>
      <c r="I412" s="71">
        <f t="shared" si="62"/>
        <v>8219</v>
      </c>
      <c r="J412" s="71">
        <f t="shared" si="62"/>
        <v>0</v>
      </c>
      <c r="K412" s="71"/>
      <c r="L412" s="71">
        <f t="shared" si="62"/>
        <v>0</v>
      </c>
    </row>
    <row r="413" spans="1:12" ht="25.5" x14ac:dyDescent="0.25">
      <c r="A413" s="6" t="s">
        <v>327</v>
      </c>
      <c r="B413" s="16"/>
      <c r="C413" s="1" t="s">
        <v>328</v>
      </c>
      <c r="D413" s="70">
        <f>D414</f>
        <v>1133.7</v>
      </c>
      <c r="E413" s="70"/>
      <c r="F413" s="70">
        <f>F414</f>
        <v>1133.7</v>
      </c>
      <c r="G413" s="70">
        <f>G414</f>
        <v>0</v>
      </c>
      <c r="H413" s="70"/>
      <c r="I413" s="70">
        <f>I414</f>
        <v>0</v>
      </c>
      <c r="J413" s="70">
        <f>J414</f>
        <v>0</v>
      </c>
      <c r="K413" s="70"/>
      <c r="L413" s="70">
        <f>L414</f>
        <v>0</v>
      </c>
    </row>
    <row r="414" spans="1:12" ht="26.25" x14ac:dyDescent="0.25">
      <c r="A414" s="6"/>
      <c r="B414" s="6" t="s">
        <v>281</v>
      </c>
      <c r="C414" s="3" t="s">
        <v>282</v>
      </c>
      <c r="D414" s="70">
        <v>1133.7</v>
      </c>
      <c r="E414" s="70"/>
      <c r="F414" s="70">
        <v>1133.7</v>
      </c>
      <c r="G414" s="70">
        <v>0</v>
      </c>
      <c r="H414" s="70"/>
      <c r="I414" s="70">
        <v>0</v>
      </c>
      <c r="J414" s="70">
        <v>0</v>
      </c>
      <c r="K414" s="70"/>
      <c r="L414" s="70">
        <v>0</v>
      </c>
    </row>
    <row r="415" spans="1:12" x14ac:dyDescent="0.25">
      <c r="A415" s="6" t="s">
        <v>859</v>
      </c>
      <c r="B415" s="4"/>
      <c r="C415" s="19" t="s">
        <v>860</v>
      </c>
      <c r="D415" s="70">
        <f>D416</f>
        <v>339.2</v>
      </c>
      <c r="E415" s="70"/>
      <c r="F415" s="70">
        <f>F416</f>
        <v>339.2</v>
      </c>
      <c r="G415" s="70">
        <f>G416</f>
        <v>8219</v>
      </c>
      <c r="H415" s="70"/>
      <c r="I415" s="70">
        <f>I416</f>
        <v>8219</v>
      </c>
      <c r="J415" s="70">
        <v>0</v>
      </c>
      <c r="K415" s="70"/>
      <c r="L415" s="70">
        <v>0</v>
      </c>
    </row>
    <row r="416" spans="1:12" ht="26.25" x14ac:dyDescent="0.25">
      <c r="A416" s="6"/>
      <c r="B416" s="6" t="s">
        <v>281</v>
      </c>
      <c r="C416" s="3" t="s">
        <v>282</v>
      </c>
      <c r="D416" s="70">
        <v>339.2</v>
      </c>
      <c r="E416" s="70"/>
      <c r="F416" s="70">
        <v>339.2</v>
      </c>
      <c r="G416" s="70">
        <v>8219</v>
      </c>
      <c r="H416" s="70"/>
      <c r="I416" s="70">
        <v>8219</v>
      </c>
      <c r="J416" s="70">
        <v>0</v>
      </c>
      <c r="K416" s="70"/>
      <c r="L416" s="70">
        <v>0</v>
      </c>
    </row>
    <row r="417" spans="1:12" ht="26.25" x14ac:dyDescent="0.25">
      <c r="A417" s="29" t="s">
        <v>329</v>
      </c>
      <c r="B417" s="29"/>
      <c r="C417" s="37" t="s">
        <v>330</v>
      </c>
      <c r="D417" s="72">
        <f t="shared" ref="D417:J417" si="63">D418+D450+D454</f>
        <v>113721.28245000001</v>
      </c>
      <c r="E417" s="72">
        <f t="shared" si="63"/>
        <v>532.19999999999993</v>
      </c>
      <c r="F417" s="72">
        <f t="shared" si="63"/>
        <v>114253.48245000001</v>
      </c>
      <c r="G417" s="72">
        <f t="shared" si="63"/>
        <v>108920.05175</v>
      </c>
      <c r="H417" s="72">
        <f t="shared" si="63"/>
        <v>0</v>
      </c>
      <c r="I417" s="72">
        <f t="shared" si="63"/>
        <v>108920.05175</v>
      </c>
      <c r="J417" s="72">
        <f t="shared" si="63"/>
        <v>58326.899999999994</v>
      </c>
      <c r="K417" s="72"/>
      <c r="L417" s="72">
        <f>L418+L450+L454</f>
        <v>58326.899999999994</v>
      </c>
    </row>
    <row r="418" spans="1:12" ht="26.25" x14ac:dyDescent="0.25">
      <c r="A418" s="31" t="s">
        <v>331</v>
      </c>
      <c r="B418" s="31"/>
      <c r="C418" s="32" t="s">
        <v>332</v>
      </c>
      <c r="D418" s="75">
        <f>D419+D422+D429+D432+D441+D444</f>
        <v>103989.87000000001</v>
      </c>
      <c r="E418" s="75">
        <f>E419+E422+E429+E432+E441+E444</f>
        <v>1184</v>
      </c>
      <c r="F418" s="75">
        <f t="shared" ref="F418:L418" si="64">F419+F422+F429+F432+F441+F444</f>
        <v>105173.87000000001</v>
      </c>
      <c r="G418" s="75">
        <f t="shared" si="64"/>
        <v>104452.15175</v>
      </c>
      <c r="H418" s="75"/>
      <c r="I418" s="75">
        <f t="shared" si="64"/>
        <v>104452.15175</v>
      </c>
      <c r="J418" s="75">
        <f t="shared" si="64"/>
        <v>58326.899999999994</v>
      </c>
      <c r="K418" s="75"/>
      <c r="L418" s="75">
        <f t="shared" si="64"/>
        <v>58326.899999999994</v>
      </c>
    </row>
    <row r="419" spans="1:12" x14ac:dyDescent="0.25">
      <c r="A419" s="33" t="s">
        <v>333</v>
      </c>
      <c r="B419" s="33"/>
      <c r="C419" s="34" t="s">
        <v>334</v>
      </c>
      <c r="D419" s="71">
        <f t="shared" ref="D419:G420" si="65">D420</f>
        <v>516</v>
      </c>
      <c r="E419" s="71">
        <f t="shared" si="65"/>
        <v>-16</v>
      </c>
      <c r="F419" s="71">
        <f t="shared" si="65"/>
        <v>500</v>
      </c>
      <c r="G419" s="71">
        <f t="shared" si="65"/>
        <v>516</v>
      </c>
      <c r="H419" s="71"/>
      <c r="I419" s="71">
        <f>I420</f>
        <v>516</v>
      </c>
      <c r="J419" s="71">
        <f>J420</f>
        <v>0</v>
      </c>
      <c r="K419" s="71"/>
      <c r="L419" s="71">
        <f>L420</f>
        <v>0</v>
      </c>
    </row>
    <row r="420" spans="1:12" ht="26.25" x14ac:dyDescent="0.25">
      <c r="A420" s="6" t="s">
        <v>335</v>
      </c>
      <c r="B420" s="12"/>
      <c r="C420" s="3" t="s">
        <v>554</v>
      </c>
      <c r="D420" s="70">
        <f t="shared" si="65"/>
        <v>516</v>
      </c>
      <c r="E420" s="70">
        <f t="shared" si="65"/>
        <v>-16</v>
      </c>
      <c r="F420" s="70">
        <f t="shared" si="65"/>
        <v>500</v>
      </c>
      <c r="G420" s="70">
        <f t="shared" si="65"/>
        <v>516</v>
      </c>
      <c r="H420" s="70"/>
      <c r="I420" s="70">
        <f>I421</f>
        <v>516</v>
      </c>
      <c r="J420" s="70">
        <f>J421</f>
        <v>0</v>
      </c>
      <c r="K420" s="70"/>
      <c r="L420" s="70">
        <f>L421</f>
        <v>0</v>
      </c>
    </row>
    <row r="421" spans="1:12" ht="26.25" x14ac:dyDescent="0.25">
      <c r="A421" s="6"/>
      <c r="B421" s="6" t="s">
        <v>281</v>
      </c>
      <c r="C421" s="3" t="s">
        <v>282</v>
      </c>
      <c r="D421" s="70">
        <v>516</v>
      </c>
      <c r="E421" s="70">
        <v>-16</v>
      </c>
      <c r="F421" s="70">
        <f>516-16</f>
        <v>500</v>
      </c>
      <c r="G421" s="70">
        <v>516</v>
      </c>
      <c r="H421" s="70"/>
      <c r="I421" s="70">
        <v>516</v>
      </c>
      <c r="J421" s="70">
        <v>0</v>
      </c>
      <c r="K421" s="70"/>
      <c r="L421" s="70">
        <v>0</v>
      </c>
    </row>
    <row r="422" spans="1:12" x14ac:dyDescent="0.25">
      <c r="A422" s="33" t="s">
        <v>846</v>
      </c>
      <c r="B422" s="33"/>
      <c r="C422" s="34" t="s">
        <v>847</v>
      </c>
      <c r="D422" s="71">
        <f>D423+D425</f>
        <v>3220.5</v>
      </c>
      <c r="E422" s="71">
        <f>E423+E425+E427</f>
        <v>0</v>
      </c>
      <c r="F422" s="71">
        <f>F423+F425+F427</f>
        <v>3220.5</v>
      </c>
      <c r="G422" s="71">
        <f>G423</f>
        <v>0</v>
      </c>
      <c r="H422" s="71"/>
      <c r="I422" s="71">
        <f>I423</f>
        <v>0</v>
      </c>
      <c r="J422" s="71">
        <f>J423</f>
        <v>0</v>
      </c>
      <c r="K422" s="71"/>
      <c r="L422" s="71">
        <f>L423</f>
        <v>0</v>
      </c>
    </row>
    <row r="423" spans="1:12" ht="26.25" x14ac:dyDescent="0.25">
      <c r="A423" s="6" t="s">
        <v>848</v>
      </c>
      <c r="B423" s="12"/>
      <c r="C423" s="3" t="s">
        <v>849</v>
      </c>
      <c r="D423" s="70">
        <f>D424</f>
        <v>3150</v>
      </c>
      <c r="E423" s="70"/>
      <c r="F423" s="70">
        <f>F424</f>
        <v>3150</v>
      </c>
      <c r="G423" s="70">
        <f>G424</f>
        <v>0</v>
      </c>
      <c r="H423" s="70"/>
      <c r="I423" s="70">
        <f>I424</f>
        <v>0</v>
      </c>
      <c r="J423" s="70">
        <f>J424</f>
        <v>0</v>
      </c>
      <c r="K423" s="70"/>
      <c r="L423" s="70">
        <f>L424</f>
        <v>0</v>
      </c>
    </row>
    <row r="424" spans="1:12" ht="26.25" x14ac:dyDescent="0.25">
      <c r="A424" s="6"/>
      <c r="B424" s="6" t="s">
        <v>281</v>
      </c>
      <c r="C424" s="3" t="s">
        <v>282</v>
      </c>
      <c r="D424" s="70">
        <v>3150</v>
      </c>
      <c r="E424" s="70"/>
      <c r="F424" s="70">
        <v>3150</v>
      </c>
      <c r="G424" s="70">
        <v>0</v>
      </c>
      <c r="H424" s="70"/>
      <c r="I424" s="70">
        <v>0</v>
      </c>
      <c r="J424" s="70">
        <v>0</v>
      </c>
      <c r="K424" s="70"/>
      <c r="L424" s="70">
        <v>0</v>
      </c>
    </row>
    <row r="425" spans="1:12" ht="51.75" x14ac:dyDescent="0.25">
      <c r="A425" s="6" t="s">
        <v>869</v>
      </c>
      <c r="B425" s="6"/>
      <c r="C425" s="3" t="s">
        <v>870</v>
      </c>
      <c r="D425" s="70">
        <f>D426</f>
        <v>70.5</v>
      </c>
      <c r="E425" s="70"/>
      <c r="F425" s="70">
        <f>F426</f>
        <v>70.5</v>
      </c>
      <c r="G425" s="70">
        <v>0</v>
      </c>
      <c r="H425" s="70"/>
      <c r="I425" s="70">
        <v>0</v>
      </c>
      <c r="J425" s="70">
        <v>0</v>
      </c>
      <c r="K425" s="70"/>
      <c r="L425" s="70">
        <v>0</v>
      </c>
    </row>
    <row r="426" spans="1:12" ht="26.25" x14ac:dyDescent="0.25">
      <c r="A426" s="6"/>
      <c r="B426" s="6" t="s">
        <v>281</v>
      </c>
      <c r="C426" s="3" t="s">
        <v>282</v>
      </c>
      <c r="D426" s="70">
        <v>70.5</v>
      </c>
      <c r="E426" s="70"/>
      <c r="F426" s="70">
        <v>70.5</v>
      </c>
      <c r="G426" s="70">
        <v>0</v>
      </c>
      <c r="H426" s="70"/>
      <c r="I426" s="70">
        <v>0</v>
      </c>
      <c r="J426" s="70">
        <v>0</v>
      </c>
      <c r="K426" s="70"/>
      <c r="L426" s="70">
        <v>0</v>
      </c>
    </row>
    <row r="427" spans="1:12" ht="26.25" hidden="1" x14ac:dyDescent="0.25">
      <c r="A427" s="6" t="s">
        <v>916</v>
      </c>
      <c r="B427" s="12"/>
      <c r="C427" s="3" t="s">
        <v>917</v>
      </c>
      <c r="D427" s="70">
        <v>0</v>
      </c>
      <c r="E427" s="70">
        <f>E428</f>
        <v>0</v>
      </c>
      <c r="F427" s="70">
        <f>F428</f>
        <v>0</v>
      </c>
      <c r="G427" s="70">
        <v>0</v>
      </c>
      <c r="H427" s="70"/>
      <c r="I427" s="70">
        <v>0</v>
      </c>
      <c r="J427" s="70">
        <v>0</v>
      </c>
      <c r="K427" s="70"/>
      <c r="L427" s="70">
        <v>0</v>
      </c>
    </row>
    <row r="428" spans="1:12" ht="26.25" hidden="1" x14ac:dyDescent="0.25">
      <c r="A428" s="6"/>
      <c r="B428" s="6" t="s">
        <v>281</v>
      </c>
      <c r="C428" s="3" t="s">
        <v>282</v>
      </c>
      <c r="D428" s="70">
        <v>0</v>
      </c>
      <c r="E428" s="70">
        <f>200-200</f>
        <v>0</v>
      </c>
      <c r="F428" s="70">
        <f>E428</f>
        <v>0</v>
      </c>
      <c r="G428" s="70">
        <v>0</v>
      </c>
      <c r="H428" s="70"/>
      <c r="I428" s="70">
        <v>0</v>
      </c>
      <c r="J428" s="70">
        <v>0</v>
      </c>
      <c r="K428" s="70"/>
      <c r="L428" s="70">
        <v>0</v>
      </c>
    </row>
    <row r="429" spans="1:12" ht="26.25" x14ac:dyDescent="0.25">
      <c r="A429" s="33" t="s">
        <v>856</v>
      </c>
      <c r="B429" s="33"/>
      <c r="C429" s="34" t="s">
        <v>855</v>
      </c>
      <c r="D429" s="71">
        <f>D430</f>
        <v>974.9</v>
      </c>
      <c r="E429" s="71"/>
      <c r="F429" s="71">
        <f>F430</f>
        <v>974.9</v>
      </c>
      <c r="G429" s="71">
        <f>G430</f>
        <v>0</v>
      </c>
      <c r="H429" s="71"/>
      <c r="I429" s="71">
        <f>I430</f>
        <v>0</v>
      </c>
      <c r="J429" s="71">
        <f>J430</f>
        <v>0</v>
      </c>
      <c r="K429" s="71"/>
      <c r="L429" s="71">
        <f>L430</f>
        <v>0</v>
      </c>
    </row>
    <row r="430" spans="1:12" ht="25.5" x14ac:dyDescent="0.25">
      <c r="A430" s="4" t="s">
        <v>857</v>
      </c>
      <c r="B430" s="4"/>
      <c r="C430" s="5" t="s">
        <v>858</v>
      </c>
      <c r="D430" s="70">
        <f>D431</f>
        <v>974.9</v>
      </c>
      <c r="E430" s="70"/>
      <c r="F430" s="70">
        <f>F431</f>
        <v>974.9</v>
      </c>
      <c r="G430" s="70">
        <f>G431</f>
        <v>0</v>
      </c>
      <c r="H430" s="70"/>
      <c r="I430" s="70">
        <f>I431</f>
        <v>0</v>
      </c>
      <c r="J430" s="70">
        <f>J431</f>
        <v>0</v>
      </c>
      <c r="K430" s="70"/>
      <c r="L430" s="70">
        <f>L431</f>
        <v>0</v>
      </c>
    </row>
    <row r="431" spans="1:12" ht="26.25" x14ac:dyDescent="0.25">
      <c r="A431" s="6"/>
      <c r="B431" s="6" t="s">
        <v>281</v>
      </c>
      <c r="C431" s="3" t="s">
        <v>282</v>
      </c>
      <c r="D431" s="70">
        <v>974.9</v>
      </c>
      <c r="E431" s="70"/>
      <c r="F431" s="70">
        <v>974.9</v>
      </c>
      <c r="G431" s="70">
        <v>0</v>
      </c>
      <c r="H431" s="70"/>
      <c r="I431" s="70">
        <v>0</v>
      </c>
      <c r="J431" s="70">
        <v>0</v>
      </c>
      <c r="K431" s="70"/>
      <c r="L431" s="70">
        <v>0</v>
      </c>
    </row>
    <row r="432" spans="1:12" ht="26.25" x14ac:dyDescent="0.25">
      <c r="A432" s="33" t="s">
        <v>336</v>
      </c>
      <c r="B432" s="33"/>
      <c r="C432" s="34" t="s">
        <v>337</v>
      </c>
      <c r="D432" s="71">
        <f>D433+D437+D439</f>
        <v>34696</v>
      </c>
      <c r="E432" s="71">
        <f>E433+E437+E439</f>
        <v>1200</v>
      </c>
      <c r="F432" s="71">
        <f>F433+F437+F439</f>
        <v>35896</v>
      </c>
      <c r="G432" s="71">
        <f>G433+G437+G439</f>
        <v>30690.3</v>
      </c>
      <c r="H432" s="71"/>
      <c r="I432" s="71">
        <f>I433+I437+I439</f>
        <v>30690.3</v>
      </c>
      <c r="J432" s="71">
        <f>J433+J437+J439</f>
        <v>29030.1</v>
      </c>
      <c r="K432" s="71"/>
      <c r="L432" s="71">
        <f>L433+L437+L439</f>
        <v>29030.1</v>
      </c>
    </row>
    <row r="433" spans="1:12" x14ac:dyDescent="0.25">
      <c r="A433" s="6" t="s">
        <v>338</v>
      </c>
      <c r="B433" s="12"/>
      <c r="C433" s="3" t="s">
        <v>555</v>
      </c>
      <c r="D433" s="70">
        <f>D435+D436</f>
        <v>29008.6</v>
      </c>
      <c r="E433" s="70"/>
      <c r="F433" s="70">
        <f>F435+F436</f>
        <v>29008.6</v>
      </c>
      <c r="G433" s="70">
        <f>G435+G436</f>
        <v>29030.1</v>
      </c>
      <c r="H433" s="70"/>
      <c r="I433" s="70">
        <f>I435+I436</f>
        <v>29030.1</v>
      </c>
      <c r="J433" s="70">
        <f>J435+J436</f>
        <v>29030.1</v>
      </c>
      <c r="K433" s="70"/>
      <c r="L433" s="70">
        <f>L435+L436</f>
        <v>29030.1</v>
      </c>
    </row>
    <row r="434" spans="1:12" ht="26.25" x14ac:dyDescent="0.25">
      <c r="A434" s="6"/>
      <c r="B434" s="6" t="s">
        <v>281</v>
      </c>
      <c r="C434" s="3" t="s">
        <v>282</v>
      </c>
      <c r="D434" s="70">
        <f>SUM(D435+D436)</f>
        <v>29008.6</v>
      </c>
      <c r="E434" s="70"/>
      <c r="F434" s="70">
        <f>SUM(F435+F436)</f>
        <v>29008.6</v>
      </c>
      <c r="G434" s="70">
        <f>G435+G436</f>
        <v>29030.1</v>
      </c>
      <c r="H434" s="70"/>
      <c r="I434" s="70">
        <f>I435+I436</f>
        <v>29030.1</v>
      </c>
      <c r="J434" s="70">
        <f>J435+J436</f>
        <v>29030.1</v>
      </c>
      <c r="K434" s="70"/>
      <c r="L434" s="70">
        <f>L435+L436</f>
        <v>29030.1</v>
      </c>
    </row>
    <row r="435" spans="1:12" x14ac:dyDescent="0.25">
      <c r="A435" s="6"/>
      <c r="B435" s="6"/>
      <c r="C435" s="3" t="s">
        <v>83</v>
      </c>
      <c r="D435" s="70">
        <v>26107.599999999999</v>
      </c>
      <c r="E435" s="70"/>
      <c r="F435" s="70">
        <v>26107.599999999999</v>
      </c>
      <c r="G435" s="70">
        <v>26127.1</v>
      </c>
      <c r="H435" s="70"/>
      <c r="I435" s="70">
        <v>26127.1</v>
      </c>
      <c r="J435" s="70">
        <v>26127.1</v>
      </c>
      <c r="K435" s="70"/>
      <c r="L435" s="70">
        <v>26127.1</v>
      </c>
    </row>
    <row r="436" spans="1:12" x14ac:dyDescent="0.25">
      <c r="A436" s="6"/>
      <c r="B436" s="6"/>
      <c r="C436" s="3" t="s">
        <v>150</v>
      </c>
      <c r="D436" s="70">
        <v>2901</v>
      </c>
      <c r="E436" s="70"/>
      <c r="F436" s="70">
        <v>2901</v>
      </c>
      <c r="G436" s="70">
        <v>2903</v>
      </c>
      <c r="H436" s="70"/>
      <c r="I436" s="70">
        <v>2903</v>
      </c>
      <c r="J436" s="70">
        <v>2903</v>
      </c>
      <c r="K436" s="70"/>
      <c r="L436" s="70">
        <v>2903</v>
      </c>
    </row>
    <row r="437" spans="1:12" x14ac:dyDescent="0.25">
      <c r="A437" s="6" t="s">
        <v>461</v>
      </c>
      <c r="B437" s="12"/>
      <c r="C437" s="3" t="s">
        <v>556</v>
      </c>
      <c r="D437" s="70">
        <f>D438</f>
        <v>4287.5</v>
      </c>
      <c r="E437" s="70"/>
      <c r="F437" s="70">
        <f>F438</f>
        <v>4287.5</v>
      </c>
      <c r="G437" s="70">
        <f>G438</f>
        <v>0</v>
      </c>
      <c r="H437" s="70"/>
      <c r="I437" s="70">
        <f>I438</f>
        <v>0</v>
      </c>
      <c r="J437" s="70">
        <f>J438</f>
        <v>0</v>
      </c>
      <c r="K437" s="70"/>
      <c r="L437" s="70">
        <f>L438</f>
        <v>0</v>
      </c>
    </row>
    <row r="438" spans="1:12" s="94" customFormat="1" ht="26.25" x14ac:dyDescent="0.25">
      <c r="A438" s="92"/>
      <c r="B438" s="6" t="s">
        <v>281</v>
      </c>
      <c r="C438" s="3" t="s">
        <v>282</v>
      </c>
      <c r="D438" s="70">
        <v>4287.5</v>
      </c>
      <c r="E438" s="70"/>
      <c r="F438" s="70">
        <v>4287.5</v>
      </c>
      <c r="G438" s="70">
        <v>0</v>
      </c>
      <c r="H438" s="70"/>
      <c r="I438" s="70">
        <v>0</v>
      </c>
      <c r="J438" s="70">
        <v>0</v>
      </c>
      <c r="K438" s="70"/>
      <c r="L438" s="70">
        <v>0</v>
      </c>
    </row>
    <row r="439" spans="1:12" x14ac:dyDescent="0.25">
      <c r="A439" s="6" t="s">
        <v>339</v>
      </c>
      <c r="B439" s="12"/>
      <c r="C439" s="3" t="s">
        <v>687</v>
      </c>
      <c r="D439" s="70">
        <f>D440</f>
        <v>1399.9</v>
      </c>
      <c r="E439" s="70">
        <f>E440</f>
        <v>1200</v>
      </c>
      <c r="F439" s="70">
        <f>F440</f>
        <v>2599.9</v>
      </c>
      <c r="G439" s="70">
        <f>G440</f>
        <v>1660.2</v>
      </c>
      <c r="H439" s="70"/>
      <c r="I439" s="70">
        <f>I440</f>
        <v>1660.2</v>
      </c>
      <c r="J439" s="70">
        <v>0</v>
      </c>
      <c r="K439" s="70"/>
      <c r="L439" s="70">
        <v>0</v>
      </c>
    </row>
    <row r="440" spans="1:12" s="94" customFormat="1" ht="26.25" x14ac:dyDescent="0.25">
      <c r="A440" s="97"/>
      <c r="B440" s="6" t="s">
        <v>281</v>
      </c>
      <c r="C440" s="3" t="s">
        <v>282</v>
      </c>
      <c r="D440" s="70">
        <v>1399.9</v>
      </c>
      <c r="E440" s="70">
        <f>600+600</f>
        <v>1200</v>
      </c>
      <c r="F440" s="70">
        <f>SUM(D440:E440)</f>
        <v>2599.9</v>
      </c>
      <c r="G440" s="70">
        <v>1660.2</v>
      </c>
      <c r="H440" s="70"/>
      <c r="I440" s="70">
        <v>1660.2</v>
      </c>
      <c r="J440" s="70">
        <v>0</v>
      </c>
      <c r="K440" s="70"/>
      <c r="L440" s="70">
        <v>0</v>
      </c>
    </row>
    <row r="441" spans="1:12" x14ac:dyDescent="0.25">
      <c r="A441" s="33" t="s">
        <v>340</v>
      </c>
      <c r="B441" s="33"/>
      <c r="C441" s="34" t="s">
        <v>688</v>
      </c>
      <c r="D441" s="71">
        <f t="shared" ref="D441:J442" si="66">D442</f>
        <v>22717.7</v>
      </c>
      <c r="E441" s="71">
        <f t="shared" si="66"/>
        <v>0</v>
      </c>
      <c r="F441" s="71">
        <f t="shared" si="66"/>
        <v>22717.7</v>
      </c>
      <c r="G441" s="71">
        <f t="shared" si="66"/>
        <v>23096.2</v>
      </c>
      <c r="H441" s="71"/>
      <c r="I441" s="71">
        <f t="shared" si="66"/>
        <v>23096.2</v>
      </c>
      <c r="J441" s="71">
        <f t="shared" si="66"/>
        <v>29296.799999999996</v>
      </c>
      <c r="K441" s="71"/>
      <c r="L441" s="71">
        <f>L442</f>
        <v>29296.799999999996</v>
      </c>
    </row>
    <row r="442" spans="1:12" ht="39" x14ac:dyDescent="0.25">
      <c r="A442" s="6" t="s">
        <v>341</v>
      </c>
      <c r="B442" s="12"/>
      <c r="C442" s="3" t="s">
        <v>689</v>
      </c>
      <c r="D442" s="70">
        <f>D443</f>
        <v>22717.7</v>
      </c>
      <c r="E442" s="70"/>
      <c r="F442" s="70">
        <f>F443</f>
        <v>22717.7</v>
      </c>
      <c r="G442" s="70">
        <f t="shared" si="66"/>
        <v>23096.2</v>
      </c>
      <c r="H442" s="70"/>
      <c r="I442" s="70">
        <f t="shared" si="66"/>
        <v>23096.2</v>
      </c>
      <c r="J442" s="70">
        <f t="shared" si="66"/>
        <v>29296.799999999996</v>
      </c>
      <c r="K442" s="70"/>
      <c r="L442" s="70">
        <f>L443</f>
        <v>29296.799999999996</v>
      </c>
    </row>
    <row r="443" spans="1:12" ht="26.25" x14ac:dyDescent="0.25">
      <c r="A443" s="6"/>
      <c r="B443" s="6" t="s">
        <v>281</v>
      </c>
      <c r="C443" s="3" t="s">
        <v>282</v>
      </c>
      <c r="D443" s="70">
        <v>22717.7</v>
      </c>
      <c r="E443" s="70"/>
      <c r="F443" s="70">
        <f>SUM(D443:E443)</f>
        <v>22717.7</v>
      </c>
      <c r="G443" s="70">
        <v>23096.2</v>
      </c>
      <c r="H443" s="70"/>
      <c r="I443" s="70">
        <v>23096.2</v>
      </c>
      <c r="J443" s="70">
        <f>34650.2-5353.4</f>
        <v>29296.799999999996</v>
      </c>
      <c r="K443" s="70"/>
      <c r="L443" s="70">
        <f>34650.2-5353.4</f>
        <v>29296.799999999996</v>
      </c>
    </row>
    <row r="444" spans="1:12" ht="25.5" x14ac:dyDescent="0.25">
      <c r="A444" s="33" t="s">
        <v>513</v>
      </c>
      <c r="B444" s="33"/>
      <c r="C444" s="15" t="s">
        <v>514</v>
      </c>
      <c r="D444" s="71">
        <f>D445</f>
        <v>41864.770000000004</v>
      </c>
      <c r="E444" s="71"/>
      <c r="F444" s="71">
        <f>F445</f>
        <v>41864.770000000004</v>
      </c>
      <c r="G444" s="71">
        <f>G445</f>
        <v>50149.651750000005</v>
      </c>
      <c r="H444" s="71"/>
      <c r="I444" s="71">
        <f>I445</f>
        <v>50149.651750000005</v>
      </c>
      <c r="J444" s="71">
        <v>0</v>
      </c>
      <c r="K444" s="71"/>
      <c r="L444" s="71">
        <v>0</v>
      </c>
    </row>
    <row r="445" spans="1:12" ht="26.25" x14ac:dyDescent="0.25">
      <c r="A445" s="6" t="s">
        <v>515</v>
      </c>
      <c r="B445" s="6"/>
      <c r="C445" s="3" t="s">
        <v>516</v>
      </c>
      <c r="D445" s="70">
        <f>D446</f>
        <v>41864.770000000004</v>
      </c>
      <c r="E445" s="70"/>
      <c r="F445" s="70">
        <f>F446</f>
        <v>41864.770000000004</v>
      </c>
      <c r="G445" s="70">
        <f>G446</f>
        <v>50149.651750000005</v>
      </c>
      <c r="H445" s="70"/>
      <c r="I445" s="70">
        <f>I446</f>
        <v>50149.651750000005</v>
      </c>
      <c r="J445" s="70">
        <v>0</v>
      </c>
      <c r="K445" s="70"/>
      <c r="L445" s="70">
        <v>0</v>
      </c>
    </row>
    <row r="446" spans="1:12" ht="26.25" x14ac:dyDescent="0.25">
      <c r="A446" s="6"/>
      <c r="B446" s="6" t="s">
        <v>281</v>
      </c>
      <c r="C446" s="3" t="s">
        <v>282</v>
      </c>
      <c r="D446" s="70">
        <f>D447+D448+D449</f>
        <v>41864.770000000004</v>
      </c>
      <c r="E446" s="70"/>
      <c r="F446" s="70">
        <f>F447+F448+F449</f>
        <v>41864.770000000004</v>
      </c>
      <c r="G446" s="70">
        <f>G447+G448+G449</f>
        <v>50149.651750000005</v>
      </c>
      <c r="H446" s="70"/>
      <c r="I446" s="70">
        <f>I447+I448+I449</f>
        <v>50149.651750000005</v>
      </c>
      <c r="J446" s="70">
        <v>0</v>
      </c>
      <c r="K446" s="70"/>
      <c r="L446" s="70">
        <v>0</v>
      </c>
    </row>
    <row r="447" spans="1:12" x14ac:dyDescent="0.25">
      <c r="A447" s="6"/>
      <c r="B447" s="6"/>
      <c r="C447" s="3" t="s">
        <v>188</v>
      </c>
      <c r="D447" s="70">
        <v>39572.673840000003</v>
      </c>
      <c r="E447" s="70"/>
      <c r="F447" s="70">
        <v>39572.673840000003</v>
      </c>
      <c r="G447" s="70">
        <v>47403.956680000003</v>
      </c>
      <c r="H447" s="70"/>
      <c r="I447" s="70">
        <v>47403.956680000003</v>
      </c>
      <c r="J447" s="70">
        <v>0</v>
      </c>
      <c r="K447" s="70"/>
      <c r="L447" s="70">
        <v>0</v>
      </c>
    </row>
    <row r="448" spans="1:12" x14ac:dyDescent="0.25">
      <c r="A448" s="6"/>
      <c r="B448" s="6"/>
      <c r="C448" s="3" t="s">
        <v>186</v>
      </c>
      <c r="D448" s="70">
        <v>2082.7723099999998</v>
      </c>
      <c r="E448" s="70"/>
      <c r="F448" s="70">
        <v>2082.7723099999998</v>
      </c>
      <c r="G448" s="70">
        <v>2494.9450700000002</v>
      </c>
      <c r="H448" s="70"/>
      <c r="I448" s="70">
        <v>2494.9450700000002</v>
      </c>
      <c r="J448" s="70">
        <v>0</v>
      </c>
      <c r="K448" s="70"/>
      <c r="L448" s="70">
        <v>0</v>
      </c>
    </row>
    <row r="449" spans="1:12" x14ac:dyDescent="0.25">
      <c r="A449" s="6"/>
      <c r="B449" s="6"/>
      <c r="C449" s="3" t="s">
        <v>150</v>
      </c>
      <c r="D449" s="70">
        <v>209.32384999999999</v>
      </c>
      <c r="E449" s="70"/>
      <c r="F449" s="70">
        <v>209.32384999999999</v>
      </c>
      <c r="G449" s="70">
        <v>250.75</v>
      </c>
      <c r="H449" s="70"/>
      <c r="I449" s="70">
        <v>250.75</v>
      </c>
      <c r="J449" s="70">
        <v>0</v>
      </c>
      <c r="K449" s="70"/>
      <c r="L449" s="70">
        <v>0</v>
      </c>
    </row>
    <row r="450" spans="1:12" ht="26.25" x14ac:dyDescent="0.25">
      <c r="A450" s="31" t="s">
        <v>342</v>
      </c>
      <c r="B450" s="31"/>
      <c r="C450" s="32" t="s">
        <v>343</v>
      </c>
      <c r="D450" s="75">
        <f t="shared" ref="D450:L452" si="67">D451</f>
        <v>4247.1000000000004</v>
      </c>
      <c r="E450" s="75">
        <f t="shared" si="67"/>
        <v>-17.399999999999999</v>
      </c>
      <c r="F450" s="75">
        <f t="shared" si="67"/>
        <v>4229.7000000000007</v>
      </c>
      <c r="G450" s="75">
        <f t="shared" si="67"/>
        <v>4467.8999999999996</v>
      </c>
      <c r="H450" s="75">
        <f t="shared" si="67"/>
        <v>0</v>
      </c>
      <c r="I450" s="75">
        <f t="shared" si="67"/>
        <v>4467.8999999999996</v>
      </c>
      <c r="J450" s="75">
        <f t="shared" si="67"/>
        <v>0</v>
      </c>
      <c r="K450" s="75"/>
      <c r="L450" s="75">
        <f t="shared" si="67"/>
        <v>0</v>
      </c>
    </row>
    <row r="451" spans="1:12" ht="26.25" x14ac:dyDescent="0.25">
      <c r="A451" s="33" t="s">
        <v>344</v>
      </c>
      <c r="B451" s="33"/>
      <c r="C451" s="34" t="s">
        <v>345</v>
      </c>
      <c r="D451" s="71">
        <f t="shared" si="67"/>
        <v>4247.1000000000004</v>
      </c>
      <c r="E451" s="71">
        <f t="shared" si="67"/>
        <v>-17.399999999999999</v>
      </c>
      <c r="F451" s="71">
        <f t="shared" si="67"/>
        <v>4229.7000000000007</v>
      </c>
      <c r="G451" s="71">
        <f t="shared" si="67"/>
        <v>4467.8999999999996</v>
      </c>
      <c r="H451" s="71">
        <f t="shared" si="67"/>
        <v>0</v>
      </c>
      <c r="I451" s="71">
        <f t="shared" si="67"/>
        <v>4467.8999999999996</v>
      </c>
      <c r="J451" s="71">
        <f t="shared" si="67"/>
        <v>0</v>
      </c>
      <c r="K451" s="71"/>
      <c r="L451" s="71">
        <f t="shared" si="67"/>
        <v>0</v>
      </c>
    </row>
    <row r="452" spans="1:12" ht="39" x14ac:dyDescent="0.25">
      <c r="A452" s="6" t="s">
        <v>346</v>
      </c>
      <c r="B452" s="12"/>
      <c r="C452" s="3" t="s">
        <v>553</v>
      </c>
      <c r="D452" s="70">
        <f>D453</f>
        <v>4247.1000000000004</v>
      </c>
      <c r="E452" s="70">
        <f>E453</f>
        <v>-17.399999999999999</v>
      </c>
      <c r="F452" s="70">
        <f>F453</f>
        <v>4229.7000000000007</v>
      </c>
      <c r="G452" s="70">
        <f t="shared" si="67"/>
        <v>4467.8999999999996</v>
      </c>
      <c r="H452" s="70">
        <f t="shared" si="67"/>
        <v>0</v>
      </c>
      <c r="I452" s="70">
        <f t="shared" si="67"/>
        <v>4467.8999999999996</v>
      </c>
      <c r="J452" s="70">
        <v>0</v>
      </c>
      <c r="K452" s="70"/>
      <c r="L452" s="70">
        <v>0</v>
      </c>
    </row>
    <row r="453" spans="1:12" ht="26.25" x14ac:dyDescent="0.25">
      <c r="A453" s="6"/>
      <c r="B453" s="6" t="s">
        <v>281</v>
      </c>
      <c r="C453" s="3" t="s">
        <v>282</v>
      </c>
      <c r="D453" s="70">
        <v>4247.1000000000004</v>
      </c>
      <c r="E453" s="70">
        <v>-17.399999999999999</v>
      </c>
      <c r="F453" s="70">
        <f>4247.1-17.4</f>
        <v>4229.7000000000007</v>
      </c>
      <c r="G453" s="70">
        <v>4467.8999999999996</v>
      </c>
      <c r="H453" s="70"/>
      <c r="I453" s="70">
        <v>4467.8999999999996</v>
      </c>
      <c r="J453" s="70">
        <v>0</v>
      </c>
      <c r="K453" s="70"/>
      <c r="L453" s="70">
        <v>0</v>
      </c>
    </row>
    <row r="454" spans="1:12" ht="39" x14ac:dyDescent="0.25">
      <c r="A454" s="31" t="s">
        <v>348</v>
      </c>
      <c r="B454" s="31"/>
      <c r="C454" s="32" t="s">
        <v>349</v>
      </c>
      <c r="D454" s="75">
        <f>D455+D462</f>
        <v>5484.3124499999994</v>
      </c>
      <c r="E454" s="75">
        <f>E455+E462</f>
        <v>-634.4</v>
      </c>
      <c r="F454" s="75">
        <f>F455+F462</f>
        <v>4849.9124499999998</v>
      </c>
      <c r="G454" s="75">
        <f t="shared" ref="G454:L456" si="68">G455</f>
        <v>0</v>
      </c>
      <c r="H454" s="75"/>
      <c r="I454" s="75">
        <f t="shared" si="68"/>
        <v>0</v>
      </c>
      <c r="J454" s="75">
        <f t="shared" si="68"/>
        <v>0</v>
      </c>
      <c r="K454" s="75"/>
      <c r="L454" s="75">
        <f t="shared" si="68"/>
        <v>0</v>
      </c>
    </row>
    <row r="455" spans="1:12" ht="26.25" x14ac:dyDescent="0.25">
      <c r="A455" s="33" t="s">
        <v>350</v>
      </c>
      <c r="B455" s="33"/>
      <c r="C455" s="56" t="s">
        <v>552</v>
      </c>
      <c r="D455" s="71">
        <f>D456+D458</f>
        <v>4642.9124499999998</v>
      </c>
      <c r="E455" s="71"/>
      <c r="F455" s="71">
        <f>F456+F458</f>
        <v>4642.9124499999998</v>
      </c>
      <c r="G455" s="71">
        <f t="shared" si="68"/>
        <v>0</v>
      </c>
      <c r="H455" s="71"/>
      <c r="I455" s="71">
        <f t="shared" si="68"/>
        <v>0</v>
      </c>
      <c r="J455" s="71">
        <f t="shared" si="68"/>
        <v>0</v>
      </c>
      <c r="K455" s="71"/>
      <c r="L455" s="71">
        <f t="shared" si="68"/>
        <v>0</v>
      </c>
    </row>
    <row r="456" spans="1:12" ht="26.25" x14ac:dyDescent="0.25">
      <c r="A456" s="6" t="s">
        <v>351</v>
      </c>
      <c r="B456" s="6"/>
      <c r="C456" s="9" t="s">
        <v>794</v>
      </c>
      <c r="D456" s="70">
        <f>D457</f>
        <v>1663.8</v>
      </c>
      <c r="E456" s="70"/>
      <c r="F456" s="70">
        <f>F457</f>
        <v>1663.8</v>
      </c>
      <c r="G456" s="70">
        <f t="shared" si="68"/>
        <v>0</v>
      </c>
      <c r="H456" s="70"/>
      <c r="I456" s="70">
        <f t="shared" si="68"/>
        <v>0</v>
      </c>
      <c r="J456" s="70">
        <f t="shared" si="68"/>
        <v>0</v>
      </c>
      <c r="K456" s="70"/>
      <c r="L456" s="70">
        <f t="shared" si="68"/>
        <v>0</v>
      </c>
    </row>
    <row r="457" spans="1:12" ht="26.25" x14ac:dyDescent="0.25">
      <c r="A457" s="6"/>
      <c r="B457" s="6" t="s">
        <v>281</v>
      </c>
      <c r="C457" s="3" t="s">
        <v>282</v>
      </c>
      <c r="D457" s="70">
        <v>1663.8</v>
      </c>
      <c r="E457" s="70"/>
      <c r="F457" s="70">
        <v>1663.8</v>
      </c>
      <c r="G457" s="70">
        <v>0</v>
      </c>
      <c r="H457" s="70"/>
      <c r="I457" s="70">
        <v>0</v>
      </c>
      <c r="J457" s="70">
        <v>0</v>
      </c>
      <c r="K457" s="70"/>
      <c r="L457" s="70">
        <v>0</v>
      </c>
    </row>
    <row r="458" spans="1:12" ht="26.25" x14ac:dyDescent="0.25">
      <c r="A458" s="6" t="s">
        <v>789</v>
      </c>
      <c r="B458" s="6"/>
      <c r="C458" s="3" t="s">
        <v>790</v>
      </c>
      <c r="D458" s="70">
        <f>D459</f>
        <v>2979.1124500000001</v>
      </c>
      <c r="E458" s="70"/>
      <c r="F458" s="70">
        <f>F459</f>
        <v>2979.1124500000001</v>
      </c>
      <c r="G458" s="70">
        <v>0</v>
      </c>
      <c r="H458" s="70"/>
      <c r="I458" s="70">
        <v>0</v>
      </c>
      <c r="J458" s="70">
        <v>0</v>
      </c>
      <c r="K458" s="70"/>
      <c r="L458" s="70">
        <v>0</v>
      </c>
    </row>
    <row r="459" spans="1:12" ht="26.25" x14ac:dyDescent="0.25">
      <c r="A459" s="6"/>
      <c r="B459" s="6" t="s">
        <v>281</v>
      </c>
      <c r="C459" s="3" t="s">
        <v>282</v>
      </c>
      <c r="D459" s="70">
        <f>D460+D461</f>
        <v>2979.1124500000001</v>
      </c>
      <c r="E459" s="70"/>
      <c r="F459" s="70">
        <f>F460+F461</f>
        <v>2979.1124500000001</v>
      </c>
      <c r="G459" s="70">
        <v>0</v>
      </c>
      <c r="H459" s="70"/>
      <c r="I459" s="70">
        <v>0</v>
      </c>
      <c r="J459" s="70">
        <v>0</v>
      </c>
      <c r="K459" s="70"/>
      <c r="L459" s="70">
        <v>0</v>
      </c>
    </row>
    <row r="460" spans="1:12" x14ac:dyDescent="0.25">
      <c r="A460" s="6"/>
      <c r="B460" s="6"/>
      <c r="C460" s="3" t="s">
        <v>186</v>
      </c>
      <c r="D460" s="70">
        <v>2681.2012</v>
      </c>
      <c r="E460" s="70"/>
      <c r="F460" s="70">
        <v>2681.2012</v>
      </c>
      <c r="G460" s="70">
        <v>0</v>
      </c>
      <c r="H460" s="70"/>
      <c r="I460" s="70">
        <v>0</v>
      </c>
      <c r="J460" s="70">
        <v>0</v>
      </c>
      <c r="K460" s="70"/>
      <c r="L460" s="70">
        <v>0</v>
      </c>
    </row>
    <row r="461" spans="1:12" x14ac:dyDescent="0.25">
      <c r="A461" s="6"/>
      <c r="B461" s="6"/>
      <c r="C461" s="3" t="s">
        <v>150</v>
      </c>
      <c r="D461" s="70">
        <v>297.91125</v>
      </c>
      <c r="E461" s="70"/>
      <c r="F461" s="70">
        <v>297.91125</v>
      </c>
      <c r="G461" s="70">
        <v>0</v>
      </c>
      <c r="H461" s="70"/>
      <c r="I461" s="70">
        <v>0</v>
      </c>
      <c r="J461" s="70">
        <v>0</v>
      </c>
      <c r="K461" s="70"/>
      <c r="L461" s="70">
        <v>0</v>
      </c>
    </row>
    <row r="462" spans="1:12" ht="26.25" x14ac:dyDescent="0.25">
      <c r="A462" s="33" t="s">
        <v>517</v>
      </c>
      <c r="B462" s="33"/>
      <c r="C462" s="56" t="s">
        <v>498</v>
      </c>
      <c r="D462" s="71">
        <f>D463+D465</f>
        <v>841.4</v>
      </c>
      <c r="E462" s="71">
        <f>E463+E465</f>
        <v>-634.4</v>
      </c>
      <c r="F462" s="71">
        <f>F463+F465</f>
        <v>207</v>
      </c>
      <c r="G462" s="71">
        <f>G463+G465</f>
        <v>0</v>
      </c>
      <c r="H462" s="71"/>
      <c r="I462" s="71">
        <f>I463+I465</f>
        <v>0</v>
      </c>
      <c r="J462" s="71">
        <f>J463+J465</f>
        <v>0</v>
      </c>
      <c r="K462" s="71"/>
      <c r="L462" s="71">
        <f>L463+L465</f>
        <v>0</v>
      </c>
    </row>
    <row r="463" spans="1:12" x14ac:dyDescent="0.25">
      <c r="A463" s="6" t="s">
        <v>518</v>
      </c>
      <c r="B463" s="6"/>
      <c r="C463" s="9" t="s">
        <v>499</v>
      </c>
      <c r="D463" s="70">
        <f>D464</f>
        <v>361.7</v>
      </c>
      <c r="E463" s="70">
        <f>E464</f>
        <v>-169.7</v>
      </c>
      <c r="F463" s="70">
        <f>F464</f>
        <v>192</v>
      </c>
      <c r="G463" s="70">
        <v>0</v>
      </c>
      <c r="H463" s="70"/>
      <c r="I463" s="70">
        <v>0</v>
      </c>
      <c r="J463" s="70">
        <v>0</v>
      </c>
      <c r="K463" s="70"/>
      <c r="L463" s="70">
        <v>0</v>
      </c>
    </row>
    <row r="464" spans="1:12" ht="26.25" x14ac:dyDescent="0.25">
      <c r="A464" s="6"/>
      <c r="B464" s="6" t="s">
        <v>281</v>
      </c>
      <c r="C464" s="3" t="s">
        <v>282</v>
      </c>
      <c r="D464" s="70">
        <v>361.7</v>
      </c>
      <c r="E464" s="70">
        <v>-169.7</v>
      </c>
      <c r="F464" s="70">
        <v>192</v>
      </c>
      <c r="G464" s="70">
        <v>0</v>
      </c>
      <c r="H464" s="70"/>
      <c r="I464" s="70">
        <v>0</v>
      </c>
      <c r="J464" s="70">
        <v>0</v>
      </c>
      <c r="K464" s="70"/>
      <c r="L464" s="70">
        <v>0</v>
      </c>
    </row>
    <row r="465" spans="1:12" ht="26.25" x14ac:dyDescent="0.25">
      <c r="A465" s="6" t="s">
        <v>519</v>
      </c>
      <c r="B465" s="6"/>
      <c r="C465" s="9" t="s">
        <v>500</v>
      </c>
      <c r="D465" s="70">
        <f>D466</f>
        <v>479.7</v>
      </c>
      <c r="E465" s="70">
        <f>E466</f>
        <v>-464.7</v>
      </c>
      <c r="F465" s="70">
        <f>F466</f>
        <v>15</v>
      </c>
      <c r="G465" s="70">
        <v>0</v>
      </c>
      <c r="H465" s="70"/>
      <c r="I465" s="70">
        <v>0</v>
      </c>
      <c r="J465" s="70">
        <v>0</v>
      </c>
      <c r="K465" s="70"/>
      <c r="L465" s="70">
        <v>0</v>
      </c>
    </row>
    <row r="466" spans="1:12" ht="26.25" x14ac:dyDescent="0.25">
      <c r="A466" s="6"/>
      <c r="B466" s="6" t="s">
        <v>281</v>
      </c>
      <c r="C466" s="3" t="s">
        <v>282</v>
      </c>
      <c r="D466" s="70">
        <v>479.7</v>
      </c>
      <c r="E466" s="70">
        <f>-34.5-430.2</f>
        <v>-464.7</v>
      </c>
      <c r="F466" s="70">
        <f>SUM(D466:E466)</f>
        <v>15</v>
      </c>
      <c r="G466" s="70">
        <v>0</v>
      </c>
      <c r="H466" s="70"/>
      <c r="I466" s="70">
        <v>0</v>
      </c>
      <c r="J466" s="70">
        <v>0</v>
      </c>
      <c r="K466" s="70"/>
      <c r="L466" s="70">
        <v>0</v>
      </c>
    </row>
    <row r="467" spans="1:12" ht="39" x14ac:dyDescent="0.25">
      <c r="A467" s="29" t="s">
        <v>352</v>
      </c>
      <c r="B467" s="29"/>
      <c r="C467" s="37" t="s">
        <v>391</v>
      </c>
      <c r="D467" s="72">
        <f>D468+D471+D477</f>
        <v>10182.070810000001</v>
      </c>
      <c r="E467" s="72">
        <f>E468+E471+E477</f>
        <v>-63.3</v>
      </c>
      <c r="F467" s="72">
        <f t="shared" ref="F467:L467" si="69">F468+F471+F477</f>
        <v>10118.77081</v>
      </c>
      <c r="G467" s="72">
        <f t="shared" si="69"/>
        <v>2397.8554800000002</v>
      </c>
      <c r="H467" s="72">
        <f t="shared" si="69"/>
        <v>0</v>
      </c>
      <c r="I467" s="72">
        <f t="shared" si="69"/>
        <v>2397.8554800000002</v>
      </c>
      <c r="J467" s="72">
        <f t="shared" si="69"/>
        <v>2397.8554800000002</v>
      </c>
      <c r="K467" s="72">
        <f t="shared" si="69"/>
        <v>0</v>
      </c>
      <c r="L467" s="72">
        <f t="shared" si="69"/>
        <v>2397.8554800000002</v>
      </c>
    </row>
    <row r="468" spans="1:12" ht="26.25" x14ac:dyDescent="0.25">
      <c r="A468" s="33" t="s">
        <v>462</v>
      </c>
      <c r="B468" s="36"/>
      <c r="C468" s="34" t="s">
        <v>557</v>
      </c>
      <c r="D468" s="71">
        <f>D469</f>
        <v>237.1</v>
      </c>
      <c r="E468" s="71">
        <f>E469</f>
        <v>-63.3</v>
      </c>
      <c r="F468" s="71">
        <f>F469</f>
        <v>173.8</v>
      </c>
      <c r="G468" s="71">
        <f>G469</f>
        <v>0</v>
      </c>
      <c r="H468" s="71"/>
      <c r="I468" s="71">
        <f>I469</f>
        <v>0</v>
      </c>
      <c r="J468" s="71">
        <f>J469</f>
        <v>0</v>
      </c>
      <c r="K468" s="71"/>
      <c r="L468" s="71">
        <f>L469</f>
        <v>0</v>
      </c>
    </row>
    <row r="469" spans="1:12" x14ac:dyDescent="0.25">
      <c r="A469" s="4" t="s">
        <v>463</v>
      </c>
      <c r="B469" s="16"/>
      <c r="C469" s="1" t="s">
        <v>392</v>
      </c>
      <c r="D469" s="70">
        <f>D470</f>
        <v>237.1</v>
      </c>
      <c r="E469" s="70">
        <f>E470</f>
        <v>-63.3</v>
      </c>
      <c r="F469" s="70">
        <f>F470</f>
        <v>173.8</v>
      </c>
      <c r="G469" s="70">
        <v>0</v>
      </c>
      <c r="H469" s="70"/>
      <c r="I469" s="70">
        <v>0</v>
      </c>
      <c r="J469" s="70">
        <v>0</v>
      </c>
      <c r="K469" s="70"/>
      <c r="L469" s="70">
        <v>0</v>
      </c>
    </row>
    <row r="470" spans="1:12" ht="26.25" x14ac:dyDescent="0.25">
      <c r="A470" s="4"/>
      <c r="B470" s="6" t="s">
        <v>281</v>
      </c>
      <c r="C470" s="3" t="s">
        <v>282</v>
      </c>
      <c r="D470" s="70">
        <v>237.1</v>
      </c>
      <c r="E470" s="70">
        <f>-50.8-12.5</f>
        <v>-63.3</v>
      </c>
      <c r="F470" s="70">
        <v>173.8</v>
      </c>
      <c r="G470" s="70">
        <v>0</v>
      </c>
      <c r="H470" s="70"/>
      <c r="I470" s="70">
        <v>0</v>
      </c>
      <c r="J470" s="70">
        <v>0</v>
      </c>
      <c r="K470" s="70"/>
      <c r="L470" s="70">
        <v>0</v>
      </c>
    </row>
    <row r="471" spans="1:12" ht="26.25" x14ac:dyDescent="0.25">
      <c r="A471" s="33" t="s">
        <v>464</v>
      </c>
      <c r="B471" s="36"/>
      <c r="C471" s="34" t="s">
        <v>722</v>
      </c>
      <c r="D471" s="71">
        <f>D472</f>
        <v>7528.3618699999997</v>
      </c>
      <c r="E471" s="71"/>
      <c r="F471" s="71">
        <f>F472</f>
        <v>7528.3618699999997</v>
      </c>
      <c r="G471" s="71">
        <f>G472</f>
        <v>0</v>
      </c>
      <c r="H471" s="71"/>
      <c r="I471" s="71">
        <f>I472</f>
        <v>0</v>
      </c>
      <c r="J471" s="71">
        <f>J472</f>
        <v>0</v>
      </c>
      <c r="K471" s="71"/>
      <c r="L471" s="71">
        <f>L472</f>
        <v>0</v>
      </c>
    </row>
    <row r="472" spans="1:12" ht="25.5" x14ac:dyDescent="0.25">
      <c r="A472" s="4" t="s">
        <v>465</v>
      </c>
      <c r="B472" s="16"/>
      <c r="C472" s="1" t="s">
        <v>393</v>
      </c>
      <c r="D472" s="70">
        <f>D474+D475+D476</f>
        <v>7528.3618699999997</v>
      </c>
      <c r="E472" s="70"/>
      <c r="F472" s="70">
        <f>F474+F475+F476</f>
        <v>7528.3618699999997</v>
      </c>
      <c r="G472" s="70">
        <f>G474+G475+G476</f>
        <v>0</v>
      </c>
      <c r="H472" s="70"/>
      <c r="I472" s="70">
        <f>I474+I475+I476</f>
        <v>0</v>
      </c>
      <c r="J472" s="70">
        <f>J474+J475+J476</f>
        <v>0</v>
      </c>
      <c r="K472" s="70"/>
      <c r="L472" s="70">
        <f>L474+L475+L476</f>
        <v>0</v>
      </c>
    </row>
    <row r="473" spans="1:12" ht="26.25" x14ac:dyDescent="0.25">
      <c r="A473" s="4"/>
      <c r="B473" s="6" t="s">
        <v>281</v>
      </c>
      <c r="C473" s="3" t="s">
        <v>282</v>
      </c>
      <c r="D473" s="80">
        <f>D474+D475+D476</f>
        <v>7528.3618699999997</v>
      </c>
      <c r="E473" s="80"/>
      <c r="F473" s="80">
        <f>F474+F475+F476</f>
        <v>7528.3618699999997</v>
      </c>
      <c r="G473" s="80">
        <f>G474+G475+G476</f>
        <v>0</v>
      </c>
      <c r="H473" s="80"/>
      <c r="I473" s="80">
        <f>I474+I475+I476</f>
        <v>0</v>
      </c>
      <c r="J473" s="80">
        <f>J474+J475+J476</f>
        <v>0</v>
      </c>
      <c r="K473" s="80"/>
      <c r="L473" s="80">
        <f>L474+L475+L476</f>
        <v>0</v>
      </c>
    </row>
    <row r="474" spans="1:12" x14ac:dyDescent="0.25">
      <c r="A474" s="4"/>
      <c r="B474" s="6"/>
      <c r="C474" s="3" t="s">
        <v>188</v>
      </c>
      <c r="D474" s="70">
        <v>6436.7493999999997</v>
      </c>
      <c r="E474" s="70"/>
      <c r="F474" s="70">
        <v>6436.7493999999997</v>
      </c>
      <c r="G474" s="80">
        <v>0</v>
      </c>
      <c r="H474" s="80"/>
      <c r="I474" s="80">
        <v>0</v>
      </c>
      <c r="J474" s="80">
        <v>0</v>
      </c>
      <c r="K474" s="80"/>
      <c r="L474" s="80">
        <v>0</v>
      </c>
    </row>
    <row r="475" spans="1:12" x14ac:dyDescent="0.25">
      <c r="A475" s="4"/>
      <c r="B475" s="6"/>
      <c r="C475" s="3" t="s">
        <v>186</v>
      </c>
      <c r="D475" s="70">
        <v>338.77627999999999</v>
      </c>
      <c r="E475" s="70"/>
      <c r="F475" s="70">
        <v>338.77627999999999</v>
      </c>
      <c r="G475" s="80">
        <v>0</v>
      </c>
      <c r="H475" s="80"/>
      <c r="I475" s="80">
        <v>0</v>
      </c>
      <c r="J475" s="80">
        <v>0</v>
      </c>
      <c r="K475" s="80"/>
      <c r="L475" s="80">
        <v>0</v>
      </c>
    </row>
    <row r="476" spans="1:12" x14ac:dyDescent="0.25">
      <c r="A476" s="4"/>
      <c r="B476" s="6"/>
      <c r="C476" s="3" t="s">
        <v>150</v>
      </c>
      <c r="D476" s="70">
        <v>752.83618999999999</v>
      </c>
      <c r="E476" s="70"/>
      <c r="F476" s="70">
        <v>752.83618999999999</v>
      </c>
      <c r="G476" s="80">
        <v>0</v>
      </c>
      <c r="H476" s="80"/>
      <c r="I476" s="80">
        <v>0</v>
      </c>
      <c r="J476" s="80">
        <v>0</v>
      </c>
      <c r="K476" s="80"/>
      <c r="L476" s="80">
        <v>0</v>
      </c>
    </row>
    <row r="477" spans="1:12" ht="26.25" x14ac:dyDescent="0.25">
      <c r="A477" s="33" t="s">
        <v>466</v>
      </c>
      <c r="B477" s="36"/>
      <c r="C477" s="34" t="s">
        <v>723</v>
      </c>
      <c r="D477" s="71">
        <f>D478</f>
        <v>2416.6089400000001</v>
      </c>
      <c r="E477" s="71"/>
      <c r="F477" s="71">
        <f t="shared" ref="F477:L477" si="70">F478</f>
        <v>2416.6089400000001</v>
      </c>
      <c r="G477" s="71">
        <f t="shared" si="70"/>
        <v>2397.8554800000002</v>
      </c>
      <c r="H477" s="71"/>
      <c r="I477" s="71">
        <f t="shared" si="70"/>
        <v>2397.8554800000002</v>
      </c>
      <c r="J477" s="71">
        <f t="shared" si="70"/>
        <v>2397.8554800000002</v>
      </c>
      <c r="K477" s="71"/>
      <c r="L477" s="71">
        <f t="shared" si="70"/>
        <v>2397.8554800000002</v>
      </c>
    </row>
    <row r="478" spans="1:12" ht="38.25" x14ac:dyDescent="0.25">
      <c r="A478" s="4" t="s">
        <v>467</v>
      </c>
      <c r="B478" s="16"/>
      <c r="C478" s="1" t="s">
        <v>558</v>
      </c>
      <c r="D478" s="70">
        <f>D480+D481</f>
        <v>2416.6089400000001</v>
      </c>
      <c r="E478" s="70"/>
      <c r="F478" s="70">
        <f>F480+F481</f>
        <v>2416.6089400000001</v>
      </c>
      <c r="G478" s="70">
        <f>G480+G481</f>
        <v>2397.8554800000002</v>
      </c>
      <c r="H478" s="70"/>
      <c r="I478" s="70">
        <f>I480+I481</f>
        <v>2397.8554800000002</v>
      </c>
      <c r="J478" s="70">
        <f>J480+J481</f>
        <v>2397.8554800000002</v>
      </c>
      <c r="K478" s="70"/>
      <c r="L478" s="70">
        <f>L480+L481</f>
        <v>2397.8554800000002</v>
      </c>
    </row>
    <row r="479" spans="1:12" ht="26.25" x14ac:dyDescent="0.25">
      <c r="A479" s="4"/>
      <c r="B479" s="6" t="s">
        <v>281</v>
      </c>
      <c r="C479" s="3" t="s">
        <v>282</v>
      </c>
      <c r="D479" s="70">
        <f>D480+D481</f>
        <v>2416.6089400000001</v>
      </c>
      <c r="E479" s="70"/>
      <c r="F479" s="70">
        <f t="shared" ref="F479:L479" si="71">F480+F481</f>
        <v>2416.6089400000001</v>
      </c>
      <c r="G479" s="70">
        <f t="shared" si="71"/>
        <v>2397.8554800000002</v>
      </c>
      <c r="H479" s="70"/>
      <c r="I479" s="70">
        <f t="shared" si="71"/>
        <v>2397.8554800000002</v>
      </c>
      <c r="J479" s="70">
        <f t="shared" si="71"/>
        <v>2397.8554800000002</v>
      </c>
      <c r="K479" s="70"/>
      <c r="L479" s="70">
        <f t="shared" si="71"/>
        <v>2397.8554800000002</v>
      </c>
    </row>
    <row r="480" spans="1:12" x14ac:dyDescent="0.25">
      <c r="A480" s="4"/>
      <c r="B480" s="6"/>
      <c r="C480" s="3" t="s">
        <v>186</v>
      </c>
      <c r="D480" s="70">
        <v>2174.94805</v>
      </c>
      <c r="E480" s="70"/>
      <c r="F480" s="70">
        <v>2174.94805</v>
      </c>
      <c r="G480" s="70">
        <v>2158.0699300000001</v>
      </c>
      <c r="H480" s="70"/>
      <c r="I480" s="70">
        <v>2158.0699300000001</v>
      </c>
      <c r="J480" s="70">
        <v>2158.0699300000001</v>
      </c>
      <c r="K480" s="70"/>
      <c r="L480" s="70">
        <v>2158.0699300000001</v>
      </c>
    </row>
    <row r="481" spans="1:12" x14ac:dyDescent="0.25">
      <c r="A481" s="4"/>
      <c r="B481" s="6"/>
      <c r="C481" s="3" t="s">
        <v>150</v>
      </c>
      <c r="D481" s="70">
        <v>241.66088999999999</v>
      </c>
      <c r="E481" s="70"/>
      <c r="F481" s="70">
        <v>241.66088999999999</v>
      </c>
      <c r="G481" s="70">
        <v>239.78555</v>
      </c>
      <c r="H481" s="70"/>
      <c r="I481" s="70">
        <f>SUM(G481:H481)</f>
        <v>239.78555</v>
      </c>
      <c r="J481" s="70">
        <v>239.78555</v>
      </c>
      <c r="K481" s="70"/>
      <c r="L481" s="70">
        <v>239.78555</v>
      </c>
    </row>
    <row r="482" spans="1:12" ht="51.75" x14ac:dyDescent="0.25">
      <c r="A482" s="29" t="s">
        <v>355</v>
      </c>
      <c r="B482" s="29"/>
      <c r="C482" s="37" t="s">
        <v>356</v>
      </c>
      <c r="D482" s="72">
        <f>D483+D491+D501</f>
        <v>21445.999999999996</v>
      </c>
      <c r="E482" s="72">
        <f>E483+E491+E501</f>
        <v>0</v>
      </c>
      <c r="F482" s="72">
        <f>F483+F491+F501</f>
        <v>21445.999999999996</v>
      </c>
      <c r="G482" s="72">
        <f>G483+G491+G501</f>
        <v>24599.399999999998</v>
      </c>
      <c r="H482" s="72"/>
      <c r="I482" s="72">
        <f>I483+I491+I501</f>
        <v>24599.399999999998</v>
      </c>
      <c r="J482" s="72">
        <f>J483+J491+J501</f>
        <v>19587.299999999996</v>
      </c>
      <c r="K482" s="72"/>
      <c r="L482" s="72">
        <f>L483+L491+L501</f>
        <v>19587.299999999996</v>
      </c>
    </row>
    <row r="483" spans="1:12" ht="39" x14ac:dyDescent="0.25">
      <c r="A483" s="33" t="s">
        <v>357</v>
      </c>
      <c r="B483" s="33"/>
      <c r="C483" s="20" t="s">
        <v>358</v>
      </c>
      <c r="D483" s="71">
        <f>D484+D486+D488</f>
        <v>17905.899999999998</v>
      </c>
      <c r="E483" s="71">
        <f>E484+E486+E488</f>
        <v>-20.2</v>
      </c>
      <c r="F483" s="71">
        <f>F484+F486+F488</f>
        <v>17885.699999999997</v>
      </c>
      <c r="G483" s="71">
        <f>G484+G486+G488</f>
        <v>18496.499999999996</v>
      </c>
      <c r="H483" s="71"/>
      <c r="I483" s="71">
        <f>I484+I486+I488</f>
        <v>18496.499999999996</v>
      </c>
      <c r="J483" s="71">
        <f>J484+J486+J488</f>
        <v>18496.499999999996</v>
      </c>
      <c r="K483" s="71"/>
      <c r="L483" s="71">
        <f>L484+L486+L488</f>
        <v>18496.499999999996</v>
      </c>
    </row>
    <row r="484" spans="1:12" x14ac:dyDescent="0.25">
      <c r="A484" s="6" t="s">
        <v>359</v>
      </c>
      <c r="B484" s="6"/>
      <c r="C484" s="1" t="s">
        <v>360</v>
      </c>
      <c r="D484" s="70">
        <f>D485</f>
        <v>24.2</v>
      </c>
      <c r="E484" s="70"/>
      <c r="F484" s="70">
        <f>F485</f>
        <v>24.2</v>
      </c>
      <c r="G484" s="70">
        <f>G485</f>
        <v>24.2</v>
      </c>
      <c r="H484" s="70"/>
      <c r="I484" s="70">
        <f>I485</f>
        <v>24.2</v>
      </c>
      <c r="J484" s="70">
        <f>J485</f>
        <v>24.2</v>
      </c>
      <c r="K484" s="70"/>
      <c r="L484" s="70">
        <f>L485</f>
        <v>24.2</v>
      </c>
    </row>
    <row r="485" spans="1:12" ht="26.25" x14ac:dyDescent="0.25">
      <c r="A485" s="6"/>
      <c r="B485" s="6" t="s">
        <v>281</v>
      </c>
      <c r="C485" s="3" t="s">
        <v>282</v>
      </c>
      <c r="D485" s="70">
        <v>24.2</v>
      </c>
      <c r="E485" s="70"/>
      <c r="F485" s="70">
        <v>24.2</v>
      </c>
      <c r="G485" s="70">
        <v>24.2</v>
      </c>
      <c r="H485" s="70"/>
      <c r="I485" s="70">
        <v>24.2</v>
      </c>
      <c r="J485" s="70">
        <v>24.2</v>
      </c>
      <c r="K485" s="70"/>
      <c r="L485" s="70">
        <v>24.2</v>
      </c>
    </row>
    <row r="486" spans="1:12" ht="51.75" x14ac:dyDescent="0.25">
      <c r="A486" s="6" t="s">
        <v>361</v>
      </c>
      <c r="B486" s="6"/>
      <c r="C486" s="3" t="s">
        <v>559</v>
      </c>
      <c r="D486" s="70">
        <f>D487</f>
        <v>140.59999999999991</v>
      </c>
      <c r="E486" s="70">
        <f>E487</f>
        <v>-20.2</v>
      </c>
      <c r="F486" s="70">
        <f>F487</f>
        <v>120.39999999999991</v>
      </c>
      <c r="G486" s="70">
        <f>G487</f>
        <v>140.60000000000002</v>
      </c>
      <c r="H486" s="70"/>
      <c r="I486" s="70">
        <f>I487</f>
        <v>140.60000000000002</v>
      </c>
      <c r="J486" s="70">
        <f>J487</f>
        <v>140.60000000000002</v>
      </c>
      <c r="K486" s="70"/>
      <c r="L486" s="70">
        <f>L487</f>
        <v>140.60000000000002</v>
      </c>
    </row>
    <row r="487" spans="1:12" ht="26.25" x14ac:dyDescent="0.25">
      <c r="A487" s="6"/>
      <c r="B487" s="6" t="s">
        <v>281</v>
      </c>
      <c r="C487" s="3" t="s">
        <v>282</v>
      </c>
      <c r="D487" s="70">
        <f>815.3-674.7</f>
        <v>140.59999999999991</v>
      </c>
      <c r="E487" s="70">
        <v>-20.2</v>
      </c>
      <c r="F487" s="70">
        <f>815.3-674.7-20.2</f>
        <v>120.39999999999991</v>
      </c>
      <c r="G487" s="70">
        <f>847.9-707.3</f>
        <v>140.60000000000002</v>
      </c>
      <c r="H487" s="70"/>
      <c r="I487" s="70">
        <f>847.9-707.3</f>
        <v>140.60000000000002</v>
      </c>
      <c r="J487" s="70">
        <f>881.9-741.3</f>
        <v>140.60000000000002</v>
      </c>
      <c r="K487" s="70"/>
      <c r="L487" s="70">
        <f>881.9-741.3</f>
        <v>140.60000000000002</v>
      </c>
    </row>
    <row r="488" spans="1:12" ht="26.25" x14ac:dyDescent="0.25">
      <c r="A488" s="6" t="s">
        <v>363</v>
      </c>
      <c r="B488" s="6"/>
      <c r="C488" s="57" t="s">
        <v>483</v>
      </c>
      <c r="D488" s="70">
        <f>D489+D490</f>
        <v>17741.099999999999</v>
      </c>
      <c r="E488" s="70"/>
      <c r="F488" s="70">
        <f>F489+F490</f>
        <v>17741.099999999999</v>
      </c>
      <c r="G488" s="70">
        <f>G489+G490</f>
        <v>18331.699999999997</v>
      </c>
      <c r="H488" s="70"/>
      <c r="I488" s="70">
        <f>I489+I490</f>
        <v>18331.699999999997</v>
      </c>
      <c r="J488" s="70">
        <f>J489+J490</f>
        <v>18331.699999999997</v>
      </c>
      <c r="K488" s="70"/>
      <c r="L488" s="70">
        <f>L489+L490</f>
        <v>18331.699999999997</v>
      </c>
    </row>
    <row r="489" spans="1:12" ht="51.75" x14ac:dyDescent="0.25">
      <c r="A489" s="6"/>
      <c r="B489" s="6" t="s">
        <v>399</v>
      </c>
      <c r="C489" s="3" t="s">
        <v>400</v>
      </c>
      <c r="D489" s="79">
        <v>16220.5</v>
      </c>
      <c r="E489" s="79"/>
      <c r="F489" s="79">
        <v>16220.5</v>
      </c>
      <c r="G489" s="79">
        <v>16811.099999999999</v>
      </c>
      <c r="H489" s="79"/>
      <c r="I489" s="79">
        <v>16811.099999999999</v>
      </c>
      <c r="J489" s="79">
        <v>16811.099999999999</v>
      </c>
      <c r="K489" s="79"/>
      <c r="L489" s="79">
        <v>16811.099999999999</v>
      </c>
    </row>
    <row r="490" spans="1:12" ht="26.25" x14ac:dyDescent="0.25">
      <c r="A490" s="6"/>
      <c r="B490" s="6" t="s">
        <v>281</v>
      </c>
      <c r="C490" s="3" t="s">
        <v>282</v>
      </c>
      <c r="D490" s="70">
        <v>1520.6</v>
      </c>
      <c r="E490" s="70"/>
      <c r="F490" s="70">
        <v>1520.6</v>
      </c>
      <c r="G490" s="70">
        <v>1520.6</v>
      </c>
      <c r="H490" s="70"/>
      <c r="I490" s="70">
        <v>1520.6</v>
      </c>
      <c r="J490" s="70">
        <v>1520.6</v>
      </c>
      <c r="K490" s="70"/>
      <c r="L490" s="70">
        <v>1520.6</v>
      </c>
    </row>
    <row r="491" spans="1:12" ht="26.25" x14ac:dyDescent="0.25">
      <c r="A491" s="33" t="s">
        <v>364</v>
      </c>
      <c r="B491" s="33"/>
      <c r="C491" s="20" t="s">
        <v>365</v>
      </c>
      <c r="D491" s="71">
        <f>D492+D494+D499+D497</f>
        <v>3394.8999999999996</v>
      </c>
      <c r="E491" s="71">
        <f>E492+E494+E499+E497</f>
        <v>-3.4</v>
      </c>
      <c r="F491" s="71">
        <f>F492+F494+F499+F497</f>
        <v>3391.4999999999995</v>
      </c>
      <c r="G491" s="71">
        <f>G492+G494+G499+G497</f>
        <v>5957.7000000000007</v>
      </c>
      <c r="H491" s="71"/>
      <c r="I491" s="71">
        <f>I492+I494+I499+I497</f>
        <v>5957.7000000000007</v>
      </c>
      <c r="J491" s="71">
        <f>J492+J494+J499+J497</f>
        <v>1090.8000000000002</v>
      </c>
      <c r="K491" s="71"/>
      <c r="L491" s="71">
        <f>L492+L494+L499+L497</f>
        <v>1090.8000000000002</v>
      </c>
    </row>
    <row r="492" spans="1:12" x14ac:dyDescent="0.25">
      <c r="A492" s="6" t="s">
        <v>366</v>
      </c>
      <c r="B492" s="6"/>
      <c r="C492" s="53" t="s">
        <v>690</v>
      </c>
      <c r="D492" s="70">
        <f>D493</f>
        <v>110.29999999999973</v>
      </c>
      <c r="E492" s="70"/>
      <c r="F492" s="70">
        <f>F493</f>
        <v>110.29999999999973</v>
      </c>
      <c r="G492" s="70">
        <f>G493</f>
        <v>2602.6999999999998</v>
      </c>
      <c r="H492" s="70"/>
      <c r="I492" s="70">
        <f>I493</f>
        <v>2602.6999999999998</v>
      </c>
      <c r="J492" s="70">
        <f>J493</f>
        <v>110.30000000000018</v>
      </c>
      <c r="K492" s="70"/>
      <c r="L492" s="70">
        <f>L493</f>
        <v>110.30000000000018</v>
      </c>
    </row>
    <row r="493" spans="1:12" s="94" customFormat="1" ht="26.25" x14ac:dyDescent="0.25">
      <c r="A493" s="92"/>
      <c r="B493" s="6" t="s">
        <v>281</v>
      </c>
      <c r="C493" s="3" t="s">
        <v>282</v>
      </c>
      <c r="D493" s="70">
        <f>4060.2-3949.9</f>
        <v>110.29999999999973</v>
      </c>
      <c r="E493" s="70"/>
      <c r="F493" s="70">
        <f>4060.2-3949.9</f>
        <v>110.29999999999973</v>
      </c>
      <c r="G493" s="70">
        <f>2607.1-4.4</f>
        <v>2602.6999999999998</v>
      </c>
      <c r="H493" s="70"/>
      <c r="I493" s="70">
        <f>2607.1-4.4</f>
        <v>2602.6999999999998</v>
      </c>
      <c r="J493" s="70">
        <f>2614.4-2504.1</f>
        <v>110.30000000000018</v>
      </c>
      <c r="K493" s="70"/>
      <c r="L493" s="70">
        <f>2614.4-2504.1</f>
        <v>110.30000000000018</v>
      </c>
    </row>
    <row r="494" spans="1:12" ht="26.25" x14ac:dyDescent="0.25">
      <c r="A494" s="6" t="s">
        <v>367</v>
      </c>
      <c r="B494" s="6"/>
      <c r="C494" s="54" t="s">
        <v>796</v>
      </c>
      <c r="D494" s="70">
        <f>D495+D496</f>
        <v>981.49999999999977</v>
      </c>
      <c r="E494" s="70"/>
      <c r="F494" s="70">
        <f>F495+F496</f>
        <v>981.49999999999977</v>
      </c>
      <c r="G494" s="70">
        <f>G495+G496</f>
        <v>980.50000000000023</v>
      </c>
      <c r="H494" s="70"/>
      <c r="I494" s="70">
        <f>I495+I496</f>
        <v>980.50000000000023</v>
      </c>
      <c r="J494" s="70">
        <f>J495+J496</f>
        <v>980.5</v>
      </c>
      <c r="K494" s="70"/>
      <c r="L494" s="70">
        <f>L495+L496</f>
        <v>980.5</v>
      </c>
    </row>
    <row r="495" spans="1:12" s="94" customFormat="1" ht="26.25" x14ac:dyDescent="0.25">
      <c r="A495" s="92"/>
      <c r="B495" s="6" t="s">
        <v>281</v>
      </c>
      <c r="C495" s="3" t="s">
        <v>282</v>
      </c>
      <c r="D495" s="70">
        <f>2792.1-1844.9</f>
        <v>947.19999999999982</v>
      </c>
      <c r="E495" s="70"/>
      <c r="F495" s="70">
        <f>2792.1-1844.9</f>
        <v>947.19999999999982</v>
      </c>
      <c r="G495" s="70">
        <f>2735.8-1789.6</f>
        <v>946.20000000000027</v>
      </c>
      <c r="H495" s="70"/>
      <c r="I495" s="70">
        <f>2735.8-1789.6</f>
        <v>946.20000000000027</v>
      </c>
      <c r="J495" s="70">
        <f>1545.2-599</f>
        <v>946.2</v>
      </c>
      <c r="K495" s="70"/>
      <c r="L495" s="70">
        <f>1545.2-599</f>
        <v>946.2</v>
      </c>
    </row>
    <row r="496" spans="1:12" s="94" customFormat="1" ht="26.25" x14ac:dyDescent="0.25">
      <c r="A496" s="92"/>
      <c r="B496" s="6" t="s">
        <v>471</v>
      </c>
      <c r="C496" s="3" t="s">
        <v>472</v>
      </c>
      <c r="D496" s="70">
        <v>34.299999999999997</v>
      </c>
      <c r="E496" s="70"/>
      <c r="F496" s="70">
        <v>34.299999999999997</v>
      </c>
      <c r="G496" s="70">
        <v>34.299999999999997</v>
      </c>
      <c r="H496" s="70"/>
      <c r="I496" s="70">
        <v>34.299999999999997</v>
      </c>
      <c r="J496" s="70">
        <v>34.299999999999997</v>
      </c>
      <c r="K496" s="70"/>
      <c r="L496" s="70">
        <v>34.299999999999997</v>
      </c>
    </row>
    <row r="497" spans="1:12" ht="26.25" x14ac:dyDescent="0.25">
      <c r="A497" s="6" t="s">
        <v>368</v>
      </c>
      <c r="B497" s="6"/>
      <c r="C497" s="3" t="s">
        <v>561</v>
      </c>
      <c r="D497" s="70">
        <f>D498</f>
        <v>1785</v>
      </c>
      <c r="E497" s="70">
        <f>E498</f>
        <v>-3.4</v>
      </c>
      <c r="F497" s="70">
        <f>F498</f>
        <v>1781.6</v>
      </c>
      <c r="G497" s="70">
        <f>G498</f>
        <v>1856.4</v>
      </c>
      <c r="H497" s="70"/>
      <c r="I497" s="70">
        <f>I498</f>
        <v>1856.4</v>
      </c>
      <c r="J497" s="70">
        <f>J498</f>
        <v>0</v>
      </c>
      <c r="K497" s="70"/>
      <c r="L497" s="70">
        <f>L498</f>
        <v>0</v>
      </c>
    </row>
    <row r="498" spans="1:12" ht="26.25" x14ac:dyDescent="0.25">
      <c r="A498" s="6"/>
      <c r="B498" s="6" t="s">
        <v>281</v>
      </c>
      <c r="C498" s="3" t="s">
        <v>282</v>
      </c>
      <c r="D498" s="70">
        <v>1785</v>
      </c>
      <c r="E498" s="70">
        <v>-3.4</v>
      </c>
      <c r="F498" s="70">
        <f>1785-3.4</f>
        <v>1781.6</v>
      </c>
      <c r="G498" s="70">
        <v>1856.4</v>
      </c>
      <c r="H498" s="70"/>
      <c r="I498" s="70">
        <v>1856.4</v>
      </c>
      <c r="J498" s="70">
        <v>0</v>
      </c>
      <c r="K498" s="70"/>
      <c r="L498" s="70">
        <v>0</v>
      </c>
    </row>
    <row r="499" spans="1:12" ht="26.25" x14ac:dyDescent="0.25">
      <c r="A499" s="6" t="s">
        <v>370</v>
      </c>
      <c r="B499" s="6"/>
      <c r="C499" s="67" t="s">
        <v>560</v>
      </c>
      <c r="D499" s="70">
        <f>D500</f>
        <v>518.1</v>
      </c>
      <c r="E499" s="70"/>
      <c r="F499" s="70">
        <f>F500</f>
        <v>518.1</v>
      </c>
      <c r="G499" s="70">
        <f>G500</f>
        <v>518.1</v>
      </c>
      <c r="H499" s="70"/>
      <c r="I499" s="70">
        <f>I500</f>
        <v>518.1</v>
      </c>
      <c r="J499" s="70">
        <f>J500</f>
        <v>0</v>
      </c>
      <c r="K499" s="70"/>
      <c r="L499" s="70">
        <f>L500</f>
        <v>0</v>
      </c>
    </row>
    <row r="500" spans="1:12" ht="26.25" x14ac:dyDescent="0.25">
      <c r="A500" s="6"/>
      <c r="B500" s="6" t="s">
        <v>399</v>
      </c>
      <c r="C500" s="3" t="s">
        <v>282</v>
      </c>
      <c r="D500" s="70">
        <v>518.1</v>
      </c>
      <c r="E500" s="70"/>
      <c r="F500" s="70">
        <v>518.1</v>
      </c>
      <c r="G500" s="70">
        <v>518.1</v>
      </c>
      <c r="H500" s="70"/>
      <c r="I500" s="70">
        <v>518.1</v>
      </c>
      <c r="J500" s="70">
        <v>0</v>
      </c>
      <c r="K500" s="70"/>
      <c r="L500" s="70">
        <v>0</v>
      </c>
    </row>
    <row r="501" spans="1:12" ht="26.25" x14ac:dyDescent="0.25">
      <c r="A501" s="33" t="s">
        <v>371</v>
      </c>
      <c r="B501" s="33"/>
      <c r="C501" s="20" t="s">
        <v>372</v>
      </c>
      <c r="D501" s="71">
        <f t="shared" ref="D501:J502" si="72">D502</f>
        <v>145.19999999999999</v>
      </c>
      <c r="E501" s="71">
        <f t="shared" si="72"/>
        <v>23.6</v>
      </c>
      <c r="F501" s="71">
        <f t="shared" si="72"/>
        <v>168.79999999999998</v>
      </c>
      <c r="G501" s="71">
        <f t="shared" si="72"/>
        <v>145.19999999999999</v>
      </c>
      <c r="H501" s="71"/>
      <c r="I501" s="71">
        <f t="shared" si="72"/>
        <v>145.19999999999999</v>
      </c>
      <c r="J501" s="71">
        <f t="shared" si="72"/>
        <v>0</v>
      </c>
      <c r="K501" s="71"/>
      <c r="L501" s="71">
        <f>L502</f>
        <v>0</v>
      </c>
    </row>
    <row r="502" spans="1:12" x14ac:dyDescent="0.25">
      <c r="A502" s="6" t="s">
        <v>373</v>
      </c>
      <c r="B502" s="6"/>
      <c r="C502" s="57" t="s">
        <v>481</v>
      </c>
      <c r="D502" s="70">
        <f t="shared" si="72"/>
        <v>145.19999999999999</v>
      </c>
      <c r="E502" s="70">
        <f>E503</f>
        <v>23.6</v>
      </c>
      <c r="F502" s="70">
        <f t="shared" si="72"/>
        <v>168.79999999999998</v>
      </c>
      <c r="G502" s="70">
        <f t="shared" si="72"/>
        <v>145.19999999999999</v>
      </c>
      <c r="H502" s="70"/>
      <c r="I502" s="70">
        <f t="shared" si="72"/>
        <v>145.19999999999999</v>
      </c>
      <c r="J502" s="70">
        <f t="shared" si="72"/>
        <v>0</v>
      </c>
      <c r="K502" s="70"/>
      <c r="L502" s="70">
        <f>L503</f>
        <v>0</v>
      </c>
    </row>
    <row r="503" spans="1:12" ht="26.25" x14ac:dyDescent="0.25">
      <c r="A503" s="6"/>
      <c r="B503" s="6" t="s">
        <v>281</v>
      </c>
      <c r="C503" s="3" t="s">
        <v>282</v>
      </c>
      <c r="D503" s="70">
        <v>145.19999999999999</v>
      </c>
      <c r="E503" s="70">
        <v>23.6</v>
      </c>
      <c r="F503" s="70">
        <f>145.2+23.6</f>
        <v>168.79999999999998</v>
      </c>
      <c r="G503" s="70">
        <v>145.19999999999999</v>
      </c>
      <c r="H503" s="70"/>
      <c r="I503" s="70">
        <v>145.19999999999999</v>
      </c>
      <c r="J503" s="70">
        <v>0</v>
      </c>
      <c r="K503" s="70"/>
      <c r="L503" s="70">
        <v>0</v>
      </c>
    </row>
    <row r="504" spans="1:12" ht="39" x14ac:dyDescent="0.25">
      <c r="A504" s="29" t="s">
        <v>374</v>
      </c>
      <c r="B504" s="29"/>
      <c r="C504" s="37" t="s">
        <v>375</v>
      </c>
      <c r="D504" s="72">
        <f>D505</f>
        <v>0</v>
      </c>
      <c r="E504" s="72"/>
      <c r="F504" s="72">
        <f t="shared" ref="F504:L504" si="73">F505</f>
        <v>0</v>
      </c>
      <c r="G504" s="72">
        <f t="shared" si="73"/>
        <v>0</v>
      </c>
      <c r="H504" s="72">
        <f t="shared" si="73"/>
        <v>0</v>
      </c>
      <c r="I504" s="72">
        <f t="shared" si="73"/>
        <v>0</v>
      </c>
      <c r="J504" s="72">
        <f t="shared" si="73"/>
        <v>1632.7214799999999</v>
      </c>
      <c r="K504" s="72">
        <f t="shared" si="73"/>
        <v>0</v>
      </c>
      <c r="L504" s="72">
        <f t="shared" si="73"/>
        <v>1632.7214799999999</v>
      </c>
    </row>
    <row r="505" spans="1:12" ht="39" x14ac:dyDescent="0.25">
      <c r="A505" s="31" t="s">
        <v>376</v>
      </c>
      <c r="B505" s="43"/>
      <c r="C505" s="32" t="s">
        <v>377</v>
      </c>
      <c r="D505" s="75">
        <f t="shared" ref="D505:L506" si="74">D506</f>
        <v>0</v>
      </c>
      <c r="E505" s="75"/>
      <c r="F505" s="75">
        <f t="shared" si="74"/>
        <v>0</v>
      </c>
      <c r="G505" s="75">
        <f t="shared" si="74"/>
        <v>0</v>
      </c>
      <c r="H505" s="75">
        <f t="shared" si="74"/>
        <v>0</v>
      </c>
      <c r="I505" s="75">
        <f t="shared" si="74"/>
        <v>0</v>
      </c>
      <c r="J505" s="75">
        <f t="shared" si="74"/>
        <v>1632.7214799999999</v>
      </c>
      <c r="K505" s="75">
        <f t="shared" si="74"/>
        <v>0</v>
      </c>
      <c r="L505" s="75">
        <f t="shared" si="74"/>
        <v>1632.7214799999999</v>
      </c>
    </row>
    <row r="506" spans="1:12" ht="53.25" customHeight="1" x14ac:dyDescent="0.25">
      <c r="A506" s="33" t="s">
        <v>470</v>
      </c>
      <c r="B506" s="36"/>
      <c r="C506" s="34" t="s">
        <v>378</v>
      </c>
      <c r="D506" s="82">
        <f t="shared" si="74"/>
        <v>0</v>
      </c>
      <c r="E506" s="82"/>
      <c r="F506" s="82">
        <f t="shared" si="74"/>
        <v>0</v>
      </c>
      <c r="G506" s="82">
        <f t="shared" si="74"/>
        <v>0</v>
      </c>
      <c r="H506" s="82">
        <f t="shared" si="74"/>
        <v>0</v>
      </c>
      <c r="I506" s="82">
        <f t="shared" si="74"/>
        <v>0</v>
      </c>
      <c r="J506" s="82">
        <f>J507</f>
        <v>1632.7214799999999</v>
      </c>
      <c r="K506" s="82">
        <f>K507</f>
        <v>0</v>
      </c>
      <c r="L506" s="82">
        <f>L507</f>
        <v>1632.7214799999999</v>
      </c>
    </row>
    <row r="507" spans="1:12" ht="39" x14ac:dyDescent="0.25">
      <c r="A507" s="6" t="s">
        <v>469</v>
      </c>
      <c r="B507" s="6"/>
      <c r="C507" s="3" t="s">
        <v>379</v>
      </c>
      <c r="D507" s="70">
        <v>0</v>
      </c>
      <c r="E507" s="70"/>
      <c r="F507" s="70">
        <v>0</v>
      </c>
      <c r="G507" s="70">
        <f t="shared" ref="G507:L507" si="75">G509</f>
        <v>0</v>
      </c>
      <c r="H507" s="70"/>
      <c r="I507" s="70">
        <f t="shared" si="75"/>
        <v>0</v>
      </c>
      <c r="J507" s="70">
        <f>J509</f>
        <v>1632.7214799999999</v>
      </c>
      <c r="K507" s="70"/>
      <c r="L507" s="70">
        <f t="shared" si="75"/>
        <v>1632.7214799999999</v>
      </c>
    </row>
    <row r="508" spans="1:12" x14ac:dyDescent="0.25">
      <c r="A508" s="6"/>
      <c r="B508" s="6" t="s">
        <v>424</v>
      </c>
      <c r="C508" s="3" t="s">
        <v>425</v>
      </c>
      <c r="D508" s="70">
        <v>0</v>
      </c>
      <c r="E508" s="70"/>
      <c r="F508" s="70">
        <v>0</v>
      </c>
      <c r="G508" s="70">
        <f>G509</f>
        <v>0</v>
      </c>
      <c r="H508" s="70"/>
      <c r="I508" s="70">
        <v>0</v>
      </c>
      <c r="J508" s="70">
        <f>J509</f>
        <v>1632.7214799999999</v>
      </c>
      <c r="K508" s="70"/>
      <c r="L508" s="70">
        <f>L509</f>
        <v>1632.7214799999999</v>
      </c>
    </row>
    <row r="509" spans="1:12" s="94" customFormat="1" x14ac:dyDescent="0.25">
      <c r="A509" s="92"/>
      <c r="B509" s="92"/>
      <c r="C509" s="9" t="s">
        <v>105</v>
      </c>
      <c r="D509" s="70">
        <v>0</v>
      </c>
      <c r="E509" s="70"/>
      <c r="F509" s="70">
        <v>0</v>
      </c>
      <c r="G509" s="70">
        <v>0</v>
      </c>
      <c r="H509" s="70"/>
      <c r="I509" s="70">
        <v>0</v>
      </c>
      <c r="J509" s="70">
        <v>1632.7214799999999</v>
      </c>
      <c r="K509" s="70"/>
      <c r="L509" s="70">
        <v>1632.7214799999999</v>
      </c>
    </row>
    <row r="510" spans="1:12" ht="39" x14ac:dyDescent="0.25">
      <c r="A510" s="29" t="s">
        <v>380</v>
      </c>
      <c r="B510" s="58"/>
      <c r="C510" s="37" t="s">
        <v>496</v>
      </c>
      <c r="D510" s="72">
        <f>D511+D518</f>
        <v>5917.7224000000006</v>
      </c>
      <c r="E510" s="72"/>
      <c r="F510" s="72">
        <f>F511+F518</f>
        <v>5917.7224000000006</v>
      </c>
      <c r="G510" s="72">
        <f>G511+G518</f>
        <v>1412.7</v>
      </c>
      <c r="H510" s="72"/>
      <c r="I510" s="72">
        <f>I511+I518</f>
        <v>1412.7</v>
      </c>
      <c r="J510" s="72">
        <f>J511+J518</f>
        <v>0</v>
      </c>
      <c r="K510" s="72"/>
      <c r="L510" s="72">
        <f>L511+L518</f>
        <v>0</v>
      </c>
    </row>
    <row r="511" spans="1:12" x14ac:dyDescent="0.25">
      <c r="A511" s="33" t="s">
        <v>381</v>
      </c>
      <c r="B511" s="36"/>
      <c r="C511" s="34" t="s">
        <v>382</v>
      </c>
      <c r="D511" s="71">
        <f>D512+D514</f>
        <v>5717.7224000000006</v>
      </c>
      <c r="E511" s="71"/>
      <c r="F511" s="71">
        <f>F512+F514</f>
        <v>5717.7224000000006</v>
      </c>
      <c r="G511" s="71">
        <f>G512+G514</f>
        <v>1412.7</v>
      </c>
      <c r="H511" s="71"/>
      <c r="I511" s="71">
        <f>I512+I514</f>
        <v>1412.7</v>
      </c>
      <c r="J511" s="71">
        <f>J512+J514</f>
        <v>0</v>
      </c>
      <c r="K511" s="71"/>
      <c r="L511" s="71">
        <f>L512+L514</f>
        <v>0</v>
      </c>
    </row>
    <row r="512" spans="1:12" x14ac:dyDescent="0.25">
      <c r="A512" s="6" t="s">
        <v>383</v>
      </c>
      <c r="B512" s="6"/>
      <c r="C512" s="3" t="s">
        <v>384</v>
      </c>
      <c r="D512" s="70">
        <f>D513</f>
        <v>300</v>
      </c>
      <c r="E512" s="70"/>
      <c r="F512" s="70">
        <f>F513</f>
        <v>300</v>
      </c>
      <c r="G512" s="70">
        <f>G513</f>
        <v>600</v>
      </c>
      <c r="H512" s="70"/>
      <c r="I512" s="70">
        <f>I513</f>
        <v>600</v>
      </c>
      <c r="J512" s="70">
        <f>J513</f>
        <v>0</v>
      </c>
      <c r="K512" s="70"/>
      <c r="L512" s="70">
        <f>L513</f>
        <v>0</v>
      </c>
    </row>
    <row r="513" spans="1:12" ht="26.25" x14ac:dyDescent="0.25">
      <c r="A513" s="6"/>
      <c r="B513" s="6" t="s">
        <v>281</v>
      </c>
      <c r="C513" s="3" t="s">
        <v>282</v>
      </c>
      <c r="D513" s="70">
        <v>300</v>
      </c>
      <c r="E513" s="70"/>
      <c r="F513" s="70">
        <v>300</v>
      </c>
      <c r="G513" s="70">
        <v>600</v>
      </c>
      <c r="H513" s="70"/>
      <c r="I513" s="70">
        <v>600</v>
      </c>
      <c r="J513" s="70">
        <v>0</v>
      </c>
      <c r="K513" s="70"/>
      <c r="L513" s="70">
        <v>0</v>
      </c>
    </row>
    <row r="514" spans="1:12" ht="25.5" x14ac:dyDescent="0.25">
      <c r="A514" s="6" t="s">
        <v>386</v>
      </c>
      <c r="B514" s="6"/>
      <c r="C514" s="1" t="s">
        <v>482</v>
      </c>
      <c r="D514" s="70">
        <f>D515</f>
        <v>5417.7224000000006</v>
      </c>
      <c r="E514" s="70"/>
      <c r="F514" s="70">
        <f>F515</f>
        <v>5417.7224000000006</v>
      </c>
      <c r="G514" s="70">
        <f>G516+G517</f>
        <v>812.7</v>
      </c>
      <c r="H514" s="70"/>
      <c r="I514" s="70">
        <f>I516+I517</f>
        <v>812.7</v>
      </c>
      <c r="J514" s="70">
        <f>J516+J517</f>
        <v>0</v>
      </c>
      <c r="K514" s="70"/>
      <c r="L514" s="70">
        <f>L516+L517</f>
        <v>0</v>
      </c>
    </row>
    <row r="515" spans="1:12" ht="26.25" x14ac:dyDescent="0.25">
      <c r="A515" s="6"/>
      <c r="B515" s="6" t="s">
        <v>281</v>
      </c>
      <c r="C515" s="3" t="s">
        <v>282</v>
      </c>
      <c r="D515" s="70">
        <f>D516+D517</f>
        <v>5417.7224000000006</v>
      </c>
      <c r="E515" s="70"/>
      <c r="F515" s="70">
        <f>F516+F517</f>
        <v>5417.7224000000006</v>
      </c>
      <c r="G515" s="70">
        <f>G517</f>
        <v>812.7</v>
      </c>
      <c r="H515" s="70"/>
      <c r="I515" s="70">
        <f>I517</f>
        <v>812.7</v>
      </c>
      <c r="J515" s="70">
        <f>J517</f>
        <v>0</v>
      </c>
      <c r="K515" s="70"/>
      <c r="L515" s="70">
        <f>L517</f>
        <v>0</v>
      </c>
    </row>
    <row r="516" spans="1:12" x14ac:dyDescent="0.25">
      <c r="A516" s="6"/>
      <c r="B516" s="6"/>
      <c r="C516" s="9" t="s">
        <v>210</v>
      </c>
      <c r="D516" s="70">
        <v>4605.0640400000002</v>
      </c>
      <c r="E516" s="70"/>
      <c r="F516" s="70">
        <v>4605.0640400000002</v>
      </c>
      <c r="G516" s="70">
        <v>0</v>
      </c>
      <c r="H516" s="70"/>
      <c r="I516" s="70">
        <v>0</v>
      </c>
      <c r="J516" s="70">
        <v>0</v>
      </c>
      <c r="K516" s="70"/>
      <c r="L516" s="70">
        <v>0</v>
      </c>
    </row>
    <row r="517" spans="1:12" x14ac:dyDescent="0.25">
      <c r="A517" s="6"/>
      <c r="B517" s="6"/>
      <c r="C517" s="3" t="s">
        <v>385</v>
      </c>
      <c r="D517" s="70">
        <v>812.65836000000002</v>
      </c>
      <c r="E517" s="70"/>
      <c r="F517" s="70">
        <v>812.65836000000002</v>
      </c>
      <c r="G517" s="70">
        <v>812.7</v>
      </c>
      <c r="H517" s="70"/>
      <c r="I517" s="70">
        <v>812.7</v>
      </c>
      <c r="J517" s="70">
        <v>0</v>
      </c>
      <c r="K517" s="70"/>
      <c r="L517" s="70">
        <v>0</v>
      </c>
    </row>
    <row r="518" spans="1:12" ht="39" x14ac:dyDescent="0.25">
      <c r="A518" s="33" t="s">
        <v>387</v>
      </c>
      <c r="B518" s="36"/>
      <c r="C518" s="34" t="s">
        <v>388</v>
      </c>
      <c r="D518" s="71">
        <f>D519</f>
        <v>200</v>
      </c>
      <c r="E518" s="71"/>
      <c r="F518" s="71">
        <f>F519</f>
        <v>200</v>
      </c>
      <c r="G518" s="71">
        <f>G519</f>
        <v>0</v>
      </c>
      <c r="H518" s="71"/>
      <c r="I518" s="71">
        <f>I519</f>
        <v>0</v>
      </c>
      <c r="J518" s="71">
        <f>J519</f>
        <v>0</v>
      </c>
      <c r="K518" s="71"/>
      <c r="L518" s="71">
        <f>L519</f>
        <v>0</v>
      </c>
    </row>
    <row r="519" spans="1:12" ht="39" x14ac:dyDescent="0.25">
      <c r="A519" s="6" t="s">
        <v>389</v>
      </c>
      <c r="B519" s="6"/>
      <c r="C519" s="3" t="s">
        <v>390</v>
      </c>
      <c r="D519" s="70">
        <f>D520</f>
        <v>200</v>
      </c>
      <c r="E519" s="70"/>
      <c r="F519" s="70">
        <f>F520</f>
        <v>200</v>
      </c>
      <c r="G519" s="70">
        <v>0</v>
      </c>
      <c r="H519" s="70"/>
      <c r="I519" s="70">
        <v>0</v>
      </c>
      <c r="J519" s="70">
        <v>0</v>
      </c>
      <c r="K519" s="70"/>
      <c r="L519" s="70">
        <v>0</v>
      </c>
    </row>
    <row r="520" spans="1:12" ht="26.25" x14ac:dyDescent="0.25">
      <c r="A520" s="6"/>
      <c r="B520" s="6" t="s">
        <v>281</v>
      </c>
      <c r="C520" s="3" t="s">
        <v>282</v>
      </c>
      <c r="D520" s="70">
        <v>200</v>
      </c>
      <c r="E520" s="70"/>
      <c r="F520" s="70">
        <v>200</v>
      </c>
      <c r="G520" s="70">
        <v>0</v>
      </c>
      <c r="H520" s="70"/>
      <c r="I520" s="70">
        <v>0</v>
      </c>
      <c r="J520" s="70">
        <v>0</v>
      </c>
      <c r="K520" s="70"/>
      <c r="L520" s="70">
        <v>0</v>
      </c>
    </row>
    <row r="521" spans="1:12" x14ac:dyDescent="0.25">
      <c r="A521" s="59" t="s">
        <v>394</v>
      </c>
      <c r="B521" s="59"/>
      <c r="C521" s="60" t="s">
        <v>395</v>
      </c>
      <c r="D521" s="83">
        <f t="shared" ref="D521:L521" si="76">D522+D528</f>
        <v>75818.589300000007</v>
      </c>
      <c r="E521" s="83">
        <f>E522+E528</f>
        <v>2232.83</v>
      </c>
      <c r="F521" s="83">
        <f t="shared" si="76"/>
        <v>78051.419299999994</v>
      </c>
      <c r="G521" s="83">
        <f t="shared" si="76"/>
        <v>65434.757700000009</v>
      </c>
      <c r="H521" s="83">
        <f t="shared" si="76"/>
        <v>0</v>
      </c>
      <c r="I521" s="83">
        <f t="shared" si="76"/>
        <v>65434.757700000009</v>
      </c>
      <c r="J521" s="83">
        <f t="shared" si="76"/>
        <v>64707.417300000008</v>
      </c>
      <c r="K521" s="83">
        <f t="shared" si="76"/>
        <v>0</v>
      </c>
      <c r="L521" s="83">
        <f t="shared" si="76"/>
        <v>64707.417300000008</v>
      </c>
    </row>
    <row r="522" spans="1:12" ht="26.25" x14ac:dyDescent="0.25">
      <c r="A522" s="61" t="s">
        <v>396</v>
      </c>
      <c r="B522" s="62"/>
      <c r="C522" s="63" t="s">
        <v>397</v>
      </c>
      <c r="D522" s="84">
        <f>D523+D525</f>
        <v>2909.7</v>
      </c>
      <c r="E522" s="84"/>
      <c r="F522" s="84">
        <f>F523+F525</f>
        <v>2909.7</v>
      </c>
      <c r="G522" s="84">
        <f>G523+G525</f>
        <v>2971.3</v>
      </c>
      <c r="H522" s="84"/>
      <c r="I522" s="84">
        <f>I523+I525</f>
        <v>2971.3</v>
      </c>
      <c r="J522" s="84">
        <f>J523+J525</f>
        <v>2737.3</v>
      </c>
      <c r="K522" s="84"/>
      <c r="L522" s="84">
        <f>L523+L525</f>
        <v>2737.3</v>
      </c>
    </row>
    <row r="523" spans="1:12" ht="26.25" x14ac:dyDescent="0.25">
      <c r="A523" s="6" t="s">
        <v>398</v>
      </c>
      <c r="B523" s="6"/>
      <c r="C523" s="3" t="s">
        <v>487</v>
      </c>
      <c r="D523" s="70">
        <v>1164</v>
      </c>
      <c r="E523" s="70"/>
      <c r="F523" s="70">
        <v>1164</v>
      </c>
      <c r="G523" s="70">
        <v>1164</v>
      </c>
      <c r="H523" s="70"/>
      <c r="I523" s="70">
        <v>1164</v>
      </c>
      <c r="J523" s="70">
        <f>J524</f>
        <v>939.8</v>
      </c>
      <c r="K523" s="70"/>
      <c r="L523" s="70">
        <f>L524</f>
        <v>939.8</v>
      </c>
    </row>
    <row r="524" spans="1:12" ht="51.75" x14ac:dyDescent="0.25">
      <c r="A524" s="6"/>
      <c r="B524" s="6" t="s">
        <v>399</v>
      </c>
      <c r="C524" s="3" t="s">
        <v>400</v>
      </c>
      <c r="D524" s="70">
        <v>1164</v>
      </c>
      <c r="E524" s="70"/>
      <c r="F524" s="70">
        <v>1164</v>
      </c>
      <c r="G524" s="70">
        <v>1164</v>
      </c>
      <c r="H524" s="70"/>
      <c r="I524" s="70">
        <v>1164</v>
      </c>
      <c r="J524" s="70">
        <f>1164-224.2</f>
        <v>939.8</v>
      </c>
      <c r="K524" s="70"/>
      <c r="L524" s="70">
        <f>1164-224.2</f>
        <v>939.8</v>
      </c>
    </row>
    <row r="525" spans="1:12" ht="26.25" x14ac:dyDescent="0.25">
      <c r="A525" s="6" t="s">
        <v>401</v>
      </c>
      <c r="B525" s="6"/>
      <c r="C525" s="54" t="s">
        <v>791</v>
      </c>
      <c r="D525" s="70">
        <f>D526+D527</f>
        <v>1745.7</v>
      </c>
      <c r="E525" s="70"/>
      <c r="F525" s="70">
        <f>F526+F527</f>
        <v>1745.7</v>
      </c>
      <c r="G525" s="70">
        <f>G526+G527</f>
        <v>1807.3</v>
      </c>
      <c r="H525" s="70"/>
      <c r="I525" s="70">
        <f>I526+I527</f>
        <v>1807.3</v>
      </c>
      <c r="J525" s="70">
        <f>J526+J527</f>
        <v>1797.5</v>
      </c>
      <c r="K525" s="70"/>
      <c r="L525" s="70">
        <f>L526+L527</f>
        <v>1797.5</v>
      </c>
    </row>
    <row r="526" spans="1:12" ht="51.75" x14ac:dyDescent="0.25">
      <c r="A526" s="6"/>
      <c r="B526" s="6" t="s">
        <v>399</v>
      </c>
      <c r="C526" s="3" t="s">
        <v>400</v>
      </c>
      <c r="D526" s="70">
        <v>1695</v>
      </c>
      <c r="E526" s="70"/>
      <c r="F526" s="70">
        <v>1695</v>
      </c>
      <c r="G526" s="70">
        <v>1756.6</v>
      </c>
      <c r="H526" s="70"/>
      <c r="I526" s="70">
        <v>1756.6</v>
      </c>
      <c r="J526" s="70">
        <v>1756.6</v>
      </c>
      <c r="K526" s="70"/>
      <c r="L526" s="70">
        <v>1756.6</v>
      </c>
    </row>
    <row r="527" spans="1:12" ht="26.25" x14ac:dyDescent="0.25">
      <c r="A527" s="6"/>
      <c r="B527" s="6" t="s">
        <v>281</v>
      </c>
      <c r="C527" s="3" t="s">
        <v>282</v>
      </c>
      <c r="D527" s="70">
        <v>50.7</v>
      </c>
      <c r="E527" s="70"/>
      <c r="F527" s="70">
        <v>50.7</v>
      </c>
      <c r="G527" s="70">
        <v>50.7</v>
      </c>
      <c r="H527" s="70"/>
      <c r="I527" s="70">
        <v>50.7</v>
      </c>
      <c r="J527" s="70">
        <f>50.7-9.8</f>
        <v>40.900000000000006</v>
      </c>
      <c r="K527" s="70"/>
      <c r="L527" s="70">
        <f>50.7-9.8</f>
        <v>40.900000000000006</v>
      </c>
    </row>
    <row r="528" spans="1:12" ht="39" x14ac:dyDescent="0.25">
      <c r="A528" s="61" t="s">
        <v>402</v>
      </c>
      <c r="B528" s="61"/>
      <c r="C528" s="63" t="s">
        <v>403</v>
      </c>
      <c r="D528" s="84">
        <f>D531+D535+D542+D544+D546+D550+D556+D558+D560+D562+D564+D566+D538+D568+D553+D529+D570+D572</f>
        <v>72908.88930000001</v>
      </c>
      <c r="E528" s="84">
        <f>E531+E535+E542+E544+E546+E550+E556+E558+E560+E562+E564+E566+E538+E568+E553+E529+E570+E572+E574</f>
        <v>2232.83</v>
      </c>
      <c r="F528" s="84">
        <f>F531+F535+F542+F544+F546+F550+F556+F558+F560+F562+F564+F566+F538+F568+F553+F529+F570+F572+F574</f>
        <v>75141.719299999997</v>
      </c>
      <c r="G528" s="84">
        <f t="shared" ref="G528:L528" si="77">G531+G535+G542+G544+G546+G550+G556+G558+G560+G562+G564+G566+G538+G568+G553+G529</f>
        <v>62463.457700000006</v>
      </c>
      <c r="H528" s="84">
        <f t="shared" si="77"/>
        <v>0</v>
      </c>
      <c r="I528" s="84">
        <f t="shared" si="77"/>
        <v>62463.457700000006</v>
      </c>
      <c r="J528" s="84">
        <f t="shared" si="77"/>
        <v>61970.117300000005</v>
      </c>
      <c r="K528" s="84">
        <f t="shared" si="77"/>
        <v>0</v>
      </c>
      <c r="L528" s="84">
        <f t="shared" si="77"/>
        <v>61970.117300000005</v>
      </c>
    </row>
    <row r="529" spans="1:12" x14ac:dyDescent="0.25">
      <c r="A529" s="4" t="s">
        <v>562</v>
      </c>
      <c r="B529" s="12"/>
      <c r="C529" s="3" t="s">
        <v>692</v>
      </c>
      <c r="D529" s="70">
        <f t="shared" ref="D529:L529" si="78">D530</f>
        <v>0</v>
      </c>
      <c r="E529" s="70"/>
      <c r="F529" s="70">
        <f t="shared" si="78"/>
        <v>0</v>
      </c>
      <c r="G529" s="70">
        <f t="shared" si="78"/>
        <v>0</v>
      </c>
      <c r="H529" s="70"/>
      <c r="I529" s="70">
        <f t="shared" si="78"/>
        <v>0</v>
      </c>
      <c r="J529" s="70">
        <f t="shared" si="78"/>
        <v>0</v>
      </c>
      <c r="K529" s="70"/>
      <c r="L529" s="70">
        <f t="shared" si="78"/>
        <v>0</v>
      </c>
    </row>
    <row r="530" spans="1:12" ht="26.25" x14ac:dyDescent="0.25">
      <c r="A530" s="12"/>
      <c r="B530" s="16" t="s">
        <v>471</v>
      </c>
      <c r="C530" s="3" t="s">
        <v>472</v>
      </c>
      <c r="D530" s="70">
        <v>0</v>
      </c>
      <c r="E530" s="70"/>
      <c r="F530" s="70">
        <v>0</v>
      </c>
      <c r="G530" s="70">
        <v>0</v>
      </c>
      <c r="H530" s="70"/>
      <c r="I530" s="70">
        <v>0</v>
      </c>
      <c r="J530" s="70">
        <v>0</v>
      </c>
      <c r="K530" s="70"/>
      <c r="L530" s="70">
        <v>0</v>
      </c>
    </row>
    <row r="531" spans="1:12" ht="26.25" x14ac:dyDescent="0.25">
      <c r="A531" s="6" t="s">
        <v>404</v>
      </c>
      <c r="B531" s="6"/>
      <c r="C531" s="3" t="s">
        <v>405</v>
      </c>
      <c r="D531" s="70">
        <f>D532+D533+D534</f>
        <v>2587.2999999999997</v>
      </c>
      <c r="E531" s="70"/>
      <c r="F531" s="70">
        <f>F532+F533+F534</f>
        <v>2587.2999999999997</v>
      </c>
      <c r="G531" s="70">
        <f>G532+G533+G534</f>
        <v>3380.1</v>
      </c>
      <c r="H531" s="70"/>
      <c r="I531" s="70">
        <f>I532+I533+I534</f>
        <v>3380.1</v>
      </c>
      <c r="J531" s="70">
        <f>J532+J533+J534</f>
        <v>3380.1</v>
      </c>
      <c r="K531" s="70"/>
      <c r="L531" s="70">
        <f>L532+L533+L534</f>
        <v>3380.1</v>
      </c>
    </row>
    <row r="532" spans="1:12" ht="51.75" x14ac:dyDescent="0.25">
      <c r="A532" s="12"/>
      <c r="B532" s="6" t="s">
        <v>399</v>
      </c>
      <c r="C532" s="3" t="s">
        <v>400</v>
      </c>
      <c r="D532" s="70">
        <v>2447.6999999999998</v>
      </c>
      <c r="E532" s="70"/>
      <c r="F532" s="70">
        <f>SUM(D532:E532)</f>
        <v>2447.6999999999998</v>
      </c>
      <c r="G532" s="70">
        <v>3157</v>
      </c>
      <c r="H532" s="70"/>
      <c r="I532" s="70">
        <v>3157</v>
      </c>
      <c r="J532" s="70">
        <v>3157</v>
      </c>
      <c r="K532" s="70"/>
      <c r="L532" s="70">
        <v>3157</v>
      </c>
    </row>
    <row r="533" spans="1:12" ht="26.25" x14ac:dyDescent="0.25">
      <c r="A533" s="12"/>
      <c r="B533" s="6" t="s">
        <v>281</v>
      </c>
      <c r="C533" s="3" t="s">
        <v>282</v>
      </c>
      <c r="D533" s="70">
        <f>105.6-2.1</f>
        <v>103.5</v>
      </c>
      <c r="E533" s="70"/>
      <c r="F533" s="70">
        <f>105.6-2.1</f>
        <v>103.5</v>
      </c>
      <c r="G533" s="70">
        <f>105.6-2.1</f>
        <v>103.5</v>
      </c>
      <c r="H533" s="70"/>
      <c r="I533" s="70">
        <f>105.6-2.1</f>
        <v>103.5</v>
      </c>
      <c r="J533" s="70">
        <f>105.6-2.1</f>
        <v>103.5</v>
      </c>
      <c r="K533" s="70"/>
      <c r="L533" s="70">
        <f>105.6-2.1</f>
        <v>103.5</v>
      </c>
    </row>
    <row r="534" spans="1:12" x14ac:dyDescent="0.25">
      <c r="A534" s="12"/>
      <c r="B534" s="16" t="s">
        <v>406</v>
      </c>
      <c r="C534" s="7" t="s">
        <v>407</v>
      </c>
      <c r="D534" s="70">
        <v>36.1</v>
      </c>
      <c r="E534" s="70"/>
      <c r="F534" s="70">
        <f>119.6-83.5</f>
        <v>36.099999999999994</v>
      </c>
      <c r="G534" s="70">
        <v>119.6</v>
      </c>
      <c r="H534" s="70"/>
      <c r="I534" s="70">
        <v>119.6</v>
      </c>
      <c r="J534" s="70">
        <v>119.6</v>
      </c>
      <c r="K534" s="70"/>
      <c r="L534" s="70">
        <v>119.6</v>
      </c>
    </row>
    <row r="535" spans="1:12" ht="26.25" x14ac:dyDescent="0.25">
      <c r="A535" s="6" t="s">
        <v>408</v>
      </c>
      <c r="B535" s="6"/>
      <c r="C535" s="54" t="s">
        <v>792</v>
      </c>
      <c r="D535" s="70">
        <f>D536+D537</f>
        <v>18237.900000000001</v>
      </c>
      <c r="E535" s="70"/>
      <c r="F535" s="70">
        <f>F536+F537</f>
        <v>18237.900000000001</v>
      </c>
      <c r="G535" s="70">
        <f>G536+G537</f>
        <v>18453.300000000003</v>
      </c>
      <c r="H535" s="70"/>
      <c r="I535" s="70">
        <f>I536+I537</f>
        <v>18453.300000000003</v>
      </c>
      <c r="J535" s="70">
        <f>J536+J537</f>
        <v>18453.300000000003</v>
      </c>
      <c r="K535" s="70"/>
      <c r="L535" s="70">
        <f>L536+L537</f>
        <v>18453.300000000003</v>
      </c>
    </row>
    <row r="536" spans="1:12" ht="51.75" x14ac:dyDescent="0.25">
      <c r="A536" s="6"/>
      <c r="B536" s="6" t="s">
        <v>399</v>
      </c>
      <c r="C536" s="3" t="s">
        <v>400</v>
      </c>
      <c r="D536" s="85">
        <v>17271.5</v>
      </c>
      <c r="E536" s="85"/>
      <c r="F536" s="85">
        <v>17271.5</v>
      </c>
      <c r="G536" s="85">
        <v>17486.900000000001</v>
      </c>
      <c r="H536" s="85"/>
      <c r="I536" s="85">
        <f>18235-748.1</f>
        <v>17486.900000000001</v>
      </c>
      <c r="J536" s="85">
        <v>17486.900000000001</v>
      </c>
      <c r="K536" s="85"/>
      <c r="L536" s="85">
        <f>18235-748.1</f>
        <v>17486.900000000001</v>
      </c>
    </row>
    <row r="537" spans="1:12" ht="26.25" x14ac:dyDescent="0.25">
      <c r="A537" s="6"/>
      <c r="B537" s="6" t="s">
        <v>281</v>
      </c>
      <c r="C537" s="3" t="s">
        <v>282</v>
      </c>
      <c r="D537" s="70">
        <f>986.1-19.7</f>
        <v>966.4</v>
      </c>
      <c r="E537" s="70"/>
      <c r="F537" s="70">
        <f>986.1-19.7</f>
        <v>966.4</v>
      </c>
      <c r="G537" s="70">
        <f>986.1-19.7</f>
        <v>966.4</v>
      </c>
      <c r="H537" s="70"/>
      <c r="I537" s="70">
        <f>986.1-19.7</f>
        <v>966.4</v>
      </c>
      <c r="J537" s="70">
        <f>986.1-19.7</f>
        <v>966.4</v>
      </c>
      <c r="K537" s="70"/>
      <c r="L537" s="70">
        <f>986.1-19.7</f>
        <v>966.4</v>
      </c>
    </row>
    <row r="538" spans="1:12" ht="39" x14ac:dyDescent="0.25">
      <c r="A538" s="6" t="s">
        <v>409</v>
      </c>
      <c r="B538" s="6"/>
      <c r="C538" s="3" t="s">
        <v>68</v>
      </c>
      <c r="D538" s="70">
        <f>D539</f>
        <v>0</v>
      </c>
      <c r="E538" s="70"/>
      <c r="F538" s="70">
        <f>F539</f>
        <v>0</v>
      </c>
      <c r="G538" s="70">
        <f>G539</f>
        <v>0</v>
      </c>
      <c r="H538" s="70"/>
      <c r="I538" s="70">
        <f>I539</f>
        <v>0</v>
      </c>
      <c r="J538" s="70">
        <f>J539</f>
        <v>0</v>
      </c>
      <c r="K538" s="70"/>
      <c r="L538" s="70">
        <f>L539</f>
        <v>0</v>
      </c>
    </row>
    <row r="539" spans="1:12" ht="51.75" x14ac:dyDescent="0.25">
      <c r="A539" s="6"/>
      <c r="B539" s="6" t="s">
        <v>399</v>
      </c>
      <c r="C539" s="3" t="s">
        <v>400</v>
      </c>
      <c r="D539" s="70">
        <v>0</v>
      </c>
      <c r="E539" s="70"/>
      <c r="F539" s="70">
        <v>0</v>
      </c>
      <c r="G539" s="70">
        <v>0</v>
      </c>
      <c r="H539" s="70"/>
      <c r="I539" s="70">
        <v>0</v>
      </c>
      <c r="J539" s="70">
        <v>0</v>
      </c>
      <c r="K539" s="70"/>
      <c r="L539" s="70">
        <v>0</v>
      </c>
    </row>
    <row r="540" spans="1:12" ht="25.5" x14ac:dyDescent="0.25">
      <c r="A540" s="6" t="s">
        <v>410</v>
      </c>
      <c r="B540" s="6"/>
      <c r="C540" s="1" t="s">
        <v>411</v>
      </c>
      <c r="D540" s="70">
        <f>D541</f>
        <v>0</v>
      </c>
      <c r="E540" s="70"/>
      <c r="F540" s="70">
        <f>F541</f>
        <v>0</v>
      </c>
      <c r="G540" s="70">
        <f>G541</f>
        <v>0</v>
      </c>
      <c r="H540" s="70"/>
      <c r="I540" s="70">
        <f>I541</f>
        <v>0</v>
      </c>
      <c r="J540" s="70">
        <f>J541</f>
        <v>0</v>
      </c>
      <c r="K540" s="70"/>
      <c r="L540" s="70">
        <f>L541</f>
        <v>0</v>
      </c>
    </row>
    <row r="541" spans="1:12" ht="51.75" x14ac:dyDescent="0.25">
      <c r="A541" s="6"/>
      <c r="B541" s="6" t="s">
        <v>399</v>
      </c>
      <c r="C541" s="3" t="s">
        <v>400</v>
      </c>
      <c r="D541" s="70">
        <v>0</v>
      </c>
      <c r="E541" s="70"/>
      <c r="F541" s="70">
        <v>0</v>
      </c>
      <c r="G541" s="70">
        <v>0</v>
      </c>
      <c r="H541" s="70"/>
      <c r="I541" s="70">
        <v>0</v>
      </c>
      <c r="J541" s="70">
        <v>0</v>
      </c>
      <c r="K541" s="70"/>
      <c r="L541" s="70">
        <v>0</v>
      </c>
    </row>
    <row r="542" spans="1:12" ht="51.75" x14ac:dyDescent="0.25">
      <c r="A542" s="6" t="s">
        <v>412</v>
      </c>
      <c r="B542" s="6"/>
      <c r="C542" s="3" t="s">
        <v>413</v>
      </c>
      <c r="D542" s="70">
        <f>D543</f>
        <v>6137.6347999999998</v>
      </c>
      <c r="E542" s="70"/>
      <c r="F542" s="70">
        <f>F543</f>
        <v>6137.6347999999998</v>
      </c>
      <c r="G542" s="70">
        <f>G543</f>
        <v>6005.0562</v>
      </c>
      <c r="H542" s="70"/>
      <c r="I542" s="70">
        <f>I543</f>
        <v>6005.0562</v>
      </c>
      <c r="J542" s="70">
        <f>J543</f>
        <v>5811.7157999999999</v>
      </c>
      <c r="K542" s="70"/>
      <c r="L542" s="70">
        <f>L543</f>
        <v>5811.7157999999999</v>
      </c>
    </row>
    <row r="543" spans="1:12" ht="51.75" x14ac:dyDescent="0.25">
      <c r="A543" s="6"/>
      <c r="B543" s="6" t="s">
        <v>399</v>
      </c>
      <c r="C543" s="3" t="s">
        <v>400</v>
      </c>
      <c r="D543" s="70">
        <v>6137.6347999999998</v>
      </c>
      <c r="E543" s="80"/>
      <c r="F543" s="80">
        <f>D543+E543</f>
        <v>6137.6347999999998</v>
      </c>
      <c r="G543" s="80">
        <v>6005.0562</v>
      </c>
      <c r="H543" s="80"/>
      <c r="I543" s="80">
        <f>G543+H543</f>
        <v>6005.0562</v>
      </c>
      <c r="J543" s="80">
        <v>5811.7157999999999</v>
      </c>
      <c r="K543" s="80"/>
      <c r="L543" s="70">
        <f>J543+K543</f>
        <v>5811.7157999999999</v>
      </c>
    </row>
    <row r="544" spans="1:12" ht="64.5" x14ac:dyDescent="0.25">
      <c r="A544" s="6" t="s">
        <v>844</v>
      </c>
      <c r="B544" s="6"/>
      <c r="C544" s="3" t="s">
        <v>845</v>
      </c>
      <c r="D544" s="70">
        <f t="shared" ref="D544:L544" si="79">D545</f>
        <v>198.4845</v>
      </c>
      <c r="E544" s="70"/>
      <c r="F544" s="70">
        <f t="shared" si="79"/>
        <v>198.4845</v>
      </c>
      <c r="G544" s="70">
        <f t="shared" si="79"/>
        <v>200.10149999999999</v>
      </c>
      <c r="H544" s="70"/>
      <c r="I544" s="70">
        <f t="shared" si="79"/>
        <v>200.10149999999999</v>
      </c>
      <c r="J544" s="70">
        <f t="shared" si="79"/>
        <v>200.10149999999999</v>
      </c>
      <c r="K544" s="70"/>
      <c r="L544" s="70">
        <f t="shared" si="79"/>
        <v>200.10149999999999</v>
      </c>
    </row>
    <row r="545" spans="1:12" ht="51.75" x14ac:dyDescent="0.25">
      <c r="A545" s="6"/>
      <c r="B545" s="6" t="s">
        <v>399</v>
      </c>
      <c r="C545" s="3" t="s">
        <v>400</v>
      </c>
      <c r="D545" s="80">
        <v>198.4845</v>
      </c>
      <c r="E545" s="80"/>
      <c r="F545" s="80">
        <v>198.4845</v>
      </c>
      <c r="G545" s="80">
        <v>200.10149999999999</v>
      </c>
      <c r="H545" s="80"/>
      <c r="I545" s="80">
        <v>200.10149999999999</v>
      </c>
      <c r="J545" s="80">
        <v>200.10149999999999</v>
      </c>
      <c r="K545" s="80"/>
      <c r="L545" s="70">
        <v>200.10149999999999</v>
      </c>
    </row>
    <row r="546" spans="1:12" ht="26.25" x14ac:dyDescent="0.25">
      <c r="A546" s="6" t="s">
        <v>414</v>
      </c>
      <c r="B546" s="6"/>
      <c r="C546" s="3" t="s">
        <v>415</v>
      </c>
      <c r="D546" s="70">
        <f>D547+D548+D549</f>
        <v>35298</v>
      </c>
      <c r="E546" s="70">
        <f>E547+E548+E549</f>
        <v>228.8</v>
      </c>
      <c r="F546" s="70">
        <f>F547+F548+F549</f>
        <v>35526.799999999996</v>
      </c>
      <c r="G546" s="70">
        <f>G547+G548+G549</f>
        <v>32613.8</v>
      </c>
      <c r="H546" s="70"/>
      <c r="I546" s="70">
        <f>I547+I548+I549</f>
        <v>32613.8</v>
      </c>
      <c r="J546" s="70">
        <f>J547+J548+J549</f>
        <v>32613.8</v>
      </c>
      <c r="K546" s="70"/>
      <c r="L546" s="70">
        <f>L547+L548+L549</f>
        <v>32613.8</v>
      </c>
    </row>
    <row r="547" spans="1:12" ht="51.75" x14ac:dyDescent="0.25">
      <c r="A547" s="6"/>
      <c r="B547" s="6" t="s">
        <v>399</v>
      </c>
      <c r="C547" s="3" t="s">
        <v>400</v>
      </c>
      <c r="D547" s="70">
        <v>17730.599999999999</v>
      </c>
      <c r="E547" s="70"/>
      <c r="F547" s="70">
        <f>SUM(D547:E547)</f>
        <v>17730.599999999999</v>
      </c>
      <c r="G547" s="70">
        <v>17484.099999999999</v>
      </c>
      <c r="H547" s="70"/>
      <c r="I547" s="70">
        <v>17484.099999999999</v>
      </c>
      <c r="J547" s="70">
        <v>17484.099999999999</v>
      </c>
      <c r="K547" s="70"/>
      <c r="L547" s="70">
        <v>17484.099999999999</v>
      </c>
    </row>
    <row r="548" spans="1:12" ht="26.25" x14ac:dyDescent="0.25">
      <c r="A548" s="6"/>
      <c r="B548" s="6" t="s">
        <v>281</v>
      </c>
      <c r="C548" s="3" t="s">
        <v>282</v>
      </c>
      <c r="D548" s="70">
        <v>17128.2</v>
      </c>
      <c r="E548" s="70">
        <f>118.5+110.3</f>
        <v>228.8</v>
      </c>
      <c r="F548" s="70">
        <f>SUM(D548:E548)</f>
        <v>17357</v>
      </c>
      <c r="G548" s="70">
        <v>14690.5</v>
      </c>
      <c r="H548" s="70"/>
      <c r="I548" s="70">
        <v>14690.5</v>
      </c>
      <c r="J548" s="70">
        <v>14690.5</v>
      </c>
      <c r="K548" s="70"/>
      <c r="L548" s="70">
        <v>14690.5</v>
      </c>
    </row>
    <row r="549" spans="1:12" x14ac:dyDescent="0.25">
      <c r="A549" s="6"/>
      <c r="B549" s="6" t="s">
        <v>406</v>
      </c>
      <c r="C549" s="3" t="s">
        <v>407</v>
      </c>
      <c r="D549" s="70">
        <v>439.2</v>
      </c>
      <c r="E549" s="70"/>
      <c r="F549" s="70">
        <v>439.2</v>
      </c>
      <c r="G549" s="70">
        <v>439.2</v>
      </c>
      <c r="H549" s="70"/>
      <c r="I549" s="70">
        <v>439.2</v>
      </c>
      <c r="J549" s="70">
        <v>439.2</v>
      </c>
      <c r="K549" s="70"/>
      <c r="L549" s="70">
        <v>439.2</v>
      </c>
    </row>
    <row r="550" spans="1:12" ht="26.25" x14ac:dyDescent="0.25">
      <c r="A550" s="6" t="s">
        <v>838</v>
      </c>
      <c r="B550" s="6"/>
      <c r="C550" s="3" t="s">
        <v>839</v>
      </c>
      <c r="D550" s="70">
        <f>D551+D552</f>
        <v>52.3</v>
      </c>
      <c r="E550" s="70">
        <f>E552</f>
        <v>40</v>
      </c>
      <c r="F550" s="70">
        <f t="shared" ref="F550:L550" si="80">F551+F552</f>
        <v>92.3</v>
      </c>
      <c r="G550" s="70">
        <f t="shared" si="80"/>
        <v>0</v>
      </c>
      <c r="H550" s="70"/>
      <c r="I550" s="70">
        <f t="shared" si="80"/>
        <v>0</v>
      </c>
      <c r="J550" s="70">
        <f t="shared" si="80"/>
        <v>0</v>
      </c>
      <c r="K550" s="70"/>
      <c r="L550" s="70">
        <f t="shared" si="80"/>
        <v>0</v>
      </c>
    </row>
    <row r="551" spans="1:12" ht="51.75" x14ac:dyDescent="0.25">
      <c r="A551" s="6"/>
      <c r="B551" s="6" t="s">
        <v>399</v>
      </c>
      <c r="C551" s="3" t="s">
        <v>400</v>
      </c>
      <c r="D551" s="70">
        <v>19.7</v>
      </c>
      <c r="E551" s="70"/>
      <c r="F551" s="70">
        <f>19.7</f>
        <v>19.7</v>
      </c>
      <c r="G551" s="70"/>
      <c r="H551" s="70"/>
      <c r="I551" s="70"/>
      <c r="J551" s="70"/>
      <c r="K551" s="70"/>
      <c r="L551" s="70"/>
    </row>
    <row r="552" spans="1:12" x14ac:dyDescent="0.25">
      <c r="A552" s="6"/>
      <c r="B552" s="6" t="s">
        <v>406</v>
      </c>
      <c r="C552" s="1" t="s">
        <v>407</v>
      </c>
      <c r="D552" s="70">
        <v>32.6</v>
      </c>
      <c r="E552" s="70">
        <f>30+10</f>
        <v>40</v>
      </c>
      <c r="F552" s="70">
        <f>62.6+10</f>
        <v>72.599999999999994</v>
      </c>
      <c r="G552" s="70"/>
      <c r="H552" s="70"/>
      <c r="I552" s="70"/>
      <c r="J552" s="70"/>
      <c r="K552" s="70"/>
      <c r="L552" s="70"/>
    </row>
    <row r="553" spans="1:12" x14ac:dyDescent="0.25">
      <c r="A553" s="16" t="s">
        <v>416</v>
      </c>
      <c r="B553" s="16"/>
      <c r="C553" s="1" t="s">
        <v>417</v>
      </c>
      <c r="D553" s="70">
        <f>D554</f>
        <v>715.4</v>
      </c>
      <c r="E553" s="70">
        <f>E555</f>
        <v>599.9</v>
      </c>
      <c r="F553" s="70">
        <f>F554+F555</f>
        <v>1315.3</v>
      </c>
      <c r="G553" s="70">
        <v>0</v>
      </c>
      <c r="H553" s="70"/>
      <c r="I553" s="70">
        <v>0</v>
      </c>
      <c r="J553" s="70">
        <v>0</v>
      </c>
      <c r="K553" s="70"/>
      <c r="L553" s="70">
        <v>0</v>
      </c>
    </row>
    <row r="554" spans="1:12" ht="25.5" x14ac:dyDescent="0.25">
      <c r="A554" s="16"/>
      <c r="B554" s="16" t="s">
        <v>281</v>
      </c>
      <c r="C554" s="1" t="s">
        <v>282</v>
      </c>
      <c r="D554" s="70">
        <v>715.4</v>
      </c>
      <c r="E554" s="70"/>
      <c r="F554" s="70">
        <v>715.4</v>
      </c>
      <c r="G554" s="70">
        <f>1193.9-1193.9</f>
        <v>0</v>
      </c>
      <c r="H554" s="70"/>
      <c r="I554" s="70">
        <f>1193.9-1193.9</f>
        <v>0</v>
      </c>
      <c r="J554" s="70">
        <f>1243.6-1243.6</f>
        <v>0</v>
      </c>
      <c r="K554" s="70"/>
      <c r="L554" s="70">
        <f>1243.6-1243.6</f>
        <v>0</v>
      </c>
    </row>
    <row r="555" spans="1:12" ht="26.25" x14ac:dyDescent="0.25">
      <c r="A555" s="16"/>
      <c r="B555" s="6" t="s">
        <v>471</v>
      </c>
      <c r="C555" s="3" t="s">
        <v>472</v>
      </c>
      <c r="D555" s="70"/>
      <c r="E555" s="70">
        <v>599.9</v>
      </c>
      <c r="F555" s="70">
        <f>E555</f>
        <v>599.9</v>
      </c>
      <c r="G555" s="70"/>
      <c r="H555" s="70"/>
      <c r="I555" s="70"/>
      <c r="J555" s="70"/>
      <c r="K555" s="70"/>
      <c r="L555" s="70"/>
    </row>
    <row r="556" spans="1:12" ht="26.25" x14ac:dyDescent="0.25">
      <c r="A556" s="6" t="s">
        <v>418</v>
      </c>
      <c r="B556" s="6"/>
      <c r="C556" s="3" t="s">
        <v>419</v>
      </c>
      <c r="D556" s="70">
        <f>D557</f>
        <v>172.8</v>
      </c>
      <c r="E556" s="70"/>
      <c r="F556" s="70">
        <f>F557</f>
        <v>172.8</v>
      </c>
      <c r="G556" s="70">
        <f>G557</f>
        <v>172.8</v>
      </c>
      <c r="H556" s="70"/>
      <c r="I556" s="70">
        <f>I557</f>
        <v>172.8</v>
      </c>
      <c r="J556" s="70">
        <f>J557</f>
        <v>172.8</v>
      </c>
      <c r="K556" s="70"/>
      <c r="L556" s="70">
        <f>L557</f>
        <v>172.8</v>
      </c>
    </row>
    <row r="557" spans="1:12" ht="26.25" x14ac:dyDescent="0.25">
      <c r="A557" s="6"/>
      <c r="B557" s="6" t="s">
        <v>281</v>
      </c>
      <c r="C557" s="3" t="s">
        <v>282</v>
      </c>
      <c r="D557" s="70">
        <v>172.8</v>
      </c>
      <c r="E557" s="70"/>
      <c r="F557" s="70">
        <v>172.8</v>
      </c>
      <c r="G557" s="70">
        <v>172.8</v>
      </c>
      <c r="H557" s="70"/>
      <c r="I557" s="70">
        <v>172.8</v>
      </c>
      <c r="J557" s="70">
        <v>172.8</v>
      </c>
      <c r="K557" s="70"/>
      <c r="L557" s="70">
        <v>172.8</v>
      </c>
    </row>
    <row r="558" spans="1:12" ht="39" x14ac:dyDescent="0.25">
      <c r="A558" s="6" t="s">
        <v>420</v>
      </c>
      <c r="B558" s="6"/>
      <c r="C558" s="3" t="s">
        <v>421</v>
      </c>
      <c r="D558" s="70">
        <f>D559</f>
        <v>4.8</v>
      </c>
      <c r="E558" s="70"/>
      <c r="F558" s="70">
        <f>F559</f>
        <v>4.8</v>
      </c>
      <c r="G558" s="70">
        <f>G559</f>
        <v>4.9000000000000004</v>
      </c>
      <c r="H558" s="70"/>
      <c r="I558" s="70">
        <f>I559</f>
        <v>4.9000000000000004</v>
      </c>
      <c r="J558" s="70">
        <f>J559</f>
        <v>4.9000000000000004</v>
      </c>
      <c r="K558" s="70"/>
      <c r="L558" s="70">
        <f>L559</f>
        <v>4.9000000000000004</v>
      </c>
    </row>
    <row r="559" spans="1:12" ht="26.25" x14ac:dyDescent="0.25">
      <c r="A559" s="6"/>
      <c r="B559" s="6" t="s">
        <v>281</v>
      </c>
      <c r="C559" s="3" t="s">
        <v>282</v>
      </c>
      <c r="D559" s="70">
        <v>4.8</v>
      </c>
      <c r="E559" s="70"/>
      <c r="F559" s="70">
        <v>4.8</v>
      </c>
      <c r="G559" s="70">
        <v>4.9000000000000004</v>
      </c>
      <c r="H559" s="70"/>
      <c r="I559" s="70">
        <v>4.9000000000000004</v>
      </c>
      <c r="J559" s="70">
        <v>4.9000000000000004</v>
      </c>
      <c r="K559" s="70"/>
      <c r="L559" s="70">
        <v>4.9000000000000004</v>
      </c>
    </row>
    <row r="560" spans="1:12" ht="26.25" x14ac:dyDescent="0.25">
      <c r="A560" s="6" t="s">
        <v>422</v>
      </c>
      <c r="B560" s="6"/>
      <c r="C560" s="3" t="s">
        <v>423</v>
      </c>
      <c r="D560" s="70">
        <f>D561</f>
        <v>1270</v>
      </c>
      <c r="E560" s="70"/>
      <c r="F560" s="70">
        <f>F561</f>
        <v>1270</v>
      </c>
      <c r="G560" s="70">
        <f>G561</f>
        <v>1183.4000000000001</v>
      </c>
      <c r="H560" s="70"/>
      <c r="I560" s="70">
        <f>I561</f>
        <v>1183.4000000000001</v>
      </c>
      <c r="J560" s="70">
        <f>J561</f>
        <v>1183.4000000000001</v>
      </c>
      <c r="K560" s="70"/>
      <c r="L560" s="70">
        <f>L561</f>
        <v>1183.4000000000001</v>
      </c>
    </row>
    <row r="561" spans="1:12" x14ac:dyDescent="0.25">
      <c r="A561" s="6"/>
      <c r="B561" s="6" t="s">
        <v>406</v>
      </c>
      <c r="C561" s="3" t="s">
        <v>407</v>
      </c>
      <c r="D561" s="70">
        <v>1270</v>
      </c>
      <c r="E561" s="70"/>
      <c r="F561" s="70">
        <v>1270</v>
      </c>
      <c r="G561" s="70">
        <v>1183.4000000000001</v>
      </c>
      <c r="H561" s="70"/>
      <c r="I561" s="70">
        <v>1183.4000000000001</v>
      </c>
      <c r="J561" s="70">
        <v>1183.4000000000001</v>
      </c>
      <c r="K561" s="70"/>
      <c r="L561" s="70">
        <v>1183.4000000000001</v>
      </c>
    </row>
    <row r="562" spans="1:12" ht="26.25" x14ac:dyDescent="0.25">
      <c r="A562" s="6" t="s">
        <v>426</v>
      </c>
      <c r="B562" s="6"/>
      <c r="C562" s="3" t="s">
        <v>427</v>
      </c>
      <c r="D562" s="70">
        <f t="shared" ref="D562:I562" si="81">D563</f>
        <v>450</v>
      </c>
      <c r="E562" s="70"/>
      <c r="F562" s="70">
        <f t="shared" si="81"/>
        <v>450</v>
      </c>
      <c r="G562" s="70">
        <f t="shared" si="81"/>
        <v>450</v>
      </c>
      <c r="H562" s="70"/>
      <c r="I562" s="70">
        <f t="shared" si="81"/>
        <v>450</v>
      </c>
      <c r="J562" s="70">
        <f>J563</f>
        <v>150</v>
      </c>
      <c r="K562" s="70"/>
      <c r="L562" s="70">
        <f>L563</f>
        <v>150</v>
      </c>
    </row>
    <row r="563" spans="1:12" ht="26.25" x14ac:dyDescent="0.25">
      <c r="A563" s="6"/>
      <c r="B563" s="6" t="s">
        <v>281</v>
      </c>
      <c r="C563" s="3" t="s">
        <v>282</v>
      </c>
      <c r="D563" s="70">
        <v>450</v>
      </c>
      <c r="E563" s="70"/>
      <c r="F563" s="70">
        <f>300+150</f>
        <v>450</v>
      </c>
      <c r="G563" s="70">
        <v>450</v>
      </c>
      <c r="H563" s="70"/>
      <c r="I563" s="70">
        <f>300+150</f>
        <v>450</v>
      </c>
      <c r="J563" s="70">
        <v>150</v>
      </c>
      <c r="K563" s="70"/>
      <c r="L563" s="70">
        <v>150</v>
      </c>
    </row>
    <row r="564" spans="1:12" x14ac:dyDescent="0.25">
      <c r="A564" s="6" t="s">
        <v>428</v>
      </c>
      <c r="B564" s="6"/>
      <c r="C564" s="3" t="s">
        <v>429</v>
      </c>
      <c r="D564" s="70">
        <f>D565</f>
        <v>310</v>
      </c>
      <c r="E564" s="70"/>
      <c r="F564" s="70">
        <f>F565</f>
        <v>310</v>
      </c>
      <c r="G564" s="70">
        <f>G565</f>
        <v>0</v>
      </c>
      <c r="H564" s="70"/>
      <c r="I564" s="70">
        <f>I565</f>
        <v>0</v>
      </c>
      <c r="J564" s="70">
        <f>J565</f>
        <v>0</v>
      </c>
      <c r="K564" s="70"/>
      <c r="L564" s="70">
        <f>L565</f>
        <v>0</v>
      </c>
    </row>
    <row r="565" spans="1:12" x14ac:dyDescent="0.25">
      <c r="A565" s="6"/>
      <c r="B565" s="6" t="s">
        <v>406</v>
      </c>
      <c r="C565" s="3" t="s">
        <v>407</v>
      </c>
      <c r="D565" s="70">
        <v>310</v>
      </c>
      <c r="E565" s="70"/>
      <c r="F565" s="70">
        <v>310</v>
      </c>
      <c r="G565" s="70">
        <v>0</v>
      </c>
      <c r="H565" s="70"/>
      <c r="I565" s="70">
        <v>0</v>
      </c>
      <c r="J565" s="70">
        <v>0</v>
      </c>
      <c r="K565" s="70"/>
      <c r="L565" s="70">
        <v>0</v>
      </c>
    </row>
    <row r="566" spans="1:12" ht="38.25" x14ac:dyDescent="0.25">
      <c r="A566" s="6" t="s">
        <v>840</v>
      </c>
      <c r="B566" s="16"/>
      <c r="C566" s="1" t="s">
        <v>841</v>
      </c>
      <c r="D566" s="70">
        <f>D567</f>
        <v>229.9</v>
      </c>
      <c r="E566" s="70"/>
      <c r="F566" s="70">
        <f>F567</f>
        <v>229.9</v>
      </c>
      <c r="G566" s="70">
        <f t="shared" ref="G566:L566" si="82">G567</f>
        <v>0</v>
      </c>
      <c r="H566" s="70"/>
      <c r="I566" s="70">
        <f t="shared" si="82"/>
        <v>0</v>
      </c>
      <c r="J566" s="70">
        <f t="shared" si="82"/>
        <v>0</v>
      </c>
      <c r="K566" s="70"/>
      <c r="L566" s="70">
        <f t="shared" si="82"/>
        <v>0</v>
      </c>
    </row>
    <row r="567" spans="1:12" ht="25.5" x14ac:dyDescent="0.25">
      <c r="A567" s="17"/>
      <c r="B567" s="16" t="s">
        <v>281</v>
      </c>
      <c r="C567" s="1" t="s">
        <v>282</v>
      </c>
      <c r="D567" s="70">
        <v>229.9</v>
      </c>
      <c r="E567" s="70"/>
      <c r="F567" s="70">
        <v>229.9</v>
      </c>
      <c r="G567" s="70"/>
      <c r="H567" s="70"/>
      <c r="I567" s="70"/>
      <c r="J567" s="70"/>
      <c r="K567" s="70"/>
      <c r="L567" s="70"/>
    </row>
    <row r="568" spans="1:12" ht="25.5" x14ac:dyDescent="0.25">
      <c r="A568" s="22" t="s">
        <v>524</v>
      </c>
      <c r="B568" s="16"/>
      <c r="C568" s="1" t="s">
        <v>525</v>
      </c>
      <c r="D568" s="70">
        <f>D569</f>
        <v>2466.9</v>
      </c>
      <c r="E568" s="70"/>
      <c r="F568" s="70">
        <f>F569</f>
        <v>2466.9</v>
      </c>
      <c r="G568" s="70">
        <v>0</v>
      </c>
      <c r="H568" s="70"/>
      <c r="I568" s="70">
        <v>0</v>
      </c>
      <c r="J568" s="70">
        <v>0</v>
      </c>
      <c r="K568" s="70"/>
      <c r="L568" s="70">
        <v>0</v>
      </c>
    </row>
    <row r="569" spans="1:12" x14ac:dyDescent="0.25">
      <c r="A569" s="17"/>
      <c r="B569" s="16" t="s">
        <v>406</v>
      </c>
      <c r="C569" s="3" t="s">
        <v>407</v>
      </c>
      <c r="D569" s="70">
        <v>2466.9</v>
      </c>
      <c r="E569" s="70"/>
      <c r="F569" s="70">
        <f>SUM(D569:E569)</f>
        <v>2466.9</v>
      </c>
      <c r="G569" s="70">
        <v>0</v>
      </c>
      <c r="H569" s="70"/>
      <c r="I569" s="70">
        <v>0</v>
      </c>
      <c r="J569" s="70">
        <v>0</v>
      </c>
      <c r="K569" s="70"/>
      <c r="L569" s="70">
        <v>0</v>
      </c>
    </row>
    <row r="570" spans="1:12" ht="39" x14ac:dyDescent="0.25">
      <c r="A570" s="22" t="s">
        <v>873</v>
      </c>
      <c r="B570" s="16"/>
      <c r="C570" s="53" t="s">
        <v>872</v>
      </c>
      <c r="D570" s="70">
        <f>D571</f>
        <v>2631.2</v>
      </c>
      <c r="E570" s="70"/>
      <c r="F570" s="70">
        <f>F571</f>
        <v>2631.2</v>
      </c>
      <c r="G570" s="70">
        <v>0</v>
      </c>
      <c r="H570" s="70"/>
      <c r="I570" s="70">
        <v>0</v>
      </c>
      <c r="J570" s="70">
        <v>0</v>
      </c>
      <c r="K570" s="70"/>
      <c r="L570" s="70">
        <v>0</v>
      </c>
    </row>
    <row r="571" spans="1:12" ht="26.25" x14ac:dyDescent="0.25">
      <c r="A571" s="17"/>
      <c r="B571" s="6" t="s">
        <v>299</v>
      </c>
      <c r="C571" s="3" t="s">
        <v>300</v>
      </c>
      <c r="D571" s="70">
        <v>2631.2</v>
      </c>
      <c r="E571" s="70"/>
      <c r="F571" s="70">
        <v>2631.2</v>
      </c>
      <c r="G571" s="70">
        <v>0</v>
      </c>
      <c r="H571" s="70"/>
      <c r="I571" s="70">
        <v>0</v>
      </c>
      <c r="J571" s="70">
        <v>0</v>
      </c>
      <c r="K571" s="70"/>
      <c r="L571" s="70">
        <v>0</v>
      </c>
    </row>
    <row r="572" spans="1:12" x14ac:dyDescent="0.25">
      <c r="A572" s="22" t="s">
        <v>912</v>
      </c>
      <c r="B572" s="16"/>
      <c r="C572" s="53" t="s">
        <v>911</v>
      </c>
      <c r="D572" s="70">
        <f>D573</f>
        <v>2146.27</v>
      </c>
      <c r="E572" s="70">
        <f>E573</f>
        <v>1277.6300000000001</v>
      </c>
      <c r="F572" s="70">
        <f>F573</f>
        <v>3423.9</v>
      </c>
      <c r="G572" s="70">
        <v>0</v>
      </c>
      <c r="H572" s="70"/>
      <c r="I572" s="70">
        <v>0</v>
      </c>
      <c r="J572" s="70">
        <v>0</v>
      </c>
      <c r="K572" s="70"/>
      <c r="L572" s="70">
        <v>0</v>
      </c>
    </row>
    <row r="573" spans="1:12" ht="25.5" x14ac:dyDescent="0.25">
      <c r="A573" s="17"/>
      <c r="B573" s="6" t="s">
        <v>471</v>
      </c>
      <c r="C573" s="1" t="s">
        <v>472</v>
      </c>
      <c r="D573" s="70">
        <v>2146.27</v>
      </c>
      <c r="E573" s="70">
        <v>1277.6300000000001</v>
      </c>
      <c r="F573" s="70">
        <f>SUM(D573:E573)</f>
        <v>3423.9</v>
      </c>
      <c r="G573" s="70">
        <v>0</v>
      </c>
      <c r="H573" s="70"/>
      <c r="I573" s="70">
        <v>0</v>
      </c>
      <c r="J573" s="70">
        <v>0</v>
      </c>
      <c r="K573" s="70"/>
      <c r="L573" s="70">
        <v>0</v>
      </c>
    </row>
    <row r="574" spans="1:12" ht="25.5" x14ac:dyDescent="0.25">
      <c r="A574" s="22" t="s">
        <v>936</v>
      </c>
      <c r="B574" s="16"/>
      <c r="C574" s="21" t="s">
        <v>937</v>
      </c>
      <c r="D574" s="70">
        <f>D575</f>
        <v>0</v>
      </c>
      <c r="E574" s="70">
        <f>E575</f>
        <v>86.5</v>
      </c>
      <c r="F574" s="70">
        <f>F575</f>
        <v>86.5</v>
      </c>
      <c r="G574" s="70">
        <v>0</v>
      </c>
      <c r="H574" s="70"/>
      <c r="I574" s="70">
        <v>0</v>
      </c>
      <c r="J574" s="70">
        <v>0</v>
      </c>
      <c r="K574" s="70"/>
      <c r="L574" s="70">
        <v>0</v>
      </c>
    </row>
    <row r="575" spans="1:12" ht="25.5" x14ac:dyDescent="0.25">
      <c r="A575" s="17"/>
      <c r="B575" s="6" t="s">
        <v>471</v>
      </c>
      <c r="C575" s="1" t="s">
        <v>472</v>
      </c>
      <c r="D575" s="70">
        <v>0</v>
      </c>
      <c r="E575" s="70">
        <v>86.5</v>
      </c>
      <c r="F575" s="70">
        <v>86.5</v>
      </c>
      <c r="G575" s="70">
        <v>0</v>
      </c>
      <c r="H575" s="70"/>
      <c r="I575" s="70">
        <v>0</v>
      </c>
      <c r="J575" s="70">
        <v>0</v>
      </c>
      <c r="K575" s="70"/>
      <c r="L575" s="70">
        <v>0</v>
      </c>
    </row>
    <row r="576" spans="1:12" x14ac:dyDescent="0.25">
      <c r="A576" s="64"/>
      <c r="B576" s="64"/>
      <c r="C576" s="60" t="s">
        <v>430</v>
      </c>
      <c r="D576" s="86">
        <f t="shared" ref="D576:L576" si="83">D10+D521</f>
        <v>1036244.4448000001</v>
      </c>
      <c r="E576" s="86">
        <f t="shared" si="83"/>
        <v>1256.1999999999994</v>
      </c>
      <c r="F576" s="86">
        <f t="shared" si="83"/>
        <v>1037500.6447999999</v>
      </c>
      <c r="G576" s="86">
        <f t="shared" si="83"/>
        <v>937817.43850999989</v>
      </c>
      <c r="H576" s="86">
        <f t="shared" si="83"/>
        <v>116.3</v>
      </c>
      <c r="I576" s="86">
        <f t="shared" si="83"/>
        <v>937933.73850999994</v>
      </c>
      <c r="J576" s="86">
        <f t="shared" si="83"/>
        <v>860508.71525999985</v>
      </c>
      <c r="K576" s="86">
        <f t="shared" si="83"/>
        <v>116.3</v>
      </c>
      <c r="L576" s="86">
        <f t="shared" si="83"/>
        <v>860625.0152599999</v>
      </c>
    </row>
    <row r="577" spans="3:12" x14ac:dyDescent="0.25">
      <c r="C577" s="53"/>
      <c r="F577" s="276"/>
      <c r="G577" s="276"/>
      <c r="H577" s="276"/>
      <c r="I577" s="276"/>
      <c r="J577" s="276"/>
      <c r="K577" s="276"/>
      <c r="L577" s="276"/>
    </row>
    <row r="578" spans="3:12" x14ac:dyDescent="0.25">
      <c r="D578" s="273"/>
      <c r="F578" s="276"/>
      <c r="G578" s="273"/>
      <c r="H578" s="276"/>
      <c r="I578" s="276"/>
      <c r="J578" s="276"/>
      <c r="K578" s="276"/>
      <c r="L578" s="276"/>
    </row>
    <row r="579" spans="3:12" x14ac:dyDescent="0.25">
      <c r="E579" s="273"/>
    </row>
  </sheetData>
  <autoFilter ref="A9:J579"/>
  <mergeCells count="6">
    <mergeCell ref="A7:J7"/>
    <mergeCell ref="F1:L1"/>
    <mergeCell ref="F2:L2"/>
    <mergeCell ref="F3:L3"/>
    <mergeCell ref="F4:L4"/>
    <mergeCell ref="F5:L5"/>
  </mergeCells>
  <pageMargins left="1.1023622047244095" right="0.31496062992125984" top="0.39370078740157483" bottom="0.39370078740157483" header="0" footer="0"/>
  <pageSetup paperSize="9" scale="61" orientation="portrait" r:id="rId1"/>
  <rowBreaks count="1" manualBreakCount="1">
    <brk id="543" max="11" man="1"/>
  </rowBreaks>
  <colBreaks count="1" manualBreakCount="1">
    <brk id="12" max="5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1"/>
  <sheetViews>
    <sheetView view="pageBreakPreview" zoomScale="85" zoomScaleNormal="63" zoomScaleSheetLayoutView="85" workbookViewId="0">
      <selection activeCell="K12" sqref="K12"/>
    </sheetView>
  </sheetViews>
  <sheetFormatPr defaultColWidth="9.140625" defaultRowHeight="15" x14ac:dyDescent="0.25"/>
  <cols>
    <col min="1" max="2" width="9.140625" style="25"/>
    <col min="3" max="3" width="14.42578125" style="25" customWidth="1"/>
    <col min="4" max="4" width="7.5703125" style="25" customWidth="1"/>
    <col min="5" max="5" width="75.5703125" style="25" customWidth="1"/>
    <col min="6" max="7" width="15.42578125" style="25" hidden="1" customWidth="1"/>
    <col min="8" max="8" width="15.42578125" style="25" customWidth="1"/>
    <col min="9" max="10" width="15.42578125" style="25" hidden="1" customWidth="1"/>
    <col min="11" max="11" width="15.42578125" style="25" customWidth="1"/>
    <col min="12" max="13" width="15.42578125" style="25" hidden="1" customWidth="1"/>
    <col min="14" max="14" width="15.42578125" style="25" customWidth="1"/>
    <col min="15" max="16384" width="9.140625" style="25"/>
  </cols>
  <sheetData>
    <row r="1" spans="1:14" ht="15.75" x14ac:dyDescent="0.25">
      <c r="C1" s="24"/>
      <c r="D1" s="24"/>
      <c r="E1" s="24"/>
      <c r="G1" s="190"/>
      <c r="H1" s="321" t="s">
        <v>773</v>
      </c>
      <c r="I1" s="321"/>
      <c r="J1" s="321"/>
      <c r="K1" s="321"/>
      <c r="L1" s="321"/>
      <c r="M1" s="321"/>
      <c r="N1" s="321"/>
    </row>
    <row r="2" spans="1:14" ht="15.75" x14ac:dyDescent="0.25">
      <c r="C2" s="24"/>
      <c r="D2" s="24"/>
      <c r="E2" s="104"/>
      <c r="G2" s="285"/>
      <c r="H2" s="322" t="s">
        <v>475</v>
      </c>
      <c r="I2" s="322"/>
      <c r="J2" s="322"/>
      <c r="K2" s="322"/>
      <c r="L2" s="322"/>
      <c r="M2" s="322"/>
      <c r="N2" s="322"/>
    </row>
    <row r="3" spans="1:14" ht="15.75" customHeight="1" x14ac:dyDescent="0.25">
      <c r="C3" s="26"/>
      <c r="D3" s="26"/>
      <c r="E3" s="237"/>
      <c r="G3" s="237"/>
      <c r="H3" s="323" t="s">
        <v>731</v>
      </c>
      <c r="I3" s="323"/>
      <c r="J3" s="323"/>
      <c r="K3" s="323"/>
      <c r="L3" s="323"/>
      <c r="M3" s="323"/>
      <c r="N3" s="323"/>
    </row>
    <row r="4" spans="1:14" ht="15.75" customHeight="1" x14ac:dyDescent="0.25">
      <c r="C4" s="24"/>
      <c r="D4" s="24"/>
      <c r="E4" s="24"/>
      <c r="G4" s="286"/>
      <c r="H4" s="324" t="s">
        <v>768</v>
      </c>
      <c r="I4" s="324"/>
      <c r="J4" s="324"/>
      <c r="K4" s="324"/>
      <c r="L4" s="324"/>
      <c r="M4" s="324"/>
      <c r="N4" s="324"/>
    </row>
    <row r="5" spans="1:14" ht="15.75" x14ac:dyDescent="0.25">
      <c r="C5" s="24"/>
      <c r="D5" s="24"/>
      <c r="E5" s="24"/>
      <c r="F5" s="69"/>
      <c r="G5" s="69"/>
      <c r="H5" s="321" t="s">
        <v>954</v>
      </c>
      <c r="I5" s="321"/>
      <c r="J5" s="321"/>
      <c r="K5" s="321"/>
      <c r="L5" s="321"/>
      <c r="M5" s="321"/>
      <c r="N5" s="321"/>
    </row>
    <row r="6" spans="1:14" ht="15.75" x14ac:dyDescent="0.25">
      <c r="C6" s="24"/>
      <c r="D6" s="24"/>
      <c r="E6" s="24"/>
      <c r="F6" s="69"/>
      <c r="G6" s="69"/>
      <c r="H6" s="317"/>
      <c r="I6" s="317"/>
      <c r="J6" s="317"/>
      <c r="K6" s="69"/>
    </row>
    <row r="7" spans="1:14" x14ac:dyDescent="0.25">
      <c r="A7" s="319" t="s">
        <v>666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245"/>
      <c r="N7" s="245"/>
    </row>
    <row r="8" spans="1:14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4" t="s">
        <v>718</v>
      </c>
      <c r="M8" s="244"/>
      <c r="N8" s="244" t="s">
        <v>718</v>
      </c>
    </row>
    <row r="9" spans="1:14" ht="38.25" x14ac:dyDescent="0.25">
      <c r="A9" s="105" t="s">
        <v>563</v>
      </c>
      <c r="B9" s="105" t="s">
        <v>572</v>
      </c>
      <c r="C9" s="101" t="s">
        <v>0</v>
      </c>
      <c r="D9" s="101" t="s">
        <v>1</v>
      </c>
      <c r="E9" s="101" t="s">
        <v>2</v>
      </c>
      <c r="F9" s="88" t="s">
        <v>835</v>
      </c>
      <c r="G9" s="88" t="s">
        <v>488</v>
      </c>
      <c r="H9" s="88" t="s">
        <v>955</v>
      </c>
      <c r="I9" s="88" t="s">
        <v>836</v>
      </c>
      <c r="J9" s="88" t="s">
        <v>488</v>
      </c>
      <c r="K9" s="88" t="s">
        <v>4</v>
      </c>
      <c r="L9" s="88" t="s">
        <v>837</v>
      </c>
      <c r="M9" s="88" t="s">
        <v>488</v>
      </c>
      <c r="N9" s="88" t="s">
        <v>497</v>
      </c>
    </row>
    <row r="10" spans="1:14" x14ac:dyDescent="0.25">
      <c r="A10" s="106">
        <v>601</v>
      </c>
      <c r="B10" s="106"/>
      <c r="C10" s="106"/>
      <c r="D10" s="106"/>
      <c r="E10" s="107" t="s">
        <v>564</v>
      </c>
      <c r="F10" s="83">
        <f t="shared" ref="F10:N10" si="0">F11+F118+F127+F176+F290+F418+F439+F450+F410</f>
        <v>409964.07877000002</v>
      </c>
      <c r="G10" s="83">
        <f t="shared" si="0"/>
        <v>2576.3300000000004</v>
      </c>
      <c r="H10" s="83">
        <f t="shared" si="0"/>
        <v>412540.40876999998</v>
      </c>
      <c r="I10" s="83">
        <f t="shared" si="0"/>
        <v>324289.86722000001</v>
      </c>
      <c r="J10" s="83">
        <f t="shared" si="0"/>
        <v>0</v>
      </c>
      <c r="K10" s="83">
        <f t="shared" si="0"/>
        <v>324289.86722000007</v>
      </c>
      <c r="L10" s="83">
        <f t="shared" si="0"/>
        <v>283341.17397</v>
      </c>
      <c r="M10" s="83">
        <f t="shared" si="0"/>
        <v>0</v>
      </c>
      <c r="N10" s="83">
        <f t="shared" si="0"/>
        <v>283341.17397</v>
      </c>
    </row>
    <row r="11" spans="1:14" x14ac:dyDescent="0.25">
      <c r="A11" s="108"/>
      <c r="B11" s="17" t="s">
        <v>565</v>
      </c>
      <c r="C11" s="109"/>
      <c r="D11" s="108"/>
      <c r="E11" s="102" t="s">
        <v>573</v>
      </c>
      <c r="F11" s="110">
        <f>F12+F19+F57+F69+F64</f>
        <v>94247.277549999999</v>
      </c>
      <c r="G11" s="110">
        <f>G12+G19+G57+G69+G64</f>
        <v>1061.2</v>
      </c>
      <c r="H11" s="110">
        <f>H12+H19+H57+H69+H64</f>
        <v>95308.477549999981</v>
      </c>
      <c r="I11" s="110">
        <f t="shared" ref="I11:N11" si="1">I12+I19+I57+I69</f>
        <v>88741.071729999996</v>
      </c>
      <c r="J11" s="110">
        <f t="shared" si="1"/>
        <v>0</v>
      </c>
      <c r="K11" s="110">
        <f t="shared" si="1"/>
        <v>88741.071729999996</v>
      </c>
      <c r="L11" s="110">
        <f t="shared" si="1"/>
        <v>85122.302179999999</v>
      </c>
      <c r="M11" s="110">
        <f t="shared" si="1"/>
        <v>0</v>
      </c>
      <c r="N11" s="110">
        <f t="shared" si="1"/>
        <v>85122.302179999999</v>
      </c>
    </row>
    <row r="12" spans="1:14" ht="25.5" x14ac:dyDescent="0.25">
      <c r="A12" s="108"/>
      <c r="B12" s="17" t="s">
        <v>566</v>
      </c>
      <c r="C12" s="109"/>
      <c r="D12" s="108"/>
      <c r="E12" s="102" t="s">
        <v>567</v>
      </c>
      <c r="F12" s="110">
        <f t="shared" ref="F12:N17" si="2">F13</f>
        <v>2328.4</v>
      </c>
      <c r="G12" s="110">
        <f t="shared" si="2"/>
        <v>192.5</v>
      </c>
      <c r="H12" s="110">
        <f t="shared" si="2"/>
        <v>2520.9</v>
      </c>
      <c r="I12" s="110">
        <f t="shared" si="2"/>
        <v>2415.6</v>
      </c>
      <c r="J12" s="110"/>
      <c r="K12" s="110">
        <f t="shared" si="2"/>
        <v>2415.6</v>
      </c>
      <c r="L12" s="110">
        <f t="shared" si="2"/>
        <v>2415.6</v>
      </c>
      <c r="M12" s="110"/>
      <c r="N12" s="110">
        <f t="shared" si="2"/>
        <v>2415.6</v>
      </c>
    </row>
    <row r="13" spans="1:14" x14ac:dyDescent="0.25">
      <c r="A13" s="108"/>
      <c r="B13" s="17"/>
      <c r="C13" s="103" t="s">
        <v>5</v>
      </c>
      <c r="D13" s="27"/>
      <c r="E13" s="28" t="s">
        <v>6</v>
      </c>
      <c r="F13" s="110">
        <f t="shared" si="2"/>
        <v>2328.4</v>
      </c>
      <c r="G13" s="110">
        <f t="shared" si="2"/>
        <v>192.5</v>
      </c>
      <c r="H13" s="110">
        <f t="shared" si="2"/>
        <v>2520.9</v>
      </c>
      <c r="I13" s="110">
        <f t="shared" si="2"/>
        <v>2415.6</v>
      </c>
      <c r="J13" s="110"/>
      <c r="K13" s="110">
        <f t="shared" si="2"/>
        <v>2415.6</v>
      </c>
      <c r="L13" s="110">
        <f t="shared" si="2"/>
        <v>2415.6</v>
      </c>
      <c r="M13" s="110"/>
      <c r="N13" s="110">
        <f t="shared" si="2"/>
        <v>2415.6</v>
      </c>
    </row>
    <row r="14" spans="1:14" ht="25.5" x14ac:dyDescent="0.25">
      <c r="A14" s="111"/>
      <c r="B14" s="112"/>
      <c r="C14" s="113" t="s">
        <v>7</v>
      </c>
      <c r="D14" s="112"/>
      <c r="E14" s="114" t="s">
        <v>8</v>
      </c>
      <c r="F14" s="115">
        <f t="shared" si="2"/>
        <v>2328.4</v>
      </c>
      <c r="G14" s="115">
        <f t="shared" si="2"/>
        <v>192.5</v>
      </c>
      <c r="H14" s="115">
        <f t="shared" si="2"/>
        <v>2520.9</v>
      </c>
      <c r="I14" s="115">
        <f t="shared" si="2"/>
        <v>2415.6</v>
      </c>
      <c r="J14" s="115"/>
      <c r="K14" s="115">
        <f t="shared" si="2"/>
        <v>2415.6</v>
      </c>
      <c r="L14" s="115">
        <f t="shared" si="2"/>
        <v>2415.6</v>
      </c>
      <c r="M14" s="115"/>
      <c r="N14" s="115">
        <f t="shared" si="2"/>
        <v>2415.6</v>
      </c>
    </row>
    <row r="15" spans="1:14" ht="26.25" x14ac:dyDescent="0.25">
      <c r="A15" s="31"/>
      <c r="B15" s="31"/>
      <c r="C15" s="31" t="s">
        <v>20</v>
      </c>
      <c r="D15" s="31"/>
      <c r="E15" s="35" t="s">
        <v>21</v>
      </c>
      <c r="F15" s="75">
        <f t="shared" si="2"/>
        <v>2328.4</v>
      </c>
      <c r="G15" s="75">
        <f t="shared" si="2"/>
        <v>192.5</v>
      </c>
      <c r="H15" s="75">
        <f t="shared" si="2"/>
        <v>2520.9</v>
      </c>
      <c r="I15" s="75">
        <f t="shared" si="2"/>
        <v>2415.6</v>
      </c>
      <c r="J15" s="75"/>
      <c r="K15" s="75">
        <f t="shared" si="2"/>
        <v>2415.6</v>
      </c>
      <c r="L15" s="75">
        <f t="shared" si="2"/>
        <v>2415.6</v>
      </c>
      <c r="M15" s="75"/>
      <c r="N15" s="75">
        <f t="shared" si="2"/>
        <v>2415.6</v>
      </c>
    </row>
    <row r="16" spans="1:14" ht="39" x14ac:dyDescent="0.25">
      <c r="A16" s="33"/>
      <c r="B16" s="33"/>
      <c r="C16" s="33" t="s">
        <v>22</v>
      </c>
      <c r="D16" s="33"/>
      <c r="E16" s="34" t="s">
        <v>23</v>
      </c>
      <c r="F16" s="71">
        <f t="shared" si="2"/>
        <v>2328.4</v>
      </c>
      <c r="G16" s="71">
        <f t="shared" si="2"/>
        <v>192.5</v>
      </c>
      <c r="H16" s="71">
        <f t="shared" si="2"/>
        <v>2520.9</v>
      </c>
      <c r="I16" s="71">
        <f t="shared" si="2"/>
        <v>2415.6</v>
      </c>
      <c r="J16" s="71"/>
      <c r="K16" s="71">
        <f t="shared" si="2"/>
        <v>2415.6</v>
      </c>
      <c r="L16" s="71">
        <f t="shared" si="2"/>
        <v>2415.6</v>
      </c>
      <c r="M16" s="71"/>
      <c r="N16" s="71">
        <f t="shared" si="2"/>
        <v>2415.6</v>
      </c>
    </row>
    <row r="17" spans="1:14" ht="26.25" x14ac:dyDescent="0.25">
      <c r="A17" s="98"/>
      <c r="B17" s="98"/>
      <c r="C17" s="6" t="s">
        <v>24</v>
      </c>
      <c r="D17" s="6"/>
      <c r="E17" s="3" t="s">
        <v>25</v>
      </c>
      <c r="F17" s="70">
        <f t="shared" si="2"/>
        <v>2328.4</v>
      </c>
      <c r="G17" s="70">
        <f>G18</f>
        <v>192.5</v>
      </c>
      <c r="H17" s="70">
        <f t="shared" si="2"/>
        <v>2520.9</v>
      </c>
      <c r="I17" s="70">
        <f t="shared" si="2"/>
        <v>2415.6</v>
      </c>
      <c r="J17" s="70"/>
      <c r="K17" s="70">
        <f t="shared" si="2"/>
        <v>2415.6</v>
      </c>
      <c r="L17" s="70">
        <f t="shared" si="2"/>
        <v>2415.6</v>
      </c>
      <c r="M17" s="70"/>
      <c r="N17" s="70">
        <f t="shared" si="2"/>
        <v>2415.6</v>
      </c>
    </row>
    <row r="18" spans="1:14" ht="39" x14ac:dyDescent="0.25">
      <c r="A18" s="98"/>
      <c r="B18" s="98"/>
      <c r="C18" s="6"/>
      <c r="D18" s="6" t="s">
        <v>399</v>
      </c>
      <c r="E18" s="3" t="s">
        <v>400</v>
      </c>
      <c r="F18" s="70">
        <v>2328.4</v>
      </c>
      <c r="G18" s="70">
        <v>192.5</v>
      </c>
      <c r="H18" s="70">
        <f>2236.5+91.9+192.5</f>
        <v>2520.9</v>
      </c>
      <c r="I18" s="70">
        <v>2415.6</v>
      </c>
      <c r="J18" s="70"/>
      <c r="K18" s="70">
        <f>2317.7+97.9</f>
        <v>2415.6</v>
      </c>
      <c r="L18" s="70">
        <v>2415.6</v>
      </c>
      <c r="M18" s="70"/>
      <c r="N18" s="70">
        <f>2317.7+97.9</f>
        <v>2415.6</v>
      </c>
    </row>
    <row r="19" spans="1:14" s="42" customFormat="1" ht="39" x14ac:dyDescent="0.25">
      <c r="A19" s="116"/>
      <c r="B19" s="17" t="s">
        <v>568</v>
      </c>
      <c r="C19" s="12"/>
      <c r="D19" s="12"/>
      <c r="E19" s="117" t="s">
        <v>574</v>
      </c>
      <c r="F19" s="74">
        <f t="shared" ref="F19:N19" si="3">F20+F50</f>
        <v>48888.299999999996</v>
      </c>
      <c r="G19" s="74">
        <f t="shared" si="3"/>
        <v>0</v>
      </c>
      <c r="H19" s="74">
        <f t="shared" si="3"/>
        <v>48888.299999999996</v>
      </c>
      <c r="I19" s="74">
        <f t="shared" si="3"/>
        <v>49225.8</v>
      </c>
      <c r="J19" s="74"/>
      <c r="K19" s="74">
        <f t="shared" si="3"/>
        <v>49225.8</v>
      </c>
      <c r="L19" s="74">
        <f t="shared" si="3"/>
        <v>48725.8</v>
      </c>
      <c r="M19" s="74"/>
      <c r="N19" s="74">
        <f t="shared" si="3"/>
        <v>48725.8</v>
      </c>
    </row>
    <row r="20" spans="1:14" s="42" customFormat="1" x14ac:dyDescent="0.25">
      <c r="A20" s="116"/>
      <c r="B20" s="17"/>
      <c r="C20" s="103" t="s">
        <v>5</v>
      </c>
      <c r="D20" s="27"/>
      <c r="E20" s="28" t="s">
        <v>6</v>
      </c>
      <c r="F20" s="74">
        <f t="shared" ref="F20:N20" si="4">F21+F45</f>
        <v>48831.199999999997</v>
      </c>
      <c r="G20" s="74">
        <f t="shared" si="4"/>
        <v>0</v>
      </c>
      <c r="H20" s="74">
        <f t="shared" si="4"/>
        <v>48831.199999999997</v>
      </c>
      <c r="I20" s="74">
        <f t="shared" si="4"/>
        <v>49220.9</v>
      </c>
      <c r="J20" s="74"/>
      <c r="K20" s="74">
        <f t="shared" si="4"/>
        <v>49220.9</v>
      </c>
      <c r="L20" s="74">
        <f t="shared" si="4"/>
        <v>48720.9</v>
      </c>
      <c r="M20" s="74"/>
      <c r="N20" s="74">
        <f t="shared" si="4"/>
        <v>48720.9</v>
      </c>
    </row>
    <row r="21" spans="1:14" ht="25.5" x14ac:dyDescent="0.25">
      <c r="A21" s="111"/>
      <c r="B21" s="112"/>
      <c r="C21" s="113" t="s">
        <v>7</v>
      </c>
      <c r="D21" s="112"/>
      <c r="E21" s="114" t="s">
        <v>8</v>
      </c>
      <c r="F21" s="115">
        <f t="shared" ref="F21:N21" si="5">F22+F27</f>
        <v>48760</v>
      </c>
      <c r="G21" s="115">
        <f t="shared" si="5"/>
        <v>0</v>
      </c>
      <c r="H21" s="115">
        <f t="shared" si="5"/>
        <v>48760</v>
      </c>
      <c r="I21" s="115">
        <f t="shared" si="5"/>
        <v>49147.3</v>
      </c>
      <c r="J21" s="115"/>
      <c r="K21" s="115">
        <f t="shared" si="5"/>
        <v>49147.3</v>
      </c>
      <c r="L21" s="115">
        <f t="shared" si="5"/>
        <v>48647.3</v>
      </c>
      <c r="M21" s="115"/>
      <c r="N21" s="115">
        <f t="shared" si="5"/>
        <v>48647.3</v>
      </c>
    </row>
    <row r="22" spans="1:14" ht="26.25" x14ac:dyDescent="0.25">
      <c r="A22" s="31"/>
      <c r="B22" s="31"/>
      <c r="C22" s="31" t="s">
        <v>20</v>
      </c>
      <c r="D22" s="31"/>
      <c r="E22" s="35" t="s">
        <v>21</v>
      </c>
      <c r="F22" s="75">
        <f t="shared" ref="F22:N23" si="6">F23</f>
        <v>46759.199999999997</v>
      </c>
      <c r="G22" s="75">
        <f t="shared" si="6"/>
        <v>0</v>
      </c>
      <c r="H22" s="75">
        <f t="shared" si="6"/>
        <v>46759.199999999997</v>
      </c>
      <c r="I22" s="75">
        <f t="shared" si="6"/>
        <v>47080.9</v>
      </c>
      <c r="J22" s="75"/>
      <c r="K22" s="75">
        <f t="shared" si="6"/>
        <v>47080.9</v>
      </c>
      <c r="L22" s="75">
        <f t="shared" si="6"/>
        <v>46580.9</v>
      </c>
      <c r="M22" s="75"/>
      <c r="N22" s="75">
        <f t="shared" si="6"/>
        <v>46580.9</v>
      </c>
    </row>
    <row r="23" spans="1:14" ht="39" x14ac:dyDescent="0.25">
      <c r="A23" s="33"/>
      <c r="B23" s="33"/>
      <c r="C23" s="33" t="s">
        <v>22</v>
      </c>
      <c r="D23" s="33"/>
      <c r="E23" s="34" t="s">
        <v>23</v>
      </c>
      <c r="F23" s="71">
        <f t="shared" si="6"/>
        <v>46759.199999999997</v>
      </c>
      <c r="G23" s="71">
        <f t="shared" si="6"/>
        <v>0</v>
      </c>
      <c r="H23" s="71">
        <f t="shared" si="6"/>
        <v>46759.199999999997</v>
      </c>
      <c r="I23" s="71">
        <f t="shared" si="6"/>
        <v>47080.9</v>
      </c>
      <c r="J23" s="71"/>
      <c r="K23" s="71">
        <f t="shared" si="6"/>
        <v>47080.9</v>
      </c>
      <c r="L23" s="71">
        <f t="shared" si="6"/>
        <v>46580.9</v>
      </c>
      <c r="M23" s="71"/>
      <c r="N23" s="71">
        <f t="shared" si="6"/>
        <v>46580.9</v>
      </c>
    </row>
    <row r="24" spans="1:14" ht="25.5" x14ac:dyDescent="0.25">
      <c r="A24" s="98"/>
      <c r="B24" s="98"/>
      <c r="C24" s="6" t="s">
        <v>26</v>
      </c>
      <c r="D24" s="6"/>
      <c r="E24" s="1" t="s">
        <v>27</v>
      </c>
      <c r="F24" s="80">
        <f t="shared" ref="F24:N24" si="7">F25+F26</f>
        <v>46759.199999999997</v>
      </c>
      <c r="G24" s="80">
        <f t="shared" si="7"/>
        <v>0</v>
      </c>
      <c r="H24" s="80">
        <f t="shared" si="7"/>
        <v>46759.199999999997</v>
      </c>
      <c r="I24" s="80">
        <f t="shared" si="7"/>
        <v>47080.9</v>
      </c>
      <c r="J24" s="80"/>
      <c r="K24" s="80">
        <f t="shared" si="7"/>
        <v>47080.9</v>
      </c>
      <c r="L24" s="80">
        <f t="shared" si="7"/>
        <v>46580.9</v>
      </c>
      <c r="M24" s="80"/>
      <c r="N24" s="80">
        <f t="shared" si="7"/>
        <v>46580.9</v>
      </c>
    </row>
    <row r="25" spans="1:14" ht="39" x14ac:dyDescent="0.25">
      <c r="A25" s="98"/>
      <c r="B25" s="98"/>
      <c r="C25" s="6"/>
      <c r="D25" s="6" t="s">
        <v>399</v>
      </c>
      <c r="E25" s="3" t="s">
        <v>400</v>
      </c>
      <c r="F25" s="80">
        <v>44303.399999999994</v>
      </c>
      <c r="G25" s="80"/>
      <c r="H25" s="80">
        <f>SUM(F25:G25)</f>
        <v>44303.399999999994</v>
      </c>
      <c r="I25" s="80">
        <v>44643.5</v>
      </c>
      <c r="J25" s="80"/>
      <c r="K25" s="80">
        <f>I25+J25</f>
        <v>44643.5</v>
      </c>
      <c r="L25" s="80">
        <v>44643.5</v>
      </c>
      <c r="M25" s="80"/>
      <c r="N25" s="80">
        <f>L25+M25</f>
        <v>44643.5</v>
      </c>
    </row>
    <row r="26" spans="1:14" x14ac:dyDescent="0.25">
      <c r="A26" s="98"/>
      <c r="B26" s="98"/>
      <c r="C26" s="6"/>
      <c r="D26" s="6" t="s">
        <v>281</v>
      </c>
      <c r="E26" s="3" t="s">
        <v>282</v>
      </c>
      <c r="F26" s="80">
        <v>2455.8000000000002</v>
      </c>
      <c r="G26" s="80"/>
      <c r="H26" s="80">
        <v>2455.8000000000002</v>
      </c>
      <c r="I26" s="80">
        <v>2437.4</v>
      </c>
      <c r="J26" s="80"/>
      <c r="K26" s="80">
        <v>2437.4</v>
      </c>
      <c r="L26" s="80">
        <v>1937.4</v>
      </c>
      <c r="M26" s="80"/>
      <c r="N26" s="80">
        <f>1984.7-47.3</f>
        <v>1937.4</v>
      </c>
    </row>
    <row r="27" spans="1:14" ht="39" x14ac:dyDescent="0.25">
      <c r="A27" s="31"/>
      <c r="B27" s="31"/>
      <c r="C27" s="31" t="s">
        <v>30</v>
      </c>
      <c r="D27" s="31"/>
      <c r="E27" s="32" t="s">
        <v>31</v>
      </c>
      <c r="F27" s="75">
        <f>F28</f>
        <v>2000.8000000000002</v>
      </c>
      <c r="G27" s="75"/>
      <c r="H27" s="75">
        <f>H28</f>
        <v>2000.8000000000002</v>
      </c>
      <c r="I27" s="75">
        <f>I28</f>
        <v>2066.4</v>
      </c>
      <c r="J27" s="75"/>
      <c r="K27" s="75">
        <f>K28</f>
        <v>2066.4</v>
      </c>
      <c r="L27" s="75">
        <f>L28</f>
        <v>2066.4</v>
      </c>
      <c r="M27" s="75"/>
      <c r="N27" s="75">
        <f>N28</f>
        <v>2066.4</v>
      </c>
    </row>
    <row r="28" spans="1:14" ht="26.25" x14ac:dyDescent="0.25">
      <c r="A28" s="33"/>
      <c r="B28" s="33"/>
      <c r="C28" s="33" t="s">
        <v>32</v>
      </c>
      <c r="D28" s="36"/>
      <c r="E28" s="34" t="s">
        <v>33</v>
      </c>
      <c r="F28" s="71">
        <f>F29+F32+F35+F37+F40+F43</f>
        <v>2000.8000000000002</v>
      </c>
      <c r="G28" s="71"/>
      <c r="H28" s="71">
        <f>H29+H32+H35+H37+H40+H43</f>
        <v>2000.8000000000002</v>
      </c>
      <c r="I28" s="71">
        <f>I29+I32+I35+I37+I40+I43</f>
        <v>2066.4</v>
      </c>
      <c r="J28" s="71"/>
      <c r="K28" s="71">
        <f>K29+K32+K35+K37+K40+K43</f>
        <v>2066.4</v>
      </c>
      <c r="L28" s="71">
        <f>L29+L32+L35+L37+L40+L43</f>
        <v>2066.4</v>
      </c>
      <c r="M28" s="71"/>
      <c r="N28" s="71">
        <f>N29+N32+N35+N37+N40+N43</f>
        <v>2066.4</v>
      </c>
    </row>
    <row r="29" spans="1:14" ht="26.25" x14ac:dyDescent="0.25">
      <c r="A29" s="98"/>
      <c r="B29" s="98"/>
      <c r="C29" s="6" t="s">
        <v>788</v>
      </c>
      <c r="D29" s="6"/>
      <c r="E29" s="8" t="s">
        <v>34</v>
      </c>
      <c r="F29" s="79">
        <f>SUM(F30:F31)</f>
        <v>974.2</v>
      </c>
      <c r="G29" s="79"/>
      <c r="H29" s="79">
        <f>SUM(H30:H31)</f>
        <v>974.2</v>
      </c>
      <c r="I29" s="79">
        <f>SUM(I30:I31)</f>
        <v>1006.3000000000001</v>
      </c>
      <c r="J29" s="79"/>
      <c r="K29" s="79">
        <f>SUM(K30:K31)</f>
        <v>1006.3000000000001</v>
      </c>
      <c r="L29" s="79">
        <f>SUM(L30:L31)</f>
        <v>1006.3000000000001</v>
      </c>
      <c r="M29" s="79"/>
      <c r="N29" s="79">
        <f>SUM(N30:N31)</f>
        <v>1006.3000000000001</v>
      </c>
    </row>
    <row r="30" spans="1:14" ht="39" x14ac:dyDescent="0.25">
      <c r="A30" s="98"/>
      <c r="B30" s="98"/>
      <c r="C30" s="6"/>
      <c r="D30" s="6" t="s">
        <v>399</v>
      </c>
      <c r="E30" s="3" t="s">
        <v>400</v>
      </c>
      <c r="F30" s="79">
        <v>904.7</v>
      </c>
      <c r="G30" s="79"/>
      <c r="H30" s="79">
        <v>904.7</v>
      </c>
      <c r="I30" s="79">
        <v>937.6</v>
      </c>
      <c r="J30" s="79"/>
      <c r="K30" s="79">
        <v>937.6</v>
      </c>
      <c r="L30" s="79">
        <v>937.6</v>
      </c>
      <c r="M30" s="79"/>
      <c r="N30" s="79">
        <v>937.6</v>
      </c>
    </row>
    <row r="31" spans="1:14" x14ac:dyDescent="0.25">
      <c r="A31" s="98"/>
      <c r="B31" s="98"/>
      <c r="C31" s="6"/>
      <c r="D31" s="6" t="s">
        <v>281</v>
      </c>
      <c r="E31" s="3" t="s">
        <v>282</v>
      </c>
      <c r="F31" s="79">
        <v>69.5</v>
      </c>
      <c r="G31" s="79"/>
      <c r="H31" s="79">
        <v>69.5</v>
      </c>
      <c r="I31" s="79">
        <v>68.7</v>
      </c>
      <c r="J31" s="79"/>
      <c r="K31" s="79">
        <v>68.7</v>
      </c>
      <c r="L31" s="79">
        <v>68.7</v>
      </c>
      <c r="M31" s="79"/>
      <c r="N31" s="79">
        <v>68.7</v>
      </c>
    </row>
    <row r="32" spans="1:14" ht="26.25" x14ac:dyDescent="0.25">
      <c r="A32" s="98"/>
      <c r="B32" s="98"/>
      <c r="C32" s="6" t="s">
        <v>35</v>
      </c>
      <c r="D32" s="6"/>
      <c r="E32" s="8" t="s">
        <v>36</v>
      </c>
      <c r="F32" s="79">
        <f>SUM(F33:F34)</f>
        <v>583</v>
      </c>
      <c r="G32" s="79"/>
      <c r="H32" s="79">
        <f>SUM(H33:H34)</f>
        <v>583</v>
      </c>
      <c r="I32" s="79">
        <f>SUM(I33:I34)</f>
        <v>602</v>
      </c>
      <c r="J32" s="79"/>
      <c r="K32" s="79">
        <f>SUM(K33:K34)</f>
        <v>602</v>
      </c>
      <c r="L32" s="79">
        <f>SUM(L33:L34)</f>
        <v>602</v>
      </c>
      <c r="M32" s="79"/>
      <c r="N32" s="79">
        <f>SUM(N33:N34)</f>
        <v>602</v>
      </c>
    </row>
    <row r="33" spans="1:14" ht="39" x14ac:dyDescent="0.25">
      <c r="A33" s="98"/>
      <c r="B33" s="98"/>
      <c r="C33" s="6"/>
      <c r="D33" s="6" t="s">
        <v>399</v>
      </c>
      <c r="E33" s="3" t="s">
        <v>400</v>
      </c>
      <c r="F33" s="79">
        <v>517</v>
      </c>
      <c r="G33" s="79"/>
      <c r="H33" s="79">
        <v>517</v>
      </c>
      <c r="I33" s="79">
        <v>535.79999999999995</v>
      </c>
      <c r="J33" s="79"/>
      <c r="K33" s="79">
        <v>535.79999999999995</v>
      </c>
      <c r="L33" s="79">
        <v>535.79999999999995</v>
      </c>
      <c r="M33" s="79"/>
      <c r="N33" s="79">
        <v>535.79999999999995</v>
      </c>
    </row>
    <row r="34" spans="1:14" x14ac:dyDescent="0.25">
      <c r="A34" s="98"/>
      <c r="B34" s="98"/>
      <c r="C34" s="6"/>
      <c r="D34" s="6" t="s">
        <v>281</v>
      </c>
      <c r="E34" s="3" t="s">
        <v>282</v>
      </c>
      <c r="F34" s="79">
        <v>66</v>
      </c>
      <c r="G34" s="79"/>
      <c r="H34" s="79">
        <v>66</v>
      </c>
      <c r="I34" s="79">
        <v>66.2</v>
      </c>
      <c r="J34" s="79"/>
      <c r="K34" s="79">
        <v>66.2</v>
      </c>
      <c r="L34" s="79">
        <v>66.2</v>
      </c>
      <c r="M34" s="79"/>
      <c r="N34" s="79">
        <v>66.2</v>
      </c>
    </row>
    <row r="35" spans="1:14" x14ac:dyDescent="0.25">
      <c r="A35" s="98"/>
      <c r="B35" s="98"/>
      <c r="C35" s="6" t="s">
        <v>37</v>
      </c>
      <c r="D35" s="6"/>
      <c r="E35" s="8" t="s">
        <v>38</v>
      </c>
      <c r="F35" s="79">
        <f>F36</f>
        <v>25.8</v>
      </c>
      <c r="G35" s="79"/>
      <c r="H35" s="79">
        <f>H36</f>
        <v>25.8</v>
      </c>
      <c r="I35" s="79">
        <f>I36</f>
        <v>25.8</v>
      </c>
      <c r="J35" s="79"/>
      <c r="K35" s="79">
        <f>K36</f>
        <v>25.8</v>
      </c>
      <c r="L35" s="79">
        <f>L36</f>
        <v>25.8</v>
      </c>
      <c r="M35" s="79"/>
      <c r="N35" s="79">
        <f>N36</f>
        <v>25.8</v>
      </c>
    </row>
    <row r="36" spans="1:14" x14ac:dyDescent="0.25">
      <c r="A36" s="98"/>
      <c r="B36" s="98"/>
      <c r="C36" s="6"/>
      <c r="D36" s="6" t="s">
        <v>281</v>
      </c>
      <c r="E36" s="3" t="s">
        <v>282</v>
      </c>
      <c r="F36" s="79">
        <v>25.8</v>
      </c>
      <c r="G36" s="79"/>
      <c r="H36" s="79">
        <v>25.8</v>
      </c>
      <c r="I36" s="79">
        <v>25.8</v>
      </c>
      <c r="J36" s="79"/>
      <c r="K36" s="79">
        <v>25.8</v>
      </c>
      <c r="L36" s="79">
        <v>25.8</v>
      </c>
      <c r="M36" s="79"/>
      <c r="N36" s="79">
        <v>25.8</v>
      </c>
    </row>
    <row r="37" spans="1:14" ht="26.25" x14ac:dyDescent="0.25">
      <c r="A37" s="98"/>
      <c r="B37" s="98"/>
      <c r="C37" s="6" t="s">
        <v>39</v>
      </c>
      <c r="D37" s="6"/>
      <c r="E37" s="3" t="s">
        <v>40</v>
      </c>
      <c r="F37" s="79">
        <f>SUM(F38:F39)</f>
        <v>56.800000000000004</v>
      </c>
      <c r="G37" s="79"/>
      <c r="H37" s="79">
        <f>SUM(H38:H39)</f>
        <v>56.800000000000004</v>
      </c>
      <c r="I37" s="79">
        <f>SUM(I38:I39)</f>
        <v>58.800000000000004</v>
      </c>
      <c r="J37" s="79"/>
      <c r="K37" s="79">
        <f>SUM(K38:K39)</f>
        <v>58.800000000000004</v>
      </c>
      <c r="L37" s="79">
        <f>SUM(L38:L39)</f>
        <v>58.800000000000004</v>
      </c>
      <c r="M37" s="79"/>
      <c r="N37" s="79">
        <f>SUM(N38:N39)</f>
        <v>58.800000000000004</v>
      </c>
    </row>
    <row r="38" spans="1:14" ht="39" x14ac:dyDescent="0.25">
      <c r="A38" s="98"/>
      <c r="B38" s="98"/>
      <c r="C38" s="6"/>
      <c r="D38" s="6" t="s">
        <v>399</v>
      </c>
      <c r="E38" s="3" t="s">
        <v>400</v>
      </c>
      <c r="F38" s="79">
        <v>51.7</v>
      </c>
      <c r="G38" s="79"/>
      <c r="H38" s="79">
        <v>51.7</v>
      </c>
      <c r="I38" s="79">
        <v>53.6</v>
      </c>
      <c r="J38" s="79"/>
      <c r="K38" s="79">
        <v>53.6</v>
      </c>
      <c r="L38" s="79">
        <v>53.6</v>
      </c>
      <c r="M38" s="79"/>
      <c r="N38" s="79">
        <v>53.6</v>
      </c>
    </row>
    <row r="39" spans="1:14" x14ac:dyDescent="0.25">
      <c r="A39" s="98"/>
      <c r="B39" s="98"/>
      <c r="C39" s="6"/>
      <c r="D39" s="6" t="s">
        <v>281</v>
      </c>
      <c r="E39" s="3" t="s">
        <v>282</v>
      </c>
      <c r="F39" s="79">
        <v>5.0999999999999996</v>
      </c>
      <c r="G39" s="79"/>
      <c r="H39" s="79">
        <v>5.0999999999999996</v>
      </c>
      <c r="I39" s="79">
        <v>5.2</v>
      </c>
      <c r="J39" s="79"/>
      <c r="K39" s="79">
        <v>5.2</v>
      </c>
      <c r="L39" s="79">
        <v>5.2</v>
      </c>
      <c r="M39" s="79"/>
      <c r="N39" s="79">
        <v>5.2</v>
      </c>
    </row>
    <row r="40" spans="1:14" ht="26.25" x14ac:dyDescent="0.25">
      <c r="A40" s="98"/>
      <c r="B40" s="98"/>
      <c r="C40" s="6" t="s">
        <v>41</v>
      </c>
      <c r="D40" s="6"/>
      <c r="E40" s="3" t="s">
        <v>486</v>
      </c>
      <c r="F40" s="79">
        <f>SUM(F41:F42)</f>
        <v>348.6</v>
      </c>
      <c r="G40" s="79"/>
      <c r="H40" s="79">
        <f>SUM(H41:H42)</f>
        <v>348.6</v>
      </c>
      <c r="I40" s="79">
        <f>SUM(I41:I42)</f>
        <v>360.7</v>
      </c>
      <c r="J40" s="79"/>
      <c r="K40" s="79">
        <f>SUM(K41:K42)</f>
        <v>360.7</v>
      </c>
      <c r="L40" s="79">
        <f>SUM(L41:L42)</f>
        <v>360.7</v>
      </c>
      <c r="M40" s="79"/>
      <c r="N40" s="79">
        <f>SUM(N41:N42)</f>
        <v>360.7</v>
      </c>
    </row>
    <row r="41" spans="1:14" ht="39" x14ac:dyDescent="0.25">
      <c r="A41" s="98"/>
      <c r="B41" s="98"/>
      <c r="C41" s="6"/>
      <c r="D41" s="6" t="s">
        <v>399</v>
      </c>
      <c r="E41" s="3" t="s">
        <v>400</v>
      </c>
      <c r="F41" s="79">
        <v>348.6</v>
      </c>
      <c r="G41" s="79"/>
      <c r="H41" s="79">
        <v>348.6</v>
      </c>
      <c r="I41" s="79">
        <v>360.7</v>
      </c>
      <c r="J41" s="79"/>
      <c r="K41" s="79">
        <v>360.7</v>
      </c>
      <c r="L41" s="79">
        <v>360.7</v>
      </c>
      <c r="M41" s="79"/>
      <c r="N41" s="79">
        <v>360.7</v>
      </c>
    </row>
    <row r="42" spans="1:14" x14ac:dyDescent="0.25">
      <c r="A42" s="98"/>
      <c r="B42" s="98"/>
      <c r="C42" s="6"/>
      <c r="D42" s="6" t="s">
        <v>281</v>
      </c>
      <c r="E42" s="3" t="s">
        <v>282</v>
      </c>
      <c r="F42" s="79">
        <v>0</v>
      </c>
      <c r="G42" s="79"/>
      <c r="H42" s="79">
        <v>0</v>
      </c>
      <c r="I42" s="79">
        <v>0</v>
      </c>
      <c r="J42" s="79"/>
      <c r="K42" s="79">
        <v>0</v>
      </c>
      <c r="L42" s="79">
        <v>0</v>
      </c>
      <c r="M42" s="79"/>
      <c r="N42" s="79">
        <v>0</v>
      </c>
    </row>
    <row r="43" spans="1:14" ht="39" x14ac:dyDescent="0.25">
      <c r="A43" s="98"/>
      <c r="B43" s="98"/>
      <c r="C43" s="6" t="s">
        <v>42</v>
      </c>
      <c r="D43" s="6"/>
      <c r="E43" s="8" t="s">
        <v>43</v>
      </c>
      <c r="F43" s="79">
        <v>12.4</v>
      </c>
      <c r="G43" s="79"/>
      <c r="H43" s="79">
        <v>12.4</v>
      </c>
      <c r="I43" s="79">
        <v>12.8</v>
      </c>
      <c r="J43" s="79"/>
      <c r="K43" s="79">
        <v>12.8</v>
      </c>
      <c r="L43" s="79">
        <v>12.8</v>
      </c>
      <c r="M43" s="79"/>
      <c r="N43" s="79">
        <v>12.8</v>
      </c>
    </row>
    <row r="44" spans="1:14" x14ac:dyDescent="0.25">
      <c r="A44" s="98"/>
      <c r="B44" s="98"/>
      <c r="C44" s="6"/>
      <c r="D44" s="6" t="s">
        <v>281</v>
      </c>
      <c r="E44" s="3" t="s">
        <v>282</v>
      </c>
      <c r="F44" s="79">
        <v>12.4</v>
      </c>
      <c r="G44" s="79"/>
      <c r="H44" s="79">
        <v>12.4</v>
      </c>
      <c r="I44" s="79">
        <v>12.8</v>
      </c>
      <c r="J44" s="79"/>
      <c r="K44" s="79">
        <v>12.8</v>
      </c>
      <c r="L44" s="79">
        <v>12.8</v>
      </c>
      <c r="M44" s="79"/>
      <c r="N44" s="79">
        <v>12.8</v>
      </c>
    </row>
    <row r="45" spans="1:14" ht="25.5" x14ac:dyDescent="0.25">
      <c r="A45" s="111"/>
      <c r="B45" s="112"/>
      <c r="C45" s="113" t="s">
        <v>181</v>
      </c>
      <c r="D45" s="112"/>
      <c r="E45" s="114" t="s">
        <v>182</v>
      </c>
      <c r="F45" s="115">
        <f t="shared" ref="F45:N46" si="8">F46</f>
        <v>71.2</v>
      </c>
      <c r="G45" s="115"/>
      <c r="H45" s="115">
        <f t="shared" si="8"/>
        <v>71.2</v>
      </c>
      <c r="I45" s="115">
        <f t="shared" si="8"/>
        <v>73.599999999999994</v>
      </c>
      <c r="J45" s="115"/>
      <c r="K45" s="115">
        <f t="shared" si="8"/>
        <v>73.599999999999994</v>
      </c>
      <c r="L45" s="115">
        <f t="shared" si="8"/>
        <v>73.599999999999994</v>
      </c>
      <c r="M45" s="115"/>
      <c r="N45" s="115">
        <f t="shared" si="8"/>
        <v>73.599999999999994</v>
      </c>
    </row>
    <row r="46" spans="1:14" ht="39" x14ac:dyDescent="0.25">
      <c r="A46" s="33"/>
      <c r="B46" s="33"/>
      <c r="C46" s="33" t="s">
        <v>193</v>
      </c>
      <c r="D46" s="33"/>
      <c r="E46" s="34" t="s">
        <v>194</v>
      </c>
      <c r="F46" s="71">
        <f t="shared" si="8"/>
        <v>71.2</v>
      </c>
      <c r="G46" s="71"/>
      <c r="H46" s="71">
        <f t="shared" si="8"/>
        <v>71.2</v>
      </c>
      <c r="I46" s="71">
        <f t="shared" si="8"/>
        <v>73.599999999999994</v>
      </c>
      <c r="J46" s="71"/>
      <c r="K46" s="71">
        <f t="shared" si="8"/>
        <v>73.599999999999994</v>
      </c>
      <c r="L46" s="71">
        <f t="shared" si="8"/>
        <v>73.599999999999994</v>
      </c>
      <c r="M46" s="71"/>
      <c r="N46" s="71">
        <f t="shared" si="8"/>
        <v>73.599999999999994</v>
      </c>
    </row>
    <row r="47" spans="1:14" ht="38.25" x14ac:dyDescent="0.25">
      <c r="A47" s="98"/>
      <c r="B47" s="98"/>
      <c r="C47" s="6" t="s">
        <v>199</v>
      </c>
      <c r="D47" s="6"/>
      <c r="E47" s="1" t="s">
        <v>200</v>
      </c>
      <c r="F47" s="70">
        <f>F48+F49</f>
        <v>71.2</v>
      </c>
      <c r="G47" s="70"/>
      <c r="H47" s="70">
        <f>H48+H49</f>
        <v>71.2</v>
      </c>
      <c r="I47" s="70">
        <f>I48+I49</f>
        <v>73.599999999999994</v>
      </c>
      <c r="J47" s="70"/>
      <c r="K47" s="70">
        <f>K48+K49</f>
        <v>73.599999999999994</v>
      </c>
      <c r="L47" s="70">
        <f>L48+L49</f>
        <v>73.599999999999994</v>
      </c>
      <c r="M47" s="70"/>
      <c r="N47" s="70">
        <f>N48+N49</f>
        <v>73.599999999999994</v>
      </c>
    </row>
    <row r="48" spans="1:14" ht="39" x14ac:dyDescent="0.25">
      <c r="A48" s="98"/>
      <c r="B48" s="98"/>
      <c r="C48" s="6"/>
      <c r="D48" s="6" t="s">
        <v>399</v>
      </c>
      <c r="E48" s="3" t="s">
        <v>400</v>
      </c>
      <c r="F48" s="70">
        <v>51.7</v>
      </c>
      <c r="G48" s="70"/>
      <c r="H48" s="70">
        <v>51.7</v>
      </c>
      <c r="I48" s="70">
        <v>53.6</v>
      </c>
      <c r="J48" s="70"/>
      <c r="K48" s="70">
        <v>53.6</v>
      </c>
      <c r="L48" s="70">
        <v>53.6</v>
      </c>
      <c r="M48" s="70"/>
      <c r="N48" s="70">
        <v>53.6</v>
      </c>
    </row>
    <row r="49" spans="1:14" x14ac:dyDescent="0.25">
      <c r="A49" s="98"/>
      <c r="B49" s="98"/>
      <c r="C49" s="6"/>
      <c r="D49" s="6" t="s">
        <v>281</v>
      </c>
      <c r="E49" s="3" t="s">
        <v>282</v>
      </c>
      <c r="F49" s="70">
        <v>19.5</v>
      </c>
      <c r="G49" s="70"/>
      <c r="H49" s="70">
        <v>19.5</v>
      </c>
      <c r="I49" s="70">
        <v>20</v>
      </c>
      <c r="J49" s="70"/>
      <c r="K49" s="70">
        <v>20</v>
      </c>
      <c r="L49" s="70">
        <v>20</v>
      </c>
      <c r="M49" s="70"/>
      <c r="N49" s="70">
        <v>20</v>
      </c>
    </row>
    <row r="50" spans="1:14" s="42" customFormat="1" x14ac:dyDescent="0.25">
      <c r="A50" s="118"/>
      <c r="B50" s="118"/>
      <c r="C50" s="119" t="s">
        <v>575</v>
      </c>
      <c r="D50" s="120"/>
      <c r="E50" s="121" t="s">
        <v>576</v>
      </c>
      <c r="F50" s="122">
        <f>F51</f>
        <v>57.099999999999994</v>
      </c>
      <c r="G50" s="122"/>
      <c r="H50" s="122">
        <f>H51</f>
        <v>57.099999999999994</v>
      </c>
      <c r="I50" s="122">
        <f>I51</f>
        <v>4.9000000000000004</v>
      </c>
      <c r="J50" s="122"/>
      <c r="K50" s="122">
        <f>K51</f>
        <v>4.9000000000000004</v>
      </c>
      <c r="L50" s="122">
        <f>L51</f>
        <v>4.9000000000000004</v>
      </c>
      <c r="M50" s="122"/>
      <c r="N50" s="122">
        <f>N51</f>
        <v>4.9000000000000004</v>
      </c>
    </row>
    <row r="51" spans="1:14" s="42" customFormat="1" ht="25.5" x14ac:dyDescent="0.25">
      <c r="A51" s="123"/>
      <c r="B51" s="123"/>
      <c r="C51" s="124" t="s">
        <v>402</v>
      </c>
      <c r="D51" s="125"/>
      <c r="E51" s="126" t="s">
        <v>577</v>
      </c>
      <c r="F51" s="127">
        <f>F52+F54</f>
        <v>57.099999999999994</v>
      </c>
      <c r="G51" s="127"/>
      <c r="H51" s="127">
        <f t="shared" ref="H51:N51" si="9">H52+H54</f>
        <v>57.099999999999994</v>
      </c>
      <c r="I51" s="127">
        <f t="shared" si="9"/>
        <v>4.9000000000000004</v>
      </c>
      <c r="J51" s="127"/>
      <c r="K51" s="127">
        <f t="shared" si="9"/>
        <v>4.9000000000000004</v>
      </c>
      <c r="L51" s="127">
        <f t="shared" si="9"/>
        <v>4.9000000000000004</v>
      </c>
      <c r="M51" s="127"/>
      <c r="N51" s="127">
        <f t="shared" si="9"/>
        <v>4.9000000000000004</v>
      </c>
    </row>
    <row r="52" spans="1:14" ht="25.5" x14ac:dyDescent="0.25">
      <c r="A52" s="98"/>
      <c r="B52" s="98"/>
      <c r="C52" s="128" t="s">
        <v>420</v>
      </c>
      <c r="D52" s="16"/>
      <c r="E52" s="1" t="s">
        <v>421</v>
      </c>
      <c r="F52" s="79">
        <f>F53</f>
        <v>4.8</v>
      </c>
      <c r="G52" s="79"/>
      <c r="H52" s="79">
        <f>H53</f>
        <v>4.8</v>
      </c>
      <c r="I52" s="79">
        <f>I53</f>
        <v>4.9000000000000004</v>
      </c>
      <c r="J52" s="79"/>
      <c r="K52" s="79">
        <f>K53</f>
        <v>4.9000000000000004</v>
      </c>
      <c r="L52" s="79">
        <f>L53</f>
        <v>4.9000000000000004</v>
      </c>
      <c r="M52" s="79"/>
      <c r="N52" s="79">
        <f>N53</f>
        <v>4.9000000000000004</v>
      </c>
    </row>
    <row r="53" spans="1:14" x14ac:dyDescent="0.25">
      <c r="A53" s="98"/>
      <c r="B53" s="98"/>
      <c r="C53" s="128"/>
      <c r="D53" s="16" t="s">
        <v>281</v>
      </c>
      <c r="E53" s="1" t="s">
        <v>282</v>
      </c>
      <c r="F53" s="79">
        <v>4.8</v>
      </c>
      <c r="G53" s="79"/>
      <c r="H53" s="79">
        <v>4.8</v>
      </c>
      <c r="I53" s="79">
        <v>4.9000000000000004</v>
      </c>
      <c r="J53" s="79"/>
      <c r="K53" s="79">
        <v>4.9000000000000004</v>
      </c>
      <c r="L53" s="79">
        <v>4.9000000000000004</v>
      </c>
      <c r="M53" s="79"/>
      <c r="N53" s="79">
        <v>4.9000000000000004</v>
      </c>
    </row>
    <row r="54" spans="1:14" ht="26.25" x14ac:dyDescent="0.25">
      <c r="A54" s="98"/>
      <c r="B54" s="98"/>
      <c r="C54" s="128" t="s">
        <v>838</v>
      </c>
      <c r="D54" s="6"/>
      <c r="E54" s="8" t="s">
        <v>839</v>
      </c>
      <c r="F54" s="79">
        <f>F55+F56</f>
        <v>52.3</v>
      </c>
      <c r="G54" s="79"/>
      <c r="H54" s="79">
        <f t="shared" ref="H54:N54" si="10">H55+H56</f>
        <v>52.3</v>
      </c>
      <c r="I54" s="79">
        <f t="shared" si="10"/>
        <v>0</v>
      </c>
      <c r="J54" s="79"/>
      <c r="K54" s="79">
        <f t="shared" si="10"/>
        <v>0</v>
      </c>
      <c r="L54" s="79">
        <f t="shared" si="10"/>
        <v>0</v>
      </c>
      <c r="M54" s="79"/>
      <c r="N54" s="79">
        <f t="shared" si="10"/>
        <v>0</v>
      </c>
    </row>
    <row r="55" spans="1:14" ht="39" x14ac:dyDescent="0.25">
      <c r="A55" s="98"/>
      <c r="B55" s="98"/>
      <c r="C55" s="128"/>
      <c r="D55" s="6" t="s">
        <v>399</v>
      </c>
      <c r="E55" s="3" t="s">
        <v>400</v>
      </c>
      <c r="F55" s="79">
        <v>19.7</v>
      </c>
      <c r="G55" s="79"/>
      <c r="H55" s="79">
        <v>19.7</v>
      </c>
      <c r="I55" s="79"/>
      <c r="J55" s="79"/>
      <c r="K55" s="79"/>
      <c r="L55" s="79"/>
      <c r="M55" s="79"/>
      <c r="N55" s="79"/>
    </row>
    <row r="56" spans="1:14" x14ac:dyDescent="0.25">
      <c r="A56" s="98"/>
      <c r="B56" s="98"/>
      <c r="C56" s="128"/>
      <c r="D56" s="6" t="s">
        <v>406</v>
      </c>
      <c r="E56" s="1" t="s">
        <v>407</v>
      </c>
      <c r="F56" s="79">
        <v>32.6</v>
      </c>
      <c r="G56" s="79"/>
      <c r="H56" s="79">
        <v>32.6</v>
      </c>
      <c r="I56" s="79"/>
      <c r="J56" s="79"/>
      <c r="K56" s="79"/>
      <c r="L56" s="79"/>
      <c r="M56" s="79"/>
      <c r="N56" s="79"/>
    </row>
    <row r="57" spans="1:14" x14ac:dyDescent="0.25">
      <c r="A57" s="108"/>
      <c r="B57" s="17" t="s">
        <v>569</v>
      </c>
      <c r="C57" s="109"/>
      <c r="D57" s="17"/>
      <c r="E57" s="129" t="s">
        <v>578</v>
      </c>
      <c r="F57" s="130">
        <f>F58</f>
        <v>2.2000000000000002</v>
      </c>
      <c r="G57" s="130"/>
      <c r="H57" s="130">
        <f t="shared" ref="F57:H62" si="11">H58</f>
        <v>2.2000000000000002</v>
      </c>
      <c r="I57" s="130">
        <f t="shared" ref="I57:N62" si="12">I58</f>
        <v>2.2999999999999998</v>
      </c>
      <c r="J57" s="130"/>
      <c r="K57" s="130">
        <f t="shared" si="12"/>
        <v>2.2999999999999998</v>
      </c>
      <c r="L57" s="130">
        <f t="shared" si="12"/>
        <v>34.9</v>
      </c>
      <c r="M57" s="130"/>
      <c r="N57" s="130">
        <f t="shared" si="12"/>
        <v>34.9</v>
      </c>
    </row>
    <row r="58" spans="1:14" s="131" customFormat="1" ht="12.75" x14ac:dyDescent="0.2">
      <c r="A58" s="108"/>
      <c r="B58" s="17"/>
      <c r="C58" s="108" t="s">
        <v>5</v>
      </c>
      <c r="D58" s="103"/>
      <c r="E58" s="117" t="s">
        <v>6</v>
      </c>
      <c r="F58" s="130">
        <f t="shared" si="11"/>
        <v>2.2000000000000002</v>
      </c>
      <c r="G58" s="130"/>
      <c r="H58" s="130">
        <f t="shared" si="11"/>
        <v>2.2000000000000002</v>
      </c>
      <c r="I58" s="130">
        <f t="shared" si="12"/>
        <v>2.2999999999999998</v>
      </c>
      <c r="J58" s="130"/>
      <c r="K58" s="130">
        <f t="shared" si="12"/>
        <v>2.2999999999999998</v>
      </c>
      <c r="L58" s="130">
        <f t="shared" si="12"/>
        <v>34.9</v>
      </c>
      <c r="M58" s="130"/>
      <c r="N58" s="130">
        <f t="shared" si="12"/>
        <v>34.9</v>
      </c>
    </row>
    <row r="59" spans="1:14" ht="25.5" x14ac:dyDescent="0.25">
      <c r="A59" s="111"/>
      <c r="B59" s="112"/>
      <c r="C59" s="113" t="s">
        <v>7</v>
      </c>
      <c r="D59" s="112"/>
      <c r="E59" s="114" t="s">
        <v>8</v>
      </c>
      <c r="F59" s="115">
        <f t="shared" si="11"/>
        <v>2.2000000000000002</v>
      </c>
      <c r="G59" s="115"/>
      <c r="H59" s="115">
        <f t="shared" si="11"/>
        <v>2.2000000000000002</v>
      </c>
      <c r="I59" s="115">
        <f t="shared" si="12"/>
        <v>2.2999999999999998</v>
      </c>
      <c r="J59" s="115"/>
      <c r="K59" s="115">
        <f t="shared" si="12"/>
        <v>2.2999999999999998</v>
      </c>
      <c r="L59" s="115">
        <f t="shared" si="12"/>
        <v>34.9</v>
      </c>
      <c r="M59" s="115"/>
      <c r="N59" s="115">
        <f t="shared" si="12"/>
        <v>34.9</v>
      </c>
    </row>
    <row r="60" spans="1:14" ht="38.25" x14ac:dyDescent="0.25">
      <c r="A60" s="132"/>
      <c r="B60" s="133"/>
      <c r="C60" s="134" t="s">
        <v>30</v>
      </c>
      <c r="D60" s="133"/>
      <c r="E60" s="135" t="s">
        <v>579</v>
      </c>
      <c r="F60" s="136">
        <f t="shared" si="11"/>
        <v>2.2000000000000002</v>
      </c>
      <c r="G60" s="136"/>
      <c r="H60" s="136">
        <f t="shared" si="11"/>
        <v>2.2000000000000002</v>
      </c>
      <c r="I60" s="136">
        <f t="shared" si="12"/>
        <v>2.2999999999999998</v>
      </c>
      <c r="J60" s="136"/>
      <c r="K60" s="136">
        <f t="shared" si="12"/>
        <v>2.2999999999999998</v>
      </c>
      <c r="L60" s="136">
        <f t="shared" si="12"/>
        <v>34.9</v>
      </c>
      <c r="M60" s="136"/>
      <c r="N60" s="136">
        <f t="shared" si="12"/>
        <v>34.9</v>
      </c>
    </row>
    <row r="61" spans="1:14" ht="25.5" x14ac:dyDescent="0.25">
      <c r="A61" s="137"/>
      <c r="B61" s="120"/>
      <c r="C61" s="119" t="s">
        <v>32</v>
      </c>
      <c r="D61" s="120"/>
      <c r="E61" s="121" t="s">
        <v>580</v>
      </c>
      <c r="F61" s="138">
        <f t="shared" si="11"/>
        <v>2.2000000000000002</v>
      </c>
      <c r="G61" s="138"/>
      <c r="H61" s="138">
        <f t="shared" si="11"/>
        <v>2.2000000000000002</v>
      </c>
      <c r="I61" s="138">
        <f t="shared" si="12"/>
        <v>2.2999999999999998</v>
      </c>
      <c r="J61" s="138"/>
      <c r="K61" s="138">
        <f t="shared" si="12"/>
        <v>2.2999999999999998</v>
      </c>
      <c r="L61" s="138">
        <f t="shared" si="12"/>
        <v>34.9</v>
      </c>
      <c r="M61" s="138"/>
      <c r="N61" s="138">
        <f t="shared" si="12"/>
        <v>34.9</v>
      </c>
    </row>
    <row r="62" spans="1:14" ht="39" x14ac:dyDescent="0.25">
      <c r="A62" s="98"/>
      <c r="B62" s="98"/>
      <c r="C62" s="6" t="s">
        <v>44</v>
      </c>
      <c r="D62" s="6"/>
      <c r="E62" s="3" t="s">
        <v>45</v>
      </c>
      <c r="F62" s="79">
        <f t="shared" si="11"/>
        <v>2.2000000000000002</v>
      </c>
      <c r="G62" s="79"/>
      <c r="H62" s="79">
        <f t="shared" si="11"/>
        <v>2.2000000000000002</v>
      </c>
      <c r="I62" s="79">
        <f t="shared" si="12"/>
        <v>2.2999999999999998</v>
      </c>
      <c r="J62" s="79"/>
      <c r="K62" s="79">
        <f t="shared" si="12"/>
        <v>2.2999999999999998</v>
      </c>
      <c r="L62" s="79">
        <f t="shared" si="12"/>
        <v>34.9</v>
      </c>
      <c r="M62" s="79"/>
      <c r="N62" s="79">
        <f t="shared" si="12"/>
        <v>34.9</v>
      </c>
    </row>
    <row r="63" spans="1:14" x14ac:dyDescent="0.25">
      <c r="A63" s="98"/>
      <c r="B63" s="98"/>
      <c r="C63" s="6"/>
      <c r="D63" s="6" t="s">
        <v>281</v>
      </c>
      <c r="E63" s="3" t="s">
        <v>282</v>
      </c>
      <c r="F63" s="79">
        <v>2.2000000000000002</v>
      </c>
      <c r="G63" s="79"/>
      <c r="H63" s="79">
        <v>2.2000000000000002</v>
      </c>
      <c r="I63" s="79">
        <v>2.2999999999999998</v>
      </c>
      <c r="J63" s="79"/>
      <c r="K63" s="79">
        <v>2.2999999999999998</v>
      </c>
      <c r="L63" s="79">
        <v>34.9</v>
      </c>
      <c r="M63" s="79"/>
      <c r="N63" s="79">
        <v>34.9</v>
      </c>
    </row>
    <row r="64" spans="1:14" s="42" customFormat="1" x14ac:dyDescent="0.25">
      <c r="A64" s="116"/>
      <c r="B64" s="17" t="s">
        <v>875</v>
      </c>
      <c r="C64" s="12"/>
      <c r="D64" s="12"/>
      <c r="E64" s="117" t="s">
        <v>874</v>
      </c>
      <c r="F64" s="130">
        <v>2466.9</v>
      </c>
      <c r="G64" s="130">
        <f>G65</f>
        <v>0</v>
      </c>
      <c r="H64" s="130">
        <f t="shared" ref="H64:N67" si="13">H65</f>
        <v>2466.9</v>
      </c>
      <c r="I64" s="130">
        <f t="shared" si="13"/>
        <v>0</v>
      </c>
      <c r="J64" s="130"/>
      <c r="K64" s="130">
        <f t="shared" si="13"/>
        <v>0</v>
      </c>
      <c r="L64" s="130">
        <f t="shared" si="13"/>
        <v>0</v>
      </c>
      <c r="M64" s="130"/>
      <c r="N64" s="130">
        <f t="shared" si="13"/>
        <v>0</v>
      </c>
    </row>
    <row r="65" spans="1:14" s="42" customFormat="1" x14ac:dyDescent="0.25">
      <c r="A65" s="118"/>
      <c r="B65" s="120"/>
      <c r="C65" s="119" t="s">
        <v>575</v>
      </c>
      <c r="D65" s="120"/>
      <c r="E65" s="121" t="s">
        <v>576</v>
      </c>
      <c r="F65" s="122">
        <v>2466.9</v>
      </c>
      <c r="G65" s="122">
        <f>G66</f>
        <v>0</v>
      </c>
      <c r="H65" s="122">
        <f t="shared" si="13"/>
        <v>2466.9</v>
      </c>
      <c r="I65" s="122">
        <f t="shared" si="13"/>
        <v>0</v>
      </c>
      <c r="J65" s="122"/>
      <c r="K65" s="122">
        <f t="shared" si="13"/>
        <v>0</v>
      </c>
      <c r="L65" s="122">
        <f t="shared" si="13"/>
        <v>0</v>
      </c>
      <c r="M65" s="122"/>
      <c r="N65" s="122">
        <f t="shared" si="13"/>
        <v>0</v>
      </c>
    </row>
    <row r="66" spans="1:14" ht="25.5" x14ac:dyDescent="0.25">
      <c r="A66" s="150"/>
      <c r="B66" s="150"/>
      <c r="C66" s="144" t="s">
        <v>402</v>
      </c>
      <c r="D66" s="145"/>
      <c r="E66" s="163" t="s">
        <v>577</v>
      </c>
      <c r="F66" s="147">
        <v>2466.6</v>
      </c>
      <c r="G66" s="147">
        <f>G67</f>
        <v>0</v>
      </c>
      <c r="H66" s="147">
        <f t="shared" si="13"/>
        <v>2466.9</v>
      </c>
      <c r="I66" s="147">
        <f t="shared" si="13"/>
        <v>0</v>
      </c>
      <c r="J66" s="147"/>
      <c r="K66" s="147">
        <f t="shared" si="13"/>
        <v>0</v>
      </c>
      <c r="L66" s="147">
        <f t="shared" si="13"/>
        <v>0</v>
      </c>
      <c r="M66" s="147"/>
      <c r="N66" s="147">
        <f t="shared" si="13"/>
        <v>0</v>
      </c>
    </row>
    <row r="67" spans="1:14" x14ac:dyDescent="0.25">
      <c r="A67" s="98"/>
      <c r="B67" s="98"/>
      <c r="C67" s="22" t="s">
        <v>524</v>
      </c>
      <c r="D67" s="16"/>
      <c r="E67" s="1" t="s">
        <v>525</v>
      </c>
      <c r="F67" s="79">
        <v>2466.9</v>
      </c>
      <c r="G67" s="79">
        <f>G68</f>
        <v>0</v>
      </c>
      <c r="H67" s="79">
        <f t="shared" si="13"/>
        <v>2466.9</v>
      </c>
      <c r="I67" s="79">
        <f t="shared" si="13"/>
        <v>0</v>
      </c>
      <c r="J67" s="79"/>
      <c r="K67" s="79">
        <f t="shared" si="13"/>
        <v>0</v>
      </c>
      <c r="L67" s="79">
        <f t="shared" si="13"/>
        <v>0</v>
      </c>
      <c r="M67" s="79"/>
      <c r="N67" s="79">
        <f t="shared" si="13"/>
        <v>0</v>
      </c>
    </row>
    <row r="68" spans="1:14" x14ac:dyDescent="0.25">
      <c r="A68" s="98"/>
      <c r="B68" s="98"/>
      <c r="C68" s="17"/>
      <c r="D68" s="16" t="s">
        <v>406</v>
      </c>
      <c r="E68" s="3" t="s">
        <v>407</v>
      </c>
      <c r="F68" s="79">
        <v>2466.9</v>
      </c>
      <c r="G68" s="79"/>
      <c r="H68" s="79">
        <f>SUM(F68:G68)</f>
        <v>2466.9</v>
      </c>
      <c r="I68" s="79">
        <v>0</v>
      </c>
      <c r="J68" s="79"/>
      <c r="K68" s="79">
        <v>0</v>
      </c>
      <c r="L68" s="79">
        <v>0</v>
      </c>
      <c r="M68" s="79"/>
      <c r="N68" s="79">
        <v>0</v>
      </c>
    </row>
    <row r="69" spans="1:14" x14ac:dyDescent="0.25">
      <c r="A69" s="108"/>
      <c r="B69" s="17" t="s">
        <v>570</v>
      </c>
      <c r="C69" s="109"/>
      <c r="D69" s="108"/>
      <c r="E69" s="102" t="s">
        <v>581</v>
      </c>
      <c r="F69" s="130">
        <f t="shared" ref="F69:M69" si="14">F70+F103</f>
        <v>40561.477550000003</v>
      </c>
      <c r="G69" s="130">
        <f t="shared" si="14"/>
        <v>868.7</v>
      </c>
      <c r="H69" s="130">
        <f t="shared" si="14"/>
        <v>41430.17755</v>
      </c>
      <c r="I69" s="130">
        <f t="shared" si="14"/>
        <v>37097.371729999999</v>
      </c>
      <c r="J69" s="130">
        <f t="shared" si="14"/>
        <v>0</v>
      </c>
      <c r="K69" s="130">
        <f t="shared" si="14"/>
        <v>37097.371729999999</v>
      </c>
      <c r="L69" s="130">
        <f t="shared" si="14"/>
        <v>33946.002179999996</v>
      </c>
      <c r="M69" s="130">
        <f t="shared" si="14"/>
        <v>0</v>
      </c>
      <c r="N69" s="130">
        <f>N70+N103</f>
        <v>33946.002179999996</v>
      </c>
    </row>
    <row r="70" spans="1:14" x14ac:dyDescent="0.25">
      <c r="A70" s="108"/>
      <c r="B70" s="17"/>
      <c r="C70" s="109" t="s">
        <v>5</v>
      </c>
      <c r="D70" s="108"/>
      <c r="E70" s="129" t="s">
        <v>6</v>
      </c>
      <c r="F70" s="130">
        <f>F71+F92+F97</f>
        <v>3938.07755</v>
      </c>
      <c r="G70" s="130"/>
      <c r="H70" s="130">
        <f>H71+H92+H97</f>
        <v>3938.07755</v>
      </c>
      <c r="I70" s="130">
        <f>I71+I92+I97</f>
        <v>4183.5717299999997</v>
      </c>
      <c r="J70" s="130"/>
      <c r="K70" s="130">
        <f>K71+K92+K97</f>
        <v>4183.5717299999997</v>
      </c>
      <c r="L70" s="130">
        <f>L71+L92+L97</f>
        <v>1232.20218</v>
      </c>
      <c r="M70" s="130"/>
      <c r="N70" s="130">
        <f>N71+N92+N97</f>
        <v>1232.20218</v>
      </c>
    </row>
    <row r="71" spans="1:14" ht="25.5" x14ac:dyDescent="0.25">
      <c r="A71" s="111"/>
      <c r="B71" s="112"/>
      <c r="C71" s="113" t="s">
        <v>7</v>
      </c>
      <c r="D71" s="112"/>
      <c r="E71" s="114" t="s">
        <v>526</v>
      </c>
      <c r="F71" s="115">
        <f>F72+F81+F86</f>
        <v>2108</v>
      </c>
      <c r="G71" s="115"/>
      <c r="H71" s="115">
        <f>H72+H81+H86</f>
        <v>2108</v>
      </c>
      <c r="I71" s="115">
        <f>I72+I81+I86</f>
        <v>2298.3000000000002</v>
      </c>
      <c r="J71" s="115"/>
      <c r="K71" s="115">
        <f>K72+K81+K86</f>
        <v>2298.3000000000002</v>
      </c>
      <c r="L71" s="115">
        <f>L72+L81+L86</f>
        <v>1214.5</v>
      </c>
      <c r="M71" s="115"/>
      <c r="N71" s="115">
        <f>N72+N81+N86</f>
        <v>1214.5</v>
      </c>
    </row>
    <row r="72" spans="1:14" ht="26.25" x14ac:dyDescent="0.25">
      <c r="A72" s="31"/>
      <c r="B72" s="31"/>
      <c r="C72" s="31" t="s">
        <v>9</v>
      </c>
      <c r="D72" s="31"/>
      <c r="E72" s="32" t="s">
        <v>10</v>
      </c>
      <c r="F72" s="75">
        <f>F73+F76</f>
        <v>908.7</v>
      </c>
      <c r="G72" s="75"/>
      <c r="H72" s="75">
        <f>H73+H76</f>
        <v>908.7</v>
      </c>
      <c r="I72" s="75">
        <f>I73+I76</f>
        <v>1058.5000000000002</v>
      </c>
      <c r="J72" s="75"/>
      <c r="K72" s="75">
        <f>K73+K76</f>
        <v>1058.5000000000002</v>
      </c>
      <c r="L72" s="75">
        <f>L73+L76</f>
        <v>56</v>
      </c>
      <c r="M72" s="75"/>
      <c r="N72" s="75">
        <f>N73+N76</f>
        <v>56</v>
      </c>
    </row>
    <row r="73" spans="1:14" x14ac:dyDescent="0.25">
      <c r="A73" s="33"/>
      <c r="B73" s="33"/>
      <c r="C73" s="33" t="s">
        <v>11</v>
      </c>
      <c r="D73" s="33"/>
      <c r="E73" s="34" t="s">
        <v>12</v>
      </c>
      <c r="F73" s="71">
        <f>F74</f>
        <v>810.7</v>
      </c>
      <c r="G73" s="71"/>
      <c r="H73" s="71">
        <f>H74</f>
        <v>810.7</v>
      </c>
      <c r="I73" s="71">
        <f t="shared" ref="I73:N73" si="15">I74</f>
        <v>960.50000000000023</v>
      </c>
      <c r="J73" s="71"/>
      <c r="K73" s="71">
        <f t="shared" si="15"/>
        <v>960.50000000000023</v>
      </c>
      <c r="L73" s="71">
        <f t="shared" si="15"/>
        <v>0</v>
      </c>
      <c r="M73" s="71"/>
      <c r="N73" s="71">
        <f t="shared" si="15"/>
        <v>0</v>
      </c>
    </row>
    <row r="74" spans="1:14" ht="51.75" x14ac:dyDescent="0.25">
      <c r="A74" s="6"/>
      <c r="B74" s="6"/>
      <c r="C74" s="6" t="s">
        <v>13</v>
      </c>
      <c r="D74" s="12"/>
      <c r="E74" s="3" t="s">
        <v>14</v>
      </c>
      <c r="F74" s="70">
        <f>F75</f>
        <v>810.7</v>
      </c>
      <c r="G74" s="70"/>
      <c r="H74" s="70">
        <f>H75</f>
        <v>810.7</v>
      </c>
      <c r="I74" s="70">
        <f>I75</f>
        <v>960.50000000000023</v>
      </c>
      <c r="J74" s="70"/>
      <c r="K74" s="70">
        <f>K75</f>
        <v>960.50000000000023</v>
      </c>
      <c r="L74" s="70">
        <f>L75</f>
        <v>0</v>
      </c>
      <c r="M74" s="70"/>
      <c r="N74" s="70">
        <f>N75</f>
        <v>0</v>
      </c>
    </row>
    <row r="75" spans="1:14" x14ac:dyDescent="0.25">
      <c r="A75" s="6"/>
      <c r="B75" s="6"/>
      <c r="C75" s="6"/>
      <c r="D75" s="6" t="s">
        <v>281</v>
      </c>
      <c r="E75" s="3" t="s">
        <v>282</v>
      </c>
      <c r="F75" s="70">
        <v>810.7</v>
      </c>
      <c r="G75" s="70"/>
      <c r="H75" s="70">
        <f>F75+G75</f>
        <v>810.7</v>
      </c>
      <c r="I75" s="70">
        <f>2639.3-1678.8</f>
        <v>960.50000000000023</v>
      </c>
      <c r="J75" s="70"/>
      <c r="K75" s="70">
        <f>2639.3-1678.8</f>
        <v>960.50000000000023</v>
      </c>
      <c r="L75" s="70">
        <v>0</v>
      </c>
      <c r="M75" s="70"/>
      <c r="N75" s="70">
        <v>0</v>
      </c>
    </row>
    <row r="76" spans="1:14" ht="26.25" x14ac:dyDescent="0.25">
      <c r="A76" s="33"/>
      <c r="B76" s="33"/>
      <c r="C76" s="33" t="s">
        <v>15</v>
      </c>
      <c r="D76" s="33"/>
      <c r="E76" s="34" t="s">
        <v>16</v>
      </c>
      <c r="F76" s="78">
        <f>F77+F79</f>
        <v>98</v>
      </c>
      <c r="G76" s="78"/>
      <c r="H76" s="78">
        <f>H77+H79</f>
        <v>98</v>
      </c>
      <c r="I76" s="78">
        <f>I77+I79</f>
        <v>98</v>
      </c>
      <c r="J76" s="78"/>
      <c r="K76" s="78">
        <f>K77+K79</f>
        <v>98</v>
      </c>
      <c r="L76" s="78">
        <f>L77+L79</f>
        <v>56</v>
      </c>
      <c r="M76" s="78"/>
      <c r="N76" s="78">
        <f>N77+N79</f>
        <v>56</v>
      </c>
    </row>
    <row r="77" spans="1:14" ht="26.25" x14ac:dyDescent="0.25">
      <c r="A77" s="98"/>
      <c r="B77" s="98"/>
      <c r="C77" s="6" t="s">
        <v>17</v>
      </c>
      <c r="D77" s="6"/>
      <c r="E77" s="3" t="s">
        <v>431</v>
      </c>
      <c r="F77" s="70">
        <f>F78</f>
        <v>56</v>
      </c>
      <c r="G77" s="70"/>
      <c r="H77" s="70">
        <f>H78</f>
        <v>56</v>
      </c>
      <c r="I77" s="70">
        <f>I78</f>
        <v>56</v>
      </c>
      <c r="J77" s="70"/>
      <c r="K77" s="70">
        <f>K78</f>
        <v>56</v>
      </c>
      <c r="L77" s="70">
        <f>L78</f>
        <v>56</v>
      </c>
      <c r="M77" s="70"/>
      <c r="N77" s="70">
        <f>N78</f>
        <v>56</v>
      </c>
    </row>
    <row r="78" spans="1:14" x14ac:dyDescent="0.25">
      <c r="A78" s="98"/>
      <c r="B78" s="98"/>
      <c r="C78" s="6"/>
      <c r="D78" s="6" t="s">
        <v>281</v>
      </c>
      <c r="E78" s="3" t="s">
        <v>282</v>
      </c>
      <c r="F78" s="70">
        <v>56</v>
      </c>
      <c r="G78" s="70"/>
      <c r="H78" s="70">
        <v>56</v>
      </c>
      <c r="I78" s="70">
        <v>56</v>
      </c>
      <c r="J78" s="70"/>
      <c r="K78" s="70">
        <v>56</v>
      </c>
      <c r="L78" s="70">
        <v>56</v>
      </c>
      <c r="M78" s="70"/>
      <c r="N78" s="70">
        <v>56</v>
      </c>
    </row>
    <row r="79" spans="1:14" ht="39" x14ac:dyDescent="0.25">
      <c r="A79" s="98"/>
      <c r="B79" s="98"/>
      <c r="C79" s="6" t="s">
        <v>18</v>
      </c>
      <c r="D79" s="6"/>
      <c r="E79" s="8" t="s">
        <v>19</v>
      </c>
      <c r="F79" s="70">
        <f>F80</f>
        <v>42</v>
      </c>
      <c r="G79" s="70"/>
      <c r="H79" s="70">
        <f>H80</f>
        <v>42</v>
      </c>
      <c r="I79" s="70">
        <f>I80</f>
        <v>42</v>
      </c>
      <c r="J79" s="70"/>
      <c r="K79" s="70">
        <f>K80</f>
        <v>42</v>
      </c>
      <c r="L79" s="70">
        <f>L80</f>
        <v>0</v>
      </c>
      <c r="M79" s="70"/>
      <c r="N79" s="70">
        <f>N80</f>
        <v>0</v>
      </c>
    </row>
    <row r="80" spans="1:14" x14ac:dyDescent="0.25">
      <c r="A80" s="98"/>
      <c r="B80" s="98"/>
      <c r="C80" s="6"/>
      <c r="D80" s="6" t="s">
        <v>281</v>
      </c>
      <c r="E80" s="3" t="s">
        <v>282</v>
      </c>
      <c r="F80" s="70">
        <v>42</v>
      </c>
      <c r="G80" s="70"/>
      <c r="H80" s="70">
        <v>42</v>
      </c>
      <c r="I80" s="70">
        <v>42</v>
      </c>
      <c r="J80" s="70"/>
      <c r="K80" s="70">
        <v>42</v>
      </c>
      <c r="L80" s="70">
        <v>0</v>
      </c>
      <c r="M80" s="70"/>
      <c r="N80" s="70">
        <v>0</v>
      </c>
    </row>
    <row r="81" spans="1:14" ht="39" x14ac:dyDescent="0.25">
      <c r="A81" s="31"/>
      <c r="B81" s="31"/>
      <c r="C81" s="31" t="s">
        <v>30</v>
      </c>
      <c r="D81" s="31"/>
      <c r="E81" s="32" t="s">
        <v>31</v>
      </c>
      <c r="F81" s="75">
        <f t="shared" ref="F81:N82" si="16">F82</f>
        <v>1118</v>
      </c>
      <c r="G81" s="75"/>
      <c r="H81" s="75">
        <f t="shared" si="16"/>
        <v>1118</v>
      </c>
      <c r="I81" s="75">
        <f t="shared" si="16"/>
        <v>1158.5</v>
      </c>
      <c r="J81" s="75"/>
      <c r="K81" s="75">
        <f t="shared" si="16"/>
        <v>1158.5</v>
      </c>
      <c r="L81" s="75">
        <f t="shared" si="16"/>
        <v>1158.5</v>
      </c>
      <c r="M81" s="75"/>
      <c r="N81" s="75">
        <f t="shared" si="16"/>
        <v>1158.5</v>
      </c>
    </row>
    <row r="82" spans="1:14" ht="26.25" x14ac:dyDescent="0.25">
      <c r="A82" s="33"/>
      <c r="B82" s="33"/>
      <c r="C82" s="33" t="s">
        <v>32</v>
      </c>
      <c r="D82" s="36"/>
      <c r="E82" s="34" t="s">
        <v>33</v>
      </c>
      <c r="F82" s="71">
        <f>F83</f>
        <v>1118</v>
      </c>
      <c r="G82" s="71"/>
      <c r="H82" s="71">
        <f>H83</f>
        <v>1118</v>
      </c>
      <c r="I82" s="71">
        <f t="shared" si="16"/>
        <v>1158.5</v>
      </c>
      <c r="J82" s="71"/>
      <c r="K82" s="71">
        <f t="shared" si="16"/>
        <v>1158.5</v>
      </c>
      <c r="L82" s="71">
        <f t="shared" si="16"/>
        <v>1158.5</v>
      </c>
      <c r="M82" s="71"/>
      <c r="N82" s="71">
        <f t="shared" si="16"/>
        <v>1158.5</v>
      </c>
    </row>
    <row r="83" spans="1:14" x14ac:dyDescent="0.25">
      <c r="A83" s="6"/>
      <c r="B83" s="6"/>
      <c r="C83" s="6" t="s">
        <v>46</v>
      </c>
      <c r="D83" s="6"/>
      <c r="E83" s="3" t="s">
        <v>47</v>
      </c>
      <c r="F83" s="79">
        <f>SUM(F84)</f>
        <v>1118</v>
      </c>
      <c r="G83" s="79"/>
      <c r="H83" s="79">
        <f>SUM(H84)</f>
        <v>1118</v>
      </c>
      <c r="I83" s="79">
        <f>SUM(I84)</f>
        <v>1158.5</v>
      </c>
      <c r="J83" s="79"/>
      <c r="K83" s="79">
        <f>SUM(K84)</f>
        <v>1158.5</v>
      </c>
      <c r="L83" s="79">
        <f>SUM(L84)</f>
        <v>1158.5</v>
      </c>
      <c r="M83" s="79"/>
      <c r="N83" s="79">
        <f>SUM(N84)</f>
        <v>1158.5</v>
      </c>
    </row>
    <row r="84" spans="1:14" ht="39" x14ac:dyDescent="0.25">
      <c r="A84" s="6"/>
      <c r="B84" s="6"/>
      <c r="C84" s="6"/>
      <c r="D84" s="6" t="s">
        <v>399</v>
      </c>
      <c r="E84" s="3" t="s">
        <v>400</v>
      </c>
      <c r="F84" s="79">
        <v>1118</v>
      </c>
      <c r="G84" s="79"/>
      <c r="H84" s="79">
        <v>1118</v>
      </c>
      <c r="I84" s="79">
        <v>1158.5</v>
      </c>
      <c r="J84" s="79"/>
      <c r="K84" s="79">
        <v>1158.5</v>
      </c>
      <c r="L84" s="79">
        <v>1158.5</v>
      </c>
      <c r="M84" s="79"/>
      <c r="N84" s="79">
        <v>1158.5</v>
      </c>
    </row>
    <row r="85" spans="1:14" x14ac:dyDescent="0.25">
      <c r="A85" s="6"/>
      <c r="B85" s="6"/>
      <c r="C85" s="6"/>
      <c r="D85" s="6" t="s">
        <v>281</v>
      </c>
      <c r="E85" s="3" t="s">
        <v>282</v>
      </c>
      <c r="F85" s="79">
        <v>0</v>
      </c>
      <c r="G85" s="79"/>
      <c r="H85" s="79">
        <v>0</v>
      </c>
      <c r="I85" s="79">
        <v>0</v>
      </c>
      <c r="J85" s="79"/>
      <c r="K85" s="79">
        <v>0</v>
      </c>
      <c r="L85" s="79">
        <v>0</v>
      </c>
      <c r="M85" s="79"/>
      <c r="N85" s="79">
        <v>0</v>
      </c>
    </row>
    <row r="86" spans="1:14" ht="26.25" x14ac:dyDescent="0.25">
      <c r="A86" s="31"/>
      <c r="B86" s="31"/>
      <c r="C86" s="31" t="s">
        <v>49</v>
      </c>
      <c r="D86" s="31"/>
      <c r="E86" s="32" t="s">
        <v>50</v>
      </c>
      <c r="F86" s="75">
        <f>F87</f>
        <v>81.3</v>
      </c>
      <c r="G86" s="75"/>
      <c r="H86" s="75">
        <f>H87</f>
        <v>81.3</v>
      </c>
      <c r="I86" s="75">
        <f>I87</f>
        <v>81.3</v>
      </c>
      <c r="J86" s="75"/>
      <c r="K86" s="75">
        <f>K87</f>
        <v>81.3</v>
      </c>
      <c r="L86" s="75">
        <f>L87</f>
        <v>0</v>
      </c>
      <c r="M86" s="75"/>
      <c r="N86" s="75">
        <f>N87</f>
        <v>0</v>
      </c>
    </row>
    <row r="87" spans="1:14" ht="26.25" x14ac:dyDescent="0.25">
      <c r="A87" s="33"/>
      <c r="B87" s="33"/>
      <c r="C87" s="33" t="s">
        <v>51</v>
      </c>
      <c r="D87" s="36"/>
      <c r="E87" s="34" t="s">
        <v>52</v>
      </c>
      <c r="F87" s="71">
        <f>F88+F90</f>
        <v>81.3</v>
      </c>
      <c r="G87" s="71"/>
      <c r="H87" s="71">
        <f>H88+H90</f>
        <v>81.3</v>
      </c>
      <c r="I87" s="71">
        <f>I88+I90</f>
        <v>81.3</v>
      </c>
      <c r="J87" s="71"/>
      <c r="K87" s="71">
        <f>K88+K90</f>
        <v>81.3</v>
      </c>
      <c r="L87" s="71">
        <f>L88+L90</f>
        <v>0</v>
      </c>
      <c r="M87" s="71"/>
      <c r="N87" s="71">
        <f>N88+N90</f>
        <v>0</v>
      </c>
    </row>
    <row r="88" spans="1:14" x14ac:dyDescent="0.25">
      <c r="A88" s="98"/>
      <c r="B88" s="98"/>
      <c r="C88" s="6" t="s">
        <v>53</v>
      </c>
      <c r="D88" s="6"/>
      <c r="E88" s="8" t="s">
        <v>54</v>
      </c>
      <c r="F88" s="79">
        <f>F89</f>
        <v>50</v>
      </c>
      <c r="G88" s="79"/>
      <c r="H88" s="79">
        <f>H89</f>
        <v>50</v>
      </c>
      <c r="I88" s="79">
        <f>I89</f>
        <v>50</v>
      </c>
      <c r="J88" s="79"/>
      <c r="K88" s="79">
        <f>K89</f>
        <v>50</v>
      </c>
      <c r="L88" s="79">
        <v>0</v>
      </c>
      <c r="M88" s="79"/>
      <c r="N88" s="79">
        <v>0</v>
      </c>
    </row>
    <row r="89" spans="1:14" x14ac:dyDescent="0.25">
      <c r="A89" s="98"/>
      <c r="B89" s="98"/>
      <c r="C89" s="6"/>
      <c r="D89" s="6" t="s">
        <v>281</v>
      </c>
      <c r="E89" s="3" t="s">
        <v>282</v>
      </c>
      <c r="F89" s="79">
        <v>50</v>
      </c>
      <c r="G89" s="79"/>
      <c r="H89" s="79">
        <v>50</v>
      </c>
      <c r="I89" s="79">
        <v>50</v>
      </c>
      <c r="J89" s="79"/>
      <c r="K89" s="79">
        <v>50</v>
      </c>
      <c r="L89" s="79">
        <v>0</v>
      </c>
      <c r="M89" s="79"/>
      <c r="N89" s="79">
        <v>0</v>
      </c>
    </row>
    <row r="90" spans="1:14" x14ac:dyDescent="0.25">
      <c r="A90" s="98"/>
      <c r="B90" s="98"/>
      <c r="C90" s="6" t="s">
        <v>55</v>
      </c>
      <c r="D90" s="6"/>
      <c r="E90" s="8" t="s">
        <v>56</v>
      </c>
      <c r="F90" s="79">
        <f>F91</f>
        <v>31.3</v>
      </c>
      <c r="G90" s="79"/>
      <c r="H90" s="79">
        <f>H91</f>
        <v>31.3</v>
      </c>
      <c r="I90" s="79">
        <f>I91</f>
        <v>31.3</v>
      </c>
      <c r="J90" s="79"/>
      <c r="K90" s="79">
        <f>K91</f>
        <v>31.3</v>
      </c>
      <c r="L90" s="79">
        <v>0</v>
      </c>
      <c r="M90" s="79"/>
      <c r="N90" s="79">
        <v>0</v>
      </c>
    </row>
    <row r="91" spans="1:14" x14ac:dyDescent="0.25">
      <c r="A91" s="98"/>
      <c r="B91" s="98"/>
      <c r="C91" s="6"/>
      <c r="D91" s="6" t="s">
        <v>281</v>
      </c>
      <c r="E91" s="3" t="s">
        <v>282</v>
      </c>
      <c r="F91" s="79">
        <v>31.3</v>
      </c>
      <c r="G91" s="79"/>
      <c r="H91" s="79">
        <v>31.3</v>
      </c>
      <c r="I91" s="79">
        <v>31.3</v>
      </c>
      <c r="J91" s="79"/>
      <c r="K91" s="79">
        <v>31.3</v>
      </c>
      <c r="L91" s="79">
        <v>0</v>
      </c>
      <c r="M91" s="79"/>
      <c r="N91" s="79">
        <v>0</v>
      </c>
    </row>
    <row r="92" spans="1:14" ht="25.5" x14ac:dyDescent="0.25">
      <c r="A92" s="111"/>
      <c r="B92" s="112"/>
      <c r="C92" s="113" t="s">
        <v>160</v>
      </c>
      <c r="D92" s="112"/>
      <c r="E92" s="114" t="s">
        <v>161</v>
      </c>
      <c r="F92" s="115">
        <f>F93</f>
        <v>300</v>
      </c>
      <c r="G92" s="115"/>
      <c r="H92" s="115">
        <f>H93</f>
        <v>300</v>
      </c>
      <c r="I92" s="115">
        <f>I93</f>
        <v>312</v>
      </c>
      <c r="J92" s="115"/>
      <c r="K92" s="115">
        <f>K93</f>
        <v>312</v>
      </c>
      <c r="L92" s="115">
        <f>L93</f>
        <v>0</v>
      </c>
      <c r="M92" s="115"/>
      <c r="N92" s="115">
        <f>N93</f>
        <v>0</v>
      </c>
    </row>
    <row r="93" spans="1:14" ht="26.25" x14ac:dyDescent="0.25">
      <c r="A93" s="43"/>
      <c r="B93" s="43"/>
      <c r="C93" s="43" t="s">
        <v>162</v>
      </c>
      <c r="D93" s="43"/>
      <c r="E93" s="44" t="s">
        <v>163</v>
      </c>
      <c r="F93" s="75">
        <f t="shared" ref="F93:N94" si="17">F94</f>
        <v>300</v>
      </c>
      <c r="G93" s="75"/>
      <c r="H93" s="75">
        <f t="shared" si="17"/>
        <v>300</v>
      </c>
      <c r="I93" s="75">
        <f t="shared" si="17"/>
        <v>312</v>
      </c>
      <c r="J93" s="75"/>
      <c r="K93" s="75">
        <f t="shared" si="17"/>
        <v>312</v>
      </c>
      <c r="L93" s="75">
        <f t="shared" si="17"/>
        <v>0</v>
      </c>
      <c r="M93" s="75"/>
      <c r="N93" s="75">
        <f t="shared" si="17"/>
        <v>0</v>
      </c>
    </row>
    <row r="94" spans="1:14" ht="26.25" x14ac:dyDescent="0.25">
      <c r="A94" s="33"/>
      <c r="B94" s="33"/>
      <c r="C94" s="33" t="s">
        <v>164</v>
      </c>
      <c r="D94" s="33"/>
      <c r="E94" s="34" t="s">
        <v>165</v>
      </c>
      <c r="F94" s="71">
        <f t="shared" si="17"/>
        <v>300</v>
      </c>
      <c r="G94" s="71"/>
      <c r="H94" s="71">
        <f t="shared" si="17"/>
        <v>300</v>
      </c>
      <c r="I94" s="71">
        <f t="shared" si="17"/>
        <v>312</v>
      </c>
      <c r="J94" s="71"/>
      <c r="K94" s="71">
        <f t="shared" si="17"/>
        <v>312</v>
      </c>
      <c r="L94" s="71">
        <f t="shared" si="17"/>
        <v>0</v>
      </c>
      <c r="M94" s="71"/>
      <c r="N94" s="71">
        <f t="shared" si="17"/>
        <v>0</v>
      </c>
    </row>
    <row r="95" spans="1:14" ht="26.25" x14ac:dyDescent="0.25">
      <c r="A95" s="6"/>
      <c r="B95" s="6"/>
      <c r="C95" s="6" t="s">
        <v>166</v>
      </c>
      <c r="D95" s="6"/>
      <c r="E95" s="45" t="s">
        <v>167</v>
      </c>
      <c r="F95" s="70">
        <v>300</v>
      </c>
      <c r="G95" s="70"/>
      <c r="H95" s="70">
        <v>300</v>
      </c>
      <c r="I95" s="70">
        <v>312</v>
      </c>
      <c r="J95" s="70"/>
      <c r="K95" s="70">
        <v>312</v>
      </c>
      <c r="L95" s="70">
        <v>0</v>
      </c>
      <c r="M95" s="70"/>
      <c r="N95" s="70">
        <v>0</v>
      </c>
    </row>
    <row r="96" spans="1:14" ht="26.25" x14ac:dyDescent="0.25">
      <c r="A96" s="6"/>
      <c r="B96" s="6"/>
      <c r="C96" s="6"/>
      <c r="D96" s="6" t="s">
        <v>471</v>
      </c>
      <c r="E96" s="3" t="s">
        <v>472</v>
      </c>
      <c r="F96" s="70">
        <v>300</v>
      </c>
      <c r="G96" s="70"/>
      <c r="H96" s="70">
        <v>300</v>
      </c>
      <c r="I96" s="70">
        <v>312</v>
      </c>
      <c r="J96" s="70"/>
      <c r="K96" s="70">
        <v>312</v>
      </c>
      <c r="L96" s="70">
        <v>0</v>
      </c>
      <c r="M96" s="70"/>
      <c r="N96" s="70">
        <v>0</v>
      </c>
    </row>
    <row r="97" spans="1:14" ht="25.5" x14ac:dyDescent="0.25">
      <c r="A97" s="111"/>
      <c r="B97" s="112"/>
      <c r="C97" s="113" t="s">
        <v>201</v>
      </c>
      <c r="D97" s="112"/>
      <c r="E97" s="114" t="s">
        <v>202</v>
      </c>
      <c r="F97" s="115">
        <f>F98</f>
        <v>1530.0775500000002</v>
      </c>
      <c r="G97" s="115"/>
      <c r="H97" s="115">
        <f>H98</f>
        <v>1530.0775500000002</v>
      </c>
      <c r="I97" s="115">
        <f t="shared" ref="I97:N99" si="18">I98</f>
        <v>1573.2717299999999</v>
      </c>
      <c r="J97" s="115"/>
      <c r="K97" s="115">
        <f t="shared" si="18"/>
        <v>1573.2717299999999</v>
      </c>
      <c r="L97" s="115">
        <f t="shared" si="18"/>
        <v>17.702179999999998</v>
      </c>
      <c r="M97" s="115"/>
      <c r="N97" s="115">
        <f t="shared" si="18"/>
        <v>17.702179999999998</v>
      </c>
    </row>
    <row r="98" spans="1:14" ht="26.25" x14ac:dyDescent="0.25">
      <c r="A98" s="33"/>
      <c r="B98" s="33"/>
      <c r="C98" s="33" t="s">
        <v>203</v>
      </c>
      <c r="D98" s="33"/>
      <c r="E98" s="34" t="s">
        <v>868</v>
      </c>
      <c r="F98" s="71">
        <f>F99</f>
        <v>1530.0775500000002</v>
      </c>
      <c r="G98" s="71"/>
      <c r="H98" s="71">
        <f>H99</f>
        <v>1530.0775500000002</v>
      </c>
      <c r="I98" s="71">
        <f t="shared" si="18"/>
        <v>1573.2717299999999</v>
      </c>
      <c r="J98" s="71"/>
      <c r="K98" s="71">
        <f t="shared" si="18"/>
        <v>1573.2717299999999</v>
      </c>
      <c r="L98" s="71">
        <f t="shared" si="18"/>
        <v>17.702179999999998</v>
      </c>
      <c r="M98" s="71"/>
      <c r="N98" s="71">
        <f t="shared" si="18"/>
        <v>17.702179999999998</v>
      </c>
    </row>
    <row r="99" spans="1:14" ht="26.25" x14ac:dyDescent="0.25">
      <c r="A99" s="6"/>
      <c r="B99" s="6"/>
      <c r="C99" s="6" t="s">
        <v>494</v>
      </c>
      <c r="D99" s="6"/>
      <c r="E99" s="3" t="s">
        <v>495</v>
      </c>
      <c r="F99" s="70">
        <f>F100</f>
        <v>1530.0775500000002</v>
      </c>
      <c r="G99" s="70"/>
      <c r="H99" s="70">
        <f>H100</f>
        <v>1530.0775500000002</v>
      </c>
      <c r="I99" s="70">
        <f t="shared" si="18"/>
        <v>1573.2717299999999</v>
      </c>
      <c r="J99" s="70"/>
      <c r="K99" s="70">
        <f t="shared" si="18"/>
        <v>1573.2717299999999</v>
      </c>
      <c r="L99" s="70">
        <v>17.702179999999998</v>
      </c>
      <c r="M99" s="70"/>
      <c r="N99" s="70">
        <v>17.702179999999998</v>
      </c>
    </row>
    <row r="100" spans="1:14" x14ac:dyDescent="0.25">
      <c r="A100" s="6"/>
      <c r="B100" s="6"/>
      <c r="C100" s="6"/>
      <c r="D100" s="6" t="s">
        <v>281</v>
      </c>
      <c r="E100" s="3" t="s">
        <v>282</v>
      </c>
      <c r="F100" s="70">
        <f>F101+F102</f>
        <v>1530.0775500000002</v>
      </c>
      <c r="G100" s="70"/>
      <c r="H100" s="70">
        <f>H101+H102</f>
        <v>1530.0775500000002</v>
      </c>
      <c r="I100" s="70">
        <f>I101+I102</f>
        <v>1573.2717299999999</v>
      </c>
      <c r="J100" s="70"/>
      <c r="K100" s="70">
        <f>K101+K102</f>
        <v>1573.2717299999999</v>
      </c>
      <c r="L100" s="70">
        <v>0</v>
      </c>
      <c r="M100" s="70"/>
      <c r="N100" s="70">
        <v>0</v>
      </c>
    </row>
    <row r="101" spans="1:14" x14ac:dyDescent="0.25">
      <c r="A101" s="6"/>
      <c r="B101" s="6"/>
      <c r="C101" s="6"/>
      <c r="D101" s="6"/>
      <c r="E101" s="1" t="s">
        <v>186</v>
      </c>
      <c r="F101" s="70">
        <v>1499.4760000000001</v>
      </c>
      <c r="G101" s="70"/>
      <c r="H101" s="70">
        <v>1499.4760000000001</v>
      </c>
      <c r="I101" s="70">
        <v>1542.1069</v>
      </c>
      <c r="J101" s="70"/>
      <c r="K101" s="70">
        <v>1542.1069</v>
      </c>
      <c r="L101" s="70">
        <v>0</v>
      </c>
      <c r="M101" s="70"/>
      <c r="N101" s="70">
        <v>0</v>
      </c>
    </row>
    <row r="102" spans="1:14" x14ac:dyDescent="0.25">
      <c r="A102" s="6"/>
      <c r="B102" s="6"/>
      <c r="C102" s="6"/>
      <c r="D102" s="6"/>
      <c r="E102" s="3" t="s">
        <v>150</v>
      </c>
      <c r="F102" s="70">
        <v>30.60155</v>
      </c>
      <c r="G102" s="70"/>
      <c r="H102" s="70">
        <v>30.60155</v>
      </c>
      <c r="I102" s="70">
        <v>31.164829999999998</v>
      </c>
      <c r="J102" s="70"/>
      <c r="K102" s="70">
        <v>31.164829999999998</v>
      </c>
      <c r="L102" s="70">
        <v>17.702179999999998</v>
      </c>
      <c r="M102" s="70"/>
      <c r="N102" s="70">
        <v>17.702179999999998</v>
      </c>
    </row>
    <row r="103" spans="1:14" x14ac:dyDescent="0.25">
      <c r="A103" s="139"/>
      <c r="B103" s="139"/>
      <c r="C103" s="139" t="s">
        <v>394</v>
      </c>
      <c r="D103" s="139"/>
      <c r="E103" s="140" t="s">
        <v>395</v>
      </c>
      <c r="F103" s="141">
        <f t="shared" ref="F103:N103" si="19">F104</f>
        <v>36623.4</v>
      </c>
      <c r="G103" s="141">
        <f t="shared" si="19"/>
        <v>868.7</v>
      </c>
      <c r="H103" s="141">
        <f t="shared" si="19"/>
        <v>37492.1</v>
      </c>
      <c r="I103" s="141">
        <f t="shared" si="19"/>
        <v>32913.800000000003</v>
      </c>
      <c r="J103" s="141">
        <f t="shared" si="19"/>
        <v>0</v>
      </c>
      <c r="K103" s="141">
        <f t="shared" si="19"/>
        <v>32913.800000000003</v>
      </c>
      <c r="L103" s="141">
        <f t="shared" si="19"/>
        <v>32713.8</v>
      </c>
      <c r="M103" s="141">
        <f t="shared" si="19"/>
        <v>0</v>
      </c>
      <c r="N103" s="141">
        <f t="shared" si="19"/>
        <v>32713.8</v>
      </c>
    </row>
    <row r="104" spans="1:14" ht="26.25" x14ac:dyDescent="0.25">
      <c r="A104" s="61"/>
      <c r="B104" s="61"/>
      <c r="C104" s="61" t="s">
        <v>402</v>
      </c>
      <c r="D104" s="61"/>
      <c r="E104" s="63" t="s">
        <v>403</v>
      </c>
      <c r="F104" s="84">
        <f>F105+F114+F116+F109</f>
        <v>36623.4</v>
      </c>
      <c r="G104" s="84">
        <f>G105+G114+G116+G109+G112</f>
        <v>868.7</v>
      </c>
      <c r="H104" s="84">
        <f>H105+H114+H116+H109+H112</f>
        <v>37492.1</v>
      </c>
      <c r="I104" s="84">
        <f t="shared" ref="I104:N104" si="20">I105+I114+I116</f>
        <v>32913.800000000003</v>
      </c>
      <c r="J104" s="84">
        <f t="shared" si="20"/>
        <v>0</v>
      </c>
      <c r="K104" s="84">
        <f t="shared" si="20"/>
        <v>32913.800000000003</v>
      </c>
      <c r="L104" s="84">
        <f t="shared" si="20"/>
        <v>32713.8</v>
      </c>
      <c r="M104" s="84">
        <f t="shared" si="20"/>
        <v>0</v>
      </c>
      <c r="N104" s="84">
        <f t="shared" si="20"/>
        <v>32713.8</v>
      </c>
    </row>
    <row r="105" spans="1:14" ht="26.25" x14ac:dyDescent="0.25">
      <c r="A105" s="98"/>
      <c r="B105" s="98"/>
      <c r="C105" s="6" t="s">
        <v>414</v>
      </c>
      <c r="D105" s="6"/>
      <c r="E105" s="8" t="s">
        <v>415</v>
      </c>
      <c r="F105" s="70">
        <f>F106+F107+F108</f>
        <v>35298</v>
      </c>
      <c r="G105" s="70">
        <f>G106+G107+G108</f>
        <v>228.8</v>
      </c>
      <c r="H105" s="70">
        <f>H106+H107+H108</f>
        <v>35526.799999999996</v>
      </c>
      <c r="I105" s="70">
        <f>I106+I107+I108</f>
        <v>32613.8</v>
      </c>
      <c r="J105" s="70"/>
      <c r="K105" s="70">
        <f>K106+K107+K108</f>
        <v>32613.8</v>
      </c>
      <c r="L105" s="70">
        <f>L106+L107+L108</f>
        <v>32613.8</v>
      </c>
      <c r="M105" s="70"/>
      <c r="N105" s="70">
        <f>N106+N107+N108</f>
        <v>32613.8</v>
      </c>
    </row>
    <row r="106" spans="1:14" ht="39" x14ac:dyDescent="0.25">
      <c r="A106" s="98"/>
      <c r="B106" s="98"/>
      <c r="C106" s="6"/>
      <c r="D106" s="6" t="s">
        <v>399</v>
      </c>
      <c r="E106" s="3" t="s">
        <v>400</v>
      </c>
      <c r="F106" s="70">
        <v>17730.599999999999</v>
      </c>
      <c r="G106" s="70"/>
      <c r="H106" s="70">
        <f>SUM(F106:G106)</f>
        <v>17730.599999999999</v>
      </c>
      <c r="I106" s="70">
        <v>17484.099999999999</v>
      </c>
      <c r="J106" s="70"/>
      <c r="K106" s="70">
        <v>17484.099999999999</v>
      </c>
      <c r="L106" s="70">
        <v>17484.099999999999</v>
      </c>
      <c r="M106" s="70"/>
      <c r="N106" s="70">
        <v>17484.099999999999</v>
      </c>
    </row>
    <row r="107" spans="1:14" x14ac:dyDescent="0.25">
      <c r="A107" s="98"/>
      <c r="B107" s="98"/>
      <c r="C107" s="6"/>
      <c r="D107" s="6" t="s">
        <v>281</v>
      </c>
      <c r="E107" s="3" t="s">
        <v>282</v>
      </c>
      <c r="F107" s="70">
        <v>17128.2</v>
      </c>
      <c r="G107" s="70">
        <f>118.5+110.3</f>
        <v>228.8</v>
      </c>
      <c r="H107" s="70">
        <f>SUM(F107:G107)</f>
        <v>17357</v>
      </c>
      <c r="I107" s="70">
        <v>14690.5</v>
      </c>
      <c r="J107" s="70"/>
      <c r="K107" s="70">
        <v>14690.5</v>
      </c>
      <c r="L107" s="70">
        <v>14690.5</v>
      </c>
      <c r="M107" s="70"/>
      <c r="N107" s="70">
        <v>14690.5</v>
      </c>
    </row>
    <row r="108" spans="1:14" x14ac:dyDescent="0.25">
      <c r="A108" s="98"/>
      <c r="B108" s="98"/>
      <c r="C108" s="6"/>
      <c r="D108" s="6" t="s">
        <v>406</v>
      </c>
      <c r="E108" s="3" t="s">
        <v>407</v>
      </c>
      <c r="F108" s="70">
        <v>439.2</v>
      </c>
      <c r="G108" s="70"/>
      <c r="H108" s="70">
        <v>439.2</v>
      </c>
      <c r="I108" s="70">
        <v>439.2</v>
      </c>
      <c r="J108" s="70"/>
      <c r="K108" s="70">
        <v>439.2</v>
      </c>
      <c r="L108" s="70">
        <v>439.2</v>
      </c>
      <c r="M108" s="70"/>
      <c r="N108" s="70">
        <v>439.2</v>
      </c>
    </row>
    <row r="109" spans="1:14" x14ac:dyDescent="0.25">
      <c r="A109" s="98"/>
      <c r="B109" s="98"/>
      <c r="C109" s="16" t="s">
        <v>416</v>
      </c>
      <c r="D109" s="16"/>
      <c r="E109" s="1" t="s">
        <v>417</v>
      </c>
      <c r="F109" s="70">
        <f>F110</f>
        <v>715.4</v>
      </c>
      <c r="G109" s="70">
        <v>599.9</v>
      </c>
      <c r="H109" s="70">
        <f>H110+H111</f>
        <v>1315.3</v>
      </c>
      <c r="I109" s="70">
        <v>0</v>
      </c>
      <c r="J109" s="70"/>
      <c r="K109" s="70">
        <v>0</v>
      </c>
      <c r="L109" s="70">
        <v>0</v>
      </c>
      <c r="M109" s="70"/>
      <c r="N109" s="70">
        <v>0</v>
      </c>
    </row>
    <row r="110" spans="1:14" x14ac:dyDescent="0.25">
      <c r="A110" s="98"/>
      <c r="B110" s="98"/>
      <c r="C110" s="16"/>
      <c r="D110" s="16" t="s">
        <v>281</v>
      </c>
      <c r="E110" s="1" t="s">
        <v>282</v>
      </c>
      <c r="F110" s="70">
        <v>715.4</v>
      </c>
      <c r="G110" s="70"/>
      <c r="H110" s="70">
        <v>715.4</v>
      </c>
      <c r="I110" s="70">
        <f>1193.9-1193.9</f>
        <v>0</v>
      </c>
      <c r="J110" s="70"/>
      <c r="K110" s="70">
        <f>1193.9-1193.9</f>
        <v>0</v>
      </c>
      <c r="L110" s="70">
        <f>1243.6-1243.6</f>
        <v>0</v>
      </c>
      <c r="M110" s="70"/>
      <c r="N110" s="70">
        <f>1243.6-1243.6</f>
        <v>0</v>
      </c>
    </row>
    <row r="111" spans="1:14" ht="26.25" x14ac:dyDescent="0.25">
      <c r="A111" s="98"/>
      <c r="B111" s="98"/>
      <c r="C111" s="16"/>
      <c r="D111" s="6" t="s">
        <v>471</v>
      </c>
      <c r="E111" s="3" t="s">
        <v>472</v>
      </c>
      <c r="F111" s="70">
        <v>0</v>
      </c>
      <c r="G111" s="70">
        <v>599.9</v>
      </c>
      <c r="H111" s="70">
        <v>599.9</v>
      </c>
      <c r="I111" s="70"/>
      <c r="J111" s="70"/>
      <c r="K111" s="70"/>
      <c r="L111" s="70"/>
      <c r="M111" s="70"/>
      <c r="N111" s="70"/>
    </row>
    <row r="112" spans="1:14" ht="26.25" x14ac:dyDescent="0.25">
      <c r="A112" s="98"/>
      <c r="B112" s="98"/>
      <c r="C112" s="6" t="s">
        <v>838</v>
      </c>
      <c r="D112" s="6"/>
      <c r="E112" s="3" t="s">
        <v>839</v>
      </c>
      <c r="F112" s="70">
        <v>0</v>
      </c>
      <c r="G112" s="70">
        <f>G113</f>
        <v>40</v>
      </c>
      <c r="H112" s="70">
        <f>H113</f>
        <v>40</v>
      </c>
      <c r="I112" s="70"/>
      <c r="J112" s="70"/>
      <c r="K112" s="70"/>
      <c r="L112" s="70"/>
      <c r="M112" s="70"/>
      <c r="N112" s="70"/>
    </row>
    <row r="113" spans="1:14" x14ac:dyDescent="0.25">
      <c r="A113" s="98"/>
      <c r="B113" s="98"/>
      <c r="C113" s="16"/>
      <c r="D113" s="6" t="s">
        <v>406</v>
      </c>
      <c r="E113" s="1" t="s">
        <v>407</v>
      </c>
      <c r="F113" s="70">
        <v>0</v>
      </c>
      <c r="G113" s="70">
        <f>30+10</f>
        <v>40</v>
      </c>
      <c r="H113" s="70">
        <f>G113</f>
        <v>40</v>
      </c>
      <c r="I113" s="70"/>
      <c r="J113" s="70"/>
      <c r="K113" s="70"/>
      <c r="L113" s="70"/>
      <c r="M113" s="70"/>
      <c r="N113" s="70"/>
    </row>
    <row r="114" spans="1:14" ht="26.25" x14ac:dyDescent="0.25">
      <c r="A114" s="98"/>
      <c r="B114" s="98"/>
      <c r="C114" s="6" t="s">
        <v>426</v>
      </c>
      <c r="D114" s="6"/>
      <c r="E114" s="3" t="s">
        <v>427</v>
      </c>
      <c r="F114" s="70">
        <f t="shared" ref="F114:N114" si="21">F115</f>
        <v>300</v>
      </c>
      <c r="G114" s="70">
        <f t="shared" si="21"/>
        <v>0</v>
      </c>
      <c r="H114" s="70">
        <f t="shared" si="21"/>
        <v>300</v>
      </c>
      <c r="I114" s="70">
        <f t="shared" si="21"/>
        <v>300</v>
      </c>
      <c r="J114" s="70">
        <f t="shared" si="21"/>
        <v>0</v>
      </c>
      <c r="K114" s="70">
        <f t="shared" si="21"/>
        <v>300</v>
      </c>
      <c r="L114" s="70">
        <f t="shared" si="21"/>
        <v>100</v>
      </c>
      <c r="M114" s="70">
        <f t="shared" si="21"/>
        <v>0</v>
      </c>
      <c r="N114" s="70">
        <f t="shared" si="21"/>
        <v>100</v>
      </c>
    </row>
    <row r="115" spans="1:14" x14ac:dyDescent="0.25">
      <c r="A115" s="98"/>
      <c r="B115" s="98"/>
      <c r="C115" s="6"/>
      <c r="D115" s="6" t="s">
        <v>281</v>
      </c>
      <c r="E115" s="3" t="s">
        <v>282</v>
      </c>
      <c r="F115" s="70">
        <v>300</v>
      </c>
      <c r="G115" s="70"/>
      <c r="H115" s="70">
        <f>200+100</f>
        <v>300</v>
      </c>
      <c r="I115" s="70">
        <v>300</v>
      </c>
      <c r="J115" s="70"/>
      <c r="K115" s="70">
        <f>200+100</f>
        <v>300</v>
      </c>
      <c r="L115" s="70">
        <v>100</v>
      </c>
      <c r="M115" s="70"/>
      <c r="N115" s="70">
        <v>100</v>
      </c>
    </row>
    <row r="116" spans="1:14" x14ac:dyDescent="0.25">
      <c r="A116" s="98"/>
      <c r="B116" s="98"/>
      <c r="C116" s="6" t="s">
        <v>428</v>
      </c>
      <c r="D116" s="6"/>
      <c r="E116" s="3" t="s">
        <v>429</v>
      </c>
      <c r="F116" s="80">
        <f>F117</f>
        <v>310</v>
      </c>
      <c r="G116" s="80"/>
      <c r="H116" s="80">
        <f>H117</f>
        <v>310</v>
      </c>
      <c r="I116" s="80">
        <f>I117</f>
        <v>0</v>
      </c>
      <c r="J116" s="80"/>
      <c r="K116" s="80">
        <f>K117</f>
        <v>0</v>
      </c>
      <c r="L116" s="80">
        <f>L117</f>
        <v>0</v>
      </c>
      <c r="M116" s="80"/>
      <c r="N116" s="80">
        <f>N117</f>
        <v>0</v>
      </c>
    </row>
    <row r="117" spans="1:14" x14ac:dyDescent="0.25">
      <c r="A117" s="98"/>
      <c r="B117" s="98"/>
      <c r="C117" s="6"/>
      <c r="D117" s="6" t="s">
        <v>406</v>
      </c>
      <c r="E117" s="3" t="s">
        <v>407</v>
      </c>
      <c r="F117" s="80">
        <v>310</v>
      </c>
      <c r="G117" s="80"/>
      <c r="H117" s="80">
        <v>310</v>
      </c>
      <c r="I117" s="80">
        <v>0</v>
      </c>
      <c r="J117" s="80"/>
      <c r="K117" s="80">
        <v>0</v>
      </c>
      <c r="L117" s="80">
        <v>0</v>
      </c>
      <c r="M117" s="80"/>
      <c r="N117" s="80">
        <v>0</v>
      </c>
    </row>
    <row r="118" spans="1:14" x14ac:dyDescent="0.25">
      <c r="A118" s="108"/>
      <c r="B118" s="17" t="s">
        <v>582</v>
      </c>
      <c r="C118" s="109"/>
      <c r="D118" s="17"/>
      <c r="E118" s="102" t="s">
        <v>583</v>
      </c>
      <c r="F118" s="130">
        <f t="shared" ref="F118:N123" si="22">F119</f>
        <v>1111.9000000000001</v>
      </c>
      <c r="G118" s="130"/>
      <c r="H118" s="130">
        <f t="shared" si="22"/>
        <v>1111.9000000000001</v>
      </c>
      <c r="I118" s="130">
        <f t="shared" si="22"/>
        <v>1148.5</v>
      </c>
      <c r="J118" s="130"/>
      <c r="K118" s="130">
        <f t="shared" si="22"/>
        <v>1148.5</v>
      </c>
      <c r="L118" s="130">
        <f t="shared" si="22"/>
        <v>1148.5</v>
      </c>
      <c r="M118" s="130"/>
      <c r="N118" s="130">
        <f t="shared" si="22"/>
        <v>1148.5</v>
      </c>
    </row>
    <row r="119" spans="1:14" x14ac:dyDescent="0.25">
      <c r="A119" s="108"/>
      <c r="B119" s="17" t="s">
        <v>571</v>
      </c>
      <c r="C119" s="109"/>
      <c r="D119" s="17"/>
      <c r="E119" s="102" t="s">
        <v>584</v>
      </c>
      <c r="F119" s="130">
        <f t="shared" si="22"/>
        <v>1111.9000000000001</v>
      </c>
      <c r="G119" s="130"/>
      <c r="H119" s="130">
        <f t="shared" si="22"/>
        <v>1111.9000000000001</v>
      </c>
      <c r="I119" s="130">
        <f t="shared" si="22"/>
        <v>1148.5</v>
      </c>
      <c r="J119" s="130"/>
      <c r="K119" s="130">
        <f t="shared" si="22"/>
        <v>1148.5</v>
      </c>
      <c r="L119" s="130">
        <f t="shared" si="22"/>
        <v>1148.5</v>
      </c>
      <c r="M119" s="130"/>
      <c r="N119" s="130">
        <f t="shared" si="22"/>
        <v>1148.5</v>
      </c>
    </row>
    <row r="120" spans="1:14" x14ac:dyDescent="0.25">
      <c r="A120" s="108"/>
      <c r="B120" s="17"/>
      <c r="C120" s="103" t="s">
        <v>5</v>
      </c>
      <c r="D120" s="103"/>
      <c r="E120" s="117" t="s">
        <v>6</v>
      </c>
      <c r="F120" s="130">
        <f t="shared" si="22"/>
        <v>1111.9000000000001</v>
      </c>
      <c r="G120" s="130"/>
      <c r="H120" s="130">
        <f t="shared" si="22"/>
        <v>1111.9000000000001</v>
      </c>
      <c r="I120" s="130">
        <f t="shared" si="22"/>
        <v>1148.5</v>
      </c>
      <c r="J120" s="130"/>
      <c r="K120" s="130">
        <f t="shared" si="22"/>
        <v>1148.5</v>
      </c>
      <c r="L120" s="130">
        <f t="shared" si="22"/>
        <v>1148.5</v>
      </c>
      <c r="M120" s="130"/>
      <c r="N120" s="130">
        <f t="shared" si="22"/>
        <v>1148.5</v>
      </c>
    </row>
    <row r="121" spans="1:14" ht="25.5" x14ac:dyDescent="0.25">
      <c r="A121" s="111"/>
      <c r="B121" s="112"/>
      <c r="C121" s="113" t="s">
        <v>7</v>
      </c>
      <c r="D121" s="112"/>
      <c r="E121" s="114" t="s">
        <v>8</v>
      </c>
      <c r="F121" s="115">
        <f t="shared" si="22"/>
        <v>1111.9000000000001</v>
      </c>
      <c r="G121" s="115"/>
      <c r="H121" s="115">
        <f t="shared" si="22"/>
        <v>1111.9000000000001</v>
      </c>
      <c r="I121" s="115">
        <f t="shared" si="22"/>
        <v>1148.5</v>
      </c>
      <c r="J121" s="115"/>
      <c r="K121" s="115">
        <f t="shared" si="22"/>
        <v>1148.5</v>
      </c>
      <c r="L121" s="115">
        <f t="shared" si="22"/>
        <v>1148.5</v>
      </c>
      <c r="M121" s="115"/>
      <c r="N121" s="115">
        <f t="shared" si="22"/>
        <v>1148.5</v>
      </c>
    </row>
    <row r="122" spans="1:14" ht="38.25" x14ac:dyDescent="0.25">
      <c r="A122" s="132"/>
      <c r="B122" s="133"/>
      <c r="C122" s="134" t="s">
        <v>30</v>
      </c>
      <c r="D122" s="133"/>
      <c r="E122" s="135" t="s">
        <v>585</v>
      </c>
      <c r="F122" s="136">
        <f t="shared" si="22"/>
        <v>1111.9000000000001</v>
      </c>
      <c r="G122" s="136"/>
      <c r="H122" s="136">
        <f t="shared" si="22"/>
        <v>1111.9000000000001</v>
      </c>
      <c r="I122" s="136">
        <f t="shared" si="22"/>
        <v>1148.5</v>
      </c>
      <c r="J122" s="136"/>
      <c r="K122" s="136">
        <f t="shared" si="22"/>
        <v>1148.5</v>
      </c>
      <c r="L122" s="136">
        <f t="shared" si="22"/>
        <v>1148.5</v>
      </c>
      <c r="M122" s="136"/>
      <c r="N122" s="136">
        <f t="shared" si="22"/>
        <v>1148.5</v>
      </c>
    </row>
    <row r="123" spans="1:14" ht="25.5" x14ac:dyDescent="0.25">
      <c r="A123" s="137"/>
      <c r="B123" s="120"/>
      <c r="C123" s="119" t="s">
        <v>32</v>
      </c>
      <c r="D123" s="120"/>
      <c r="E123" s="121" t="s">
        <v>586</v>
      </c>
      <c r="F123" s="138">
        <f t="shared" si="22"/>
        <v>1111.9000000000001</v>
      </c>
      <c r="G123" s="138"/>
      <c r="H123" s="138">
        <f t="shared" si="22"/>
        <v>1111.9000000000001</v>
      </c>
      <c r="I123" s="138">
        <f t="shared" si="22"/>
        <v>1148.5</v>
      </c>
      <c r="J123" s="138"/>
      <c r="K123" s="138">
        <f t="shared" si="22"/>
        <v>1148.5</v>
      </c>
      <c r="L123" s="138">
        <f t="shared" si="22"/>
        <v>1148.5</v>
      </c>
      <c r="M123" s="138"/>
      <c r="N123" s="138">
        <f t="shared" si="22"/>
        <v>1148.5</v>
      </c>
    </row>
    <row r="124" spans="1:14" ht="26.25" x14ac:dyDescent="0.25">
      <c r="A124" s="6"/>
      <c r="B124" s="6"/>
      <c r="C124" s="6" t="s">
        <v>48</v>
      </c>
      <c r="D124" s="6"/>
      <c r="E124" s="3" t="s">
        <v>476</v>
      </c>
      <c r="F124" s="79">
        <f>SUM(F125+F126)</f>
        <v>1111.9000000000001</v>
      </c>
      <c r="G124" s="79"/>
      <c r="H124" s="79">
        <f>SUM(H125+H126)</f>
        <v>1111.9000000000001</v>
      </c>
      <c r="I124" s="79">
        <f>SUM(I125+I126)</f>
        <v>1148.5</v>
      </c>
      <c r="J124" s="79"/>
      <c r="K124" s="79">
        <f>SUM(K125+K126)</f>
        <v>1148.5</v>
      </c>
      <c r="L124" s="79">
        <f>SUM(L125+L126)</f>
        <v>1148.5</v>
      </c>
      <c r="M124" s="79"/>
      <c r="N124" s="79">
        <f>SUM(N125+N126)</f>
        <v>1148.5</v>
      </c>
    </row>
    <row r="125" spans="1:14" ht="39" x14ac:dyDescent="0.25">
      <c r="A125" s="6"/>
      <c r="B125" s="6"/>
      <c r="C125" s="6"/>
      <c r="D125" s="6" t="s">
        <v>399</v>
      </c>
      <c r="E125" s="3" t="s">
        <v>400</v>
      </c>
      <c r="F125" s="79">
        <v>1098.5</v>
      </c>
      <c r="G125" s="79"/>
      <c r="H125" s="79">
        <v>1098.5</v>
      </c>
      <c r="I125" s="79">
        <v>1138.5</v>
      </c>
      <c r="J125" s="79"/>
      <c r="K125" s="79">
        <v>1138.5</v>
      </c>
      <c r="L125" s="79">
        <v>1138.5</v>
      </c>
      <c r="M125" s="79"/>
      <c r="N125" s="79">
        <v>1138.5</v>
      </c>
    </row>
    <row r="126" spans="1:14" x14ac:dyDescent="0.25">
      <c r="A126" s="6"/>
      <c r="B126" s="6"/>
      <c r="C126" s="6"/>
      <c r="D126" s="6" t="s">
        <v>281</v>
      </c>
      <c r="E126" s="3" t="s">
        <v>282</v>
      </c>
      <c r="F126" s="79">
        <v>13.4</v>
      </c>
      <c r="G126" s="79"/>
      <c r="H126" s="79">
        <v>13.4</v>
      </c>
      <c r="I126" s="79">
        <v>10</v>
      </c>
      <c r="J126" s="79"/>
      <c r="K126" s="79">
        <v>10</v>
      </c>
      <c r="L126" s="79">
        <v>10</v>
      </c>
      <c r="M126" s="79"/>
      <c r="N126" s="79">
        <v>10</v>
      </c>
    </row>
    <row r="127" spans="1:14" x14ac:dyDescent="0.25">
      <c r="A127" s="108"/>
      <c r="B127" s="17" t="s">
        <v>587</v>
      </c>
      <c r="C127" s="109"/>
      <c r="D127" s="108"/>
      <c r="E127" s="102" t="s">
        <v>588</v>
      </c>
      <c r="F127" s="130">
        <f>F128+F139+F152</f>
        <v>22402.099999999995</v>
      </c>
      <c r="G127" s="130">
        <f>G128+G139+G152</f>
        <v>-50.499999999999986</v>
      </c>
      <c r="H127" s="130">
        <f t="shared" ref="H127:N127" si="23">H128+H139+H152</f>
        <v>22351.599999999999</v>
      </c>
      <c r="I127" s="130">
        <f t="shared" si="23"/>
        <v>25505.1</v>
      </c>
      <c r="J127" s="130"/>
      <c r="K127" s="130">
        <f t="shared" si="23"/>
        <v>25505.1</v>
      </c>
      <c r="L127" s="130">
        <f t="shared" si="23"/>
        <v>20492.999999999996</v>
      </c>
      <c r="M127" s="130"/>
      <c r="N127" s="130">
        <f t="shared" si="23"/>
        <v>20492.999999999996</v>
      </c>
    </row>
    <row r="128" spans="1:14" ht="25.5" x14ac:dyDescent="0.25">
      <c r="A128" s="108"/>
      <c r="B128" s="17" t="s">
        <v>589</v>
      </c>
      <c r="C128" s="109"/>
      <c r="D128" s="17"/>
      <c r="E128" s="129" t="s">
        <v>590</v>
      </c>
      <c r="F128" s="130">
        <f t="shared" ref="F128:N130" si="24">F129</f>
        <v>17905.899999999998</v>
      </c>
      <c r="G128" s="130">
        <f t="shared" si="24"/>
        <v>-20.2</v>
      </c>
      <c r="H128" s="130">
        <f t="shared" si="24"/>
        <v>17885.699999999997</v>
      </c>
      <c r="I128" s="130">
        <f t="shared" si="24"/>
        <v>18496.499999999996</v>
      </c>
      <c r="J128" s="130"/>
      <c r="K128" s="130">
        <f t="shared" si="24"/>
        <v>18496.499999999996</v>
      </c>
      <c r="L128" s="130">
        <f t="shared" si="24"/>
        <v>18496.499999999996</v>
      </c>
      <c r="M128" s="130"/>
      <c r="N128" s="130">
        <f t="shared" si="24"/>
        <v>18496.499999999996</v>
      </c>
    </row>
    <row r="129" spans="1:14" x14ac:dyDescent="0.25">
      <c r="A129" s="108"/>
      <c r="B129" s="17"/>
      <c r="C129" s="109" t="s">
        <v>5</v>
      </c>
      <c r="D129" s="108"/>
      <c r="E129" s="129" t="s">
        <v>6</v>
      </c>
      <c r="F129" s="130">
        <f t="shared" si="24"/>
        <v>17905.899999999998</v>
      </c>
      <c r="G129" s="130">
        <f t="shared" si="24"/>
        <v>-20.2</v>
      </c>
      <c r="H129" s="130">
        <f t="shared" si="24"/>
        <v>17885.699999999997</v>
      </c>
      <c r="I129" s="130">
        <f t="shared" si="24"/>
        <v>18496.499999999996</v>
      </c>
      <c r="J129" s="130"/>
      <c r="K129" s="130">
        <f t="shared" si="24"/>
        <v>18496.499999999996</v>
      </c>
      <c r="L129" s="130">
        <f t="shared" si="24"/>
        <v>18496.499999999996</v>
      </c>
      <c r="M129" s="130"/>
      <c r="N129" s="130">
        <f t="shared" si="24"/>
        <v>18496.499999999996</v>
      </c>
    </row>
    <row r="130" spans="1:14" ht="38.25" x14ac:dyDescent="0.25">
      <c r="A130" s="111"/>
      <c r="B130" s="112"/>
      <c r="C130" s="113" t="s">
        <v>355</v>
      </c>
      <c r="D130" s="112"/>
      <c r="E130" s="114" t="s">
        <v>591</v>
      </c>
      <c r="F130" s="115">
        <f t="shared" si="24"/>
        <v>17905.899999999998</v>
      </c>
      <c r="G130" s="115">
        <f t="shared" si="24"/>
        <v>-20.2</v>
      </c>
      <c r="H130" s="115">
        <f t="shared" si="24"/>
        <v>17885.699999999997</v>
      </c>
      <c r="I130" s="115">
        <f t="shared" si="24"/>
        <v>18496.499999999996</v>
      </c>
      <c r="J130" s="115"/>
      <c r="K130" s="115">
        <f t="shared" si="24"/>
        <v>18496.499999999996</v>
      </c>
      <c r="L130" s="115">
        <f t="shared" si="24"/>
        <v>18496.499999999996</v>
      </c>
      <c r="M130" s="115"/>
      <c r="N130" s="115">
        <f t="shared" si="24"/>
        <v>18496.499999999996</v>
      </c>
    </row>
    <row r="131" spans="1:14" ht="26.25" x14ac:dyDescent="0.25">
      <c r="A131" s="33"/>
      <c r="B131" s="33"/>
      <c r="C131" s="33" t="s">
        <v>357</v>
      </c>
      <c r="D131" s="33"/>
      <c r="E131" s="20" t="s">
        <v>358</v>
      </c>
      <c r="F131" s="71">
        <f>F132+F134+F136</f>
        <v>17905.899999999998</v>
      </c>
      <c r="G131" s="71">
        <f>G132+G134+G136</f>
        <v>-20.2</v>
      </c>
      <c r="H131" s="71">
        <f>H132+H134+H136</f>
        <v>17885.699999999997</v>
      </c>
      <c r="I131" s="71">
        <f>I132+I134+I136</f>
        <v>18496.499999999996</v>
      </c>
      <c r="J131" s="71"/>
      <c r="K131" s="71">
        <f>K132+K134+K136</f>
        <v>18496.499999999996</v>
      </c>
      <c r="L131" s="71">
        <f>L132+L134+L136</f>
        <v>18496.499999999996</v>
      </c>
      <c r="M131" s="71"/>
      <c r="N131" s="71">
        <f>N132+N134+N136</f>
        <v>18496.499999999996</v>
      </c>
    </row>
    <row r="132" spans="1:14" x14ac:dyDescent="0.25">
      <c r="A132" s="6"/>
      <c r="B132" s="6"/>
      <c r="C132" s="6" t="s">
        <v>359</v>
      </c>
      <c r="D132" s="6"/>
      <c r="E132" s="1" t="s">
        <v>360</v>
      </c>
      <c r="F132" s="70">
        <f>SUM(F133)</f>
        <v>24.2</v>
      </c>
      <c r="G132" s="70"/>
      <c r="H132" s="70">
        <f>SUM(H133)</f>
        <v>24.2</v>
      </c>
      <c r="I132" s="70">
        <f>SUM(I133)</f>
        <v>24.2</v>
      </c>
      <c r="J132" s="70"/>
      <c r="K132" s="70">
        <f>SUM(K133)</f>
        <v>24.2</v>
      </c>
      <c r="L132" s="70">
        <f>SUM(L133)</f>
        <v>24.2</v>
      </c>
      <c r="M132" s="70"/>
      <c r="N132" s="70">
        <f>SUM(N133)</f>
        <v>24.2</v>
      </c>
    </row>
    <row r="133" spans="1:14" x14ac:dyDescent="0.25">
      <c r="A133" s="6"/>
      <c r="B133" s="6"/>
      <c r="C133" s="6"/>
      <c r="D133" s="6" t="s">
        <v>281</v>
      </c>
      <c r="E133" s="3" t="s">
        <v>282</v>
      </c>
      <c r="F133" s="70">
        <v>24.2</v>
      </c>
      <c r="G133" s="70"/>
      <c r="H133" s="70">
        <v>24.2</v>
      </c>
      <c r="I133" s="70">
        <v>24.2</v>
      </c>
      <c r="J133" s="70"/>
      <c r="K133" s="70">
        <v>24.2</v>
      </c>
      <c r="L133" s="70">
        <v>24.2</v>
      </c>
      <c r="M133" s="70"/>
      <c r="N133" s="70">
        <v>24.2</v>
      </c>
    </row>
    <row r="134" spans="1:14" ht="39" x14ac:dyDescent="0.25">
      <c r="A134" s="6"/>
      <c r="B134" s="6"/>
      <c r="C134" s="6" t="s">
        <v>361</v>
      </c>
      <c r="D134" s="6"/>
      <c r="E134" s="8" t="s">
        <v>362</v>
      </c>
      <c r="F134" s="70">
        <f>F135</f>
        <v>140.59999999999991</v>
      </c>
      <c r="G134" s="70">
        <f>G135</f>
        <v>-20.2</v>
      </c>
      <c r="H134" s="70">
        <f>H135</f>
        <v>120.39999999999991</v>
      </c>
      <c r="I134" s="70">
        <f>I135</f>
        <v>140.60000000000002</v>
      </c>
      <c r="J134" s="70"/>
      <c r="K134" s="70">
        <f>K135</f>
        <v>140.60000000000002</v>
      </c>
      <c r="L134" s="70">
        <f>L135</f>
        <v>140.60000000000002</v>
      </c>
      <c r="M134" s="70"/>
      <c r="N134" s="70">
        <f>N135</f>
        <v>140.60000000000002</v>
      </c>
    </row>
    <row r="135" spans="1:14" x14ac:dyDescent="0.25">
      <c r="A135" s="6"/>
      <c r="B135" s="6"/>
      <c r="C135" s="6"/>
      <c r="D135" s="6" t="s">
        <v>281</v>
      </c>
      <c r="E135" s="3" t="s">
        <v>282</v>
      </c>
      <c r="F135" s="70">
        <f>815.3-674.7</f>
        <v>140.59999999999991</v>
      </c>
      <c r="G135" s="70">
        <v>-20.2</v>
      </c>
      <c r="H135" s="70">
        <f>815.3-674.7-20.2</f>
        <v>120.39999999999991</v>
      </c>
      <c r="I135" s="70">
        <f>847.9-707.3</f>
        <v>140.60000000000002</v>
      </c>
      <c r="J135" s="70"/>
      <c r="K135" s="70">
        <f>847.9-707.3</f>
        <v>140.60000000000002</v>
      </c>
      <c r="L135" s="70">
        <f>881.9-741.3</f>
        <v>140.60000000000002</v>
      </c>
      <c r="M135" s="70"/>
      <c r="N135" s="70">
        <f>881.9-741.3</f>
        <v>140.60000000000002</v>
      </c>
    </row>
    <row r="136" spans="1:14" x14ac:dyDescent="0.25">
      <c r="A136" s="6"/>
      <c r="B136" s="6"/>
      <c r="C136" s="6" t="s">
        <v>363</v>
      </c>
      <c r="D136" s="6"/>
      <c r="E136" s="57" t="s">
        <v>483</v>
      </c>
      <c r="F136" s="70">
        <f>F137+F138</f>
        <v>17741.099999999999</v>
      </c>
      <c r="G136" s="70"/>
      <c r="H136" s="70">
        <f>H137+H138</f>
        <v>17741.099999999999</v>
      </c>
      <c r="I136" s="70">
        <f>I137+I138</f>
        <v>18331.699999999997</v>
      </c>
      <c r="J136" s="70"/>
      <c r="K136" s="70">
        <f>K137+K138</f>
        <v>18331.699999999997</v>
      </c>
      <c r="L136" s="70">
        <f>L137+L138</f>
        <v>18331.699999999997</v>
      </c>
      <c r="M136" s="70"/>
      <c r="N136" s="70">
        <f>N137+N138</f>
        <v>18331.699999999997</v>
      </c>
    </row>
    <row r="137" spans="1:14" ht="39" x14ac:dyDescent="0.25">
      <c r="A137" s="6"/>
      <c r="B137" s="6"/>
      <c r="C137" s="6"/>
      <c r="D137" s="6" t="s">
        <v>399</v>
      </c>
      <c r="E137" s="3" t="s">
        <v>400</v>
      </c>
      <c r="F137" s="79">
        <v>16220.5</v>
      </c>
      <c r="G137" s="79"/>
      <c r="H137" s="79">
        <v>16220.5</v>
      </c>
      <c r="I137" s="79">
        <v>16811.099999999999</v>
      </c>
      <c r="J137" s="79"/>
      <c r="K137" s="79">
        <v>16811.099999999999</v>
      </c>
      <c r="L137" s="79">
        <v>16811.099999999999</v>
      </c>
      <c r="M137" s="79"/>
      <c r="N137" s="79">
        <v>16811.099999999999</v>
      </c>
    </row>
    <row r="138" spans="1:14" x14ac:dyDescent="0.25">
      <c r="A138" s="6"/>
      <c r="B138" s="6"/>
      <c r="C138" s="6"/>
      <c r="D138" s="6" t="s">
        <v>281</v>
      </c>
      <c r="E138" s="3" t="s">
        <v>282</v>
      </c>
      <c r="F138" s="70">
        <v>1520.6</v>
      </c>
      <c r="G138" s="70"/>
      <c r="H138" s="70">
        <v>1520.6</v>
      </c>
      <c r="I138" s="70">
        <v>1520.6</v>
      </c>
      <c r="J138" s="70"/>
      <c r="K138" s="70">
        <v>1520.6</v>
      </c>
      <c r="L138" s="70">
        <v>1520.6</v>
      </c>
      <c r="M138" s="70"/>
      <c r="N138" s="70">
        <v>1520.6</v>
      </c>
    </row>
    <row r="139" spans="1:14" x14ac:dyDescent="0.25">
      <c r="A139" s="6"/>
      <c r="B139" s="17" t="s">
        <v>592</v>
      </c>
      <c r="C139" s="109"/>
      <c r="D139" s="17"/>
      <c r="E139" s="102" t="s">
        <v>593</v>
      </c>
      <c r="F139" s="74">
        <f t="shared" ref="F139:H141" si="25">F140</f>
        <v>3394.8999999999996</v>
      </c>
      <c r="G139" s="74">
        <f t="shared" si="25"/>
        <v>-3.4</v>
      </c>
      <c r="H139" s="74">
        <f t="shared" si="25"/>
        <v>3391.4999999999995</v>
      </c>
      <c r="I139" s="74">
        <f t="shared" ref="I139:N141" si="26">I140</f>
        <v>5957.7000000000007</v>
      </c>
      <c r="J139" s="74"/>
      <c r="K139" s="74">
        <f t="shared" si="26"/>
        <v>5957.7000000000007</v>
      </c>
      <c r="L139" s="74">
        <f t="shared" si="26"/>
        <v>1090.8000000000002</v>
      </c>
      <c r="M139" s="74"/>
      <c r="N139" s="74">
        <f t="shared" si="26"/>
        <v>1090.8000000000002</v>
      </c>
    </row>
    <row r="140" spans="1:14" x14ac:dyDescent="0.25">
      <c r="A140" s="6"/>
      <c r="B140" s="16"/>
      <c r="C140" s="109" t="s">
        <v>5</v>
      </c>
      <c r="D140" s="108"/>
      <c r="E140" s="129" t="s">
        <v>594</v>
      </c>
      <c r="F140" s="74">
        <f t="shared" si="25"/>
        <v>3394.8999999999996</v>
      </c>
      <c r="G140" s="74">
        <f t="shared" si="25"/>
        <v>-3.4</v>
      </c>
      <c r="H140" s="74">
        <f t="shared" si="25"/>
        <v>3391.4999999999995</v>
      </c>
      <c r="I140" s="74">
        <f t="shared" si="26"/>
        <v>5957.7000000000007</v>
      </c>
      <c r="J140" s="74"/>
      <c r="K140" s="74">
        <f t="shared" si="26"/>
        <v>5957.7000000000007</v>
      </c>
      <c r="L140" s="74">
        <f t="shared" si="26"/>
        <v>1090.8000000000002</v>
      </c>
      <c r="M140" s="74"/>
      <c r="N140" s="74">
        <f t="shared" si="26"/>
        <v>1090.8000000000002</v>
      </c>
    </row>
    <row r="141" spans="1:14" ht="38.25" x14ac:dyDescent="0.25">
      <c r="A141" s="112"/>
      <c r="B141" s="112"/>
      <c r="C141" s="113" t="s">
        <v>355</v>
      </c>
      <c r="D141" s="112"/>
      <c r="E141" s="114" t="s">
        <v>356</v>
      </c>
      <c r="F141" s="115">
        <f t="shared" si="25"/>
        <v>3394.8999999999996</v>
      </c>
      <c r="G141" s="115">
        <f t="shared" si="25"/>
        <v>-3.4</v>
      </c>
      <c r="H141" s="115">
        <f t="shared" si="25"/>
        <v>3391.4999999999995</v>
      </c>
      <c r="I141" s="115">
        <f t="shared" si="26"/>
        <v>5957.7000000000007</v>
      </c>
      <c r="J141" s="115"/>
      <c r="K141" s="115">
        <f t="shared" si="26"/>
        <v>5957.7000000000007</v>
      </c>
      <c r="L141" s="115">
        <f t="shared" si="26"/>
        <v>1090.8000000000002</v>
      </c>
      <c r="M141" s="115"/>
      <c r="N141" s="115">
        <f t="shared" si="26"/>
        <v>1090.8000000000002</v>
      </c>
    </row>
    <row r="142" spans="1:14" ht="26.25" x14ac:dyDescent="0.25">
      <c r="A142" s="33"/>
      <c r="B142" s="33"/>
      <c r="C142" s="33" t="s">
        <v>364</v>
      </c>
      <c r="D142" s="33"/>
      <c r="E142" s="20" t="s">
        <v>365</v>
      </c>
      <c r="F142" s="71">
        <f>F143+F145+F150+F148</f>
        <v>3394.8999999999996</v>
      </c>
      <c r="G142" s="71">
        <f>G143+G145+G150+G148</f>
        <v>-3.4</v>
      </c>
      <c r="H142" s="71">
        <f>H143+H145+H150+H148</f>
        <v>3391.4999999999995</v>
      </c>
      <c r="I142" s="71">
        <f>I143+I145+I150+I148</f>
        <v>5957.7000000000007</v>
      </c>
      <c r="J142" s="71"/>
      <c r="K142" s="71">
        <f>K143+K145+K150+K148</f>
        <v>5957.7000000000007</v>
      </c>
      <c r="L142" s="71">
        <f>L143+L145+L150+L148</f>
        <v>1090.8000000000002</v>
      </c>
      <c r="M142" s="71"/>
      <c r="N142" s="71">
        <f>N143+N145+N150+N148</f>
        <v>1090.8000000000002</v>
      </c>
    </row>
    <row r="143" spans="1:14" x14ac:dyDescent="0.25">
      <c r="A143" s="6"/>
      <c r="B143" s="6"/>
      <c r="C143" s="6" t="s">
        <v>366</v>
      </c>
      <c r="D143" s="6"/>
      <c r="E143" s="53" t="s">
        <v>690</v>
      </c>
      <c r="F143" s="70">
        <f>F144</f>
        <v>110.29999999999973</v>
      </c>
      <c r="G143" s="70"/>
      <c r="H143" s="70">
        <f>H144</f>
        <v>110.29999999999973</v>
      </c>
      <c r="I143" s="70">
        <f>I144</f>
        <v>2602.6999999999998</v>
      </c>
      <c r="J143" s="70"/>
      <c r="K143" s="70">
        <f>K144</f>
        <v>2602.6999999999998</v>
      </c>
      <c r="L143" s="70">
        <f>L144</f>
        <v>110.30000000000018</v>
      </c>
      <c r="M143" s="70"/>
      <c r="N143" s="70">
        <f>N144</f>
        <v>110.30000000000018</v>
      </c>
    </row>
    <row r="144" spans="1:14" x14ac:dyDescent="0.25">
      <c r="A144" s="6"/>
      <c r="B144" s="6"/>
      <c r="C144" s="6"/>
      <c r="D144" s="6" t="s">
        <v>281</v>
      </c>
      <c r="E144" s="3" t="s">
        <v>282</v>
      </c>
      <c r="F144" s="70">
        <f>4060.2-3949.9</f>
        <v>110.29999999999973</v>
      </c>
      <c r="G144" s="70"/>
      <c r="H144" s="70">
        <f>4060.2-3949.9</f>
        <v>110.29999999999973</v>
      </c>
      <c r="I144" s="70">
        <f>2607.1-4.4</f>
        <v>2602.6999999999998</v>
      </c>
      <c r="J144" s="70"/>
      <c r="K144" s="70">
        <f>2607.1-4.4</f>
        <v>2602.6999999999998</v>
      </c>
      <c r="L144" s="70">
        <f>2614.4-2504.1</f>
        <v>110.30000000000018</v>
      </c>
      <c r="M144" s="70"/>
      <c r="N144" s="70">
        <f>2614.4-2504.1</f>
        <v>110.30000000000018</v>
      </c>
    </row>
    <row r="145" spans="1:14" ht="26.25" x14ac:dyDescent="0.25">
      <c r="A145" s="6"/>
      <c r="B145" s="6"/>
      <c r="C145" s="6" t="s">
        <v>367</v>
      </c>
      <c r="D145" s="6"/>
      <c r="E145" s="54" t="s">
        <v>796</v>
      </c>
      <c r="F145" s="70">
        <f>F146+F147</f>
        <v>981.49999999999977</v>
      </c>
      <c r="G145" s="70"/>
      <c r="H145" s="70">
        <f>H146+H147</f>
        <v>981.49999999999977</v>
      </c>
      <c r="I145" s="70">
        <f>I146+I147</f>
        <v>980.50000000000023</v>
      </c>
      <c r="J145" s="70"/>
      <c r="K145" s="70">
        <f>K146+K147</f>
        <v>980.50000000000023</v>
      </c>
      <c r="L145" s="70">
        <f>L146+L147</f>
        <v>980.5</v>
      </c>
      <c r="M145" s="70"/>
      <c r="N145" s="70">
        <f>N146+N147</f>
        <v>980.5</v>
      </c>
    </row>
    <row r="146" spans="1:14" x14ac:dyDescent="0.25">
      <c r="A146" s="6"/>
      <c r="B146" s="6"/>
      <c r="C146" s="6"/>
      <c r="D146" s="6" t="s">
        <v>281</v>
      </c>
      <c r="E146" s="3" t="s">
        <v>282</v>
      </c>
      <c r="F146" s="70">
        <f>2792.1-1844.9</f>
        <v>947.19999999999982</v>
      </c>
      <c r="G146" s="70"/>
      <c r="H146" s="70">
        <f>2792.1-1844.9</f>
        <v>947.19999999999982</v>
      </c>
      <c r="I146" s="70">
        <f>2735.8-1789.6</f>
        <v>946.20000000000027</v>
      </c>
      <c r="J146" s="70"/>
      <c r="K146" s="70">
        <f>2735.8-1789.6</f>
        <v>946.20000000000027</v>
      </c>
      <c r="L146" s="70">
        <f>1545.2-599</f>
        <v>946.2</v>
      </c>
      <c r="M146" s="70"/>
      <c r="N146" s="70">
        <f>1545.2-599</f>
        <v>946.2</v>
      </c>
    </row>
    <row r="147" spans="1:14" ht="26.25" x14ac:dyDescent="0.25">
      <c r="A147" s="6"/>
      <c r="B147" s="6"/>
      <c r="C147" s="6"/>
      <c r="D147" s="6" t="s">
        <v>471</v>
      </c>
      <c r="E147" s="3" t="s">
        <v>472</v>
      </c>
      <c r="F147" s="70">
        <v>34.299999999999997</v>
      </c>
      <c r="G147" s="70"/>
      <c r="H147" s="70">
        <v>34.299999999999997</v>
      </c>
      <c r="I147" s="70">
        <v>34.299999999999997</v>
      </c>
      <c r="J147" s="70"/>
      <c r="K147" s="70">
        <v>34.299999999999997</v>
      </c>
      <c r="L147" s="70">
        <v>34.299999999999997</v>
      </c>
      <c r="M147" s="70"/>
      <c r="N147" s="70">
        <v>34.299999999999997</v>
      </c>
    </row>
    <row r="148" spans="1:14" ht="26.25" x14ac:dyDescent="0.25">
      <c r="A148" s="6"/>
      <c r="B148" s="6"/>
      <c r="C148" s="6" t="s">
        <v>368</v>
      </c>
      <c r="D148" s="6"/>
      <c r="E148" s="3" t="s">
        <v>369</v>
      </c>
      <c r="F148" s="70">
        <f>F149</f>
        <v>1785</v>
      </c>
      <c r="G148" s="70">
        <f>G149</f>
        <v>-3.4</v>
      </c>
      <c r="H148" s="70">
        <f>H149</f>
        <v>1781.6</v>
      </c>
      <c r="I148" s="70">
        <f>I149</f>
        <v>1856.4</v>
      </c>
      <c r="J148" s="70"/>
      <c r="K148" s="70">
        <f>K149</f>
        <v>1856.4</v>
      </c>
      <c r="L148" s="70">
        <f>L149</f>
        <v>0</v>
      </c>
      <c r="M148" s="70"/>
      <c r="N148" s="70">
        <f>N149</f>
        <v>0</v>
      </c>
    </row>
    <row r="149" spans="1:14" x14ac:dyDescent="0.25">
      <c r="A149" s="6"/>
      <c r="B149" s="6"/>
      <c r="C149" s="6"/>
      <c r="D149" s="6" t="s">
        <v>281</v>
      </c>
      <c r="E149" s="3" t="s">
        <v>282</v>
      </c>
      <c r="F149" s="70">
        <v>1785</v>
      </c>
      <c r="G149" s="70">
        <v>-3.4</v>
      </c>
      <c r="H149" s="70">
        <f>1785-3.4</f>
        <v>1781.6</v>
      </c>
      <c r="I149" s="70">
        <v>1856.4</v>
      </c>
      <c r="J149" s="70"/>
      <c r="K149" s="70">
        <v>1856.4</v>
      </c>
      <c r="L149" s="70">
        <v>0</v>
      </c>
      <c r="M149" s="70"/>
      <c r="N149" s="70">
        <v>0</v>
      </c>
    </row>
    <row r="150" spans="1:14" ht="26.25" x14ac:dyDescent="0.25">
      <c r="A150" s="6"/>
      <c r="B150" s="6"/>
      <c r="C150" s="6" t="s">
        <v>370</v>
      </c>
      <c r="D150" s="6"/>
      <c r="E150" s="67" t="s">
        <v>468</v>
      </c>
      <c r="F150" s="70">
        <f>SUM(F151)</f>
        <v>518.1</v>
      </c>
      <c r="G150" s="70"/>
      <c r="H150" s="70">
        <f>SUM(H151)</f>
        <v>518.1</v>
      </c>
      <c r="I150" s="70">
        <f>SUM(I151)</f>
        <v>518.1</v>
      </c>
      <c r="J150" s="70"/>
      <c r="K150" s="70">
        <f>SUM(K151)</f>
        <v>518.1</v>
      </c>
      <c r="L150" s="70">
        <f>SUM(L151)</f>
        <v>0</v>
      </c>
      <c r="M150" s="70"/>
      <c r="N150" s="70">
        <f>SUM(N151)</f>
        <v>0</v>
      </c>
    </row>
    <row r="151" spans="1:14" x14ac:dyDescent="0.25">
      <c r="A151" s="6"/>
      <c r="B151" s="6"/>
      <c r="C151" s="6"/>
      <c r="D151" s="6" t="s">
        <v>281</v>
      </c>
      <c r="E151" s="3" t="s">
        <v>282</v>
      </c>
      <c r="F151" s="70">
        <v>518.1</v>
      </c>
      <c r="G151" s="70"/>
      <c r="H151" s="70">
        <v>518.1</v>
      </c>
      <c r="I151" s="70">
        <v>518.1</v>
      </c>
      <c r="J151" s="70"/>
      <c r="K151" s="70">
        <v>518.1</v>
      </c>
      <c r="L151" s="70">
        <v>0</v>
      </c>
      <c r="M151" s="70"/>
      <c r="N151" s="70">
        <v>0</v>
      </c>
    </row>
    <row r="152" spans="1:14" ht="25.5" x14ac:dyDescent="0.25">
      <c r="A152" s="6"/>
      <c r="B152" s="17" t="s">
        <v>595</v>
      </c>
      <c r="C152" s="109"/>
      <c r="D152" s="17"/>
      <c r="E152" s="129" t="s">
        <v>596</v>
      </c>
      <c r="F152" s="74">
        <f>F153</f>
        <v>1101.3</v>
      </c>
      <c r="G152" s="74">
        <f>G153</f>
        <v>-26.899999999999991</v>
      </c>
      <c r="H152" s="74">
        <f t="shared" ref="H152:N152" si="27">H153</f>
        <v>1074.3999999999999</v>
      </c>
      <c r="I152" s="74">
        <f t="shared" si="27"/>
        <v>1050.9000000000001</v>
      </c>
      <c r="J152" s="74"/>
      <c r="K152" s="74">
        <f t="shared" si="27"/>
        <v>1050.9000000000001</v>
      </c>
      <c r="L152" s="74">
        <f t="shared" si="27"/>
        <v>905.7</v>
      </c>
      <c r="M152" s="74"/>
      <c r="N152" s="74">
        <f t="shared" si="27"/>
        <v>905.7</v>
      </c>
    </row>
    <row r="153" spans="1:14" x14ac:dyDescent="0.25">
      <c r="A153" s="6"/>
      <c r="B153" s="17"/>
      <c r="C153" s="109" t="s">
        <v>5</v>
      </c>
      <c r="D153" s="108"/>
      <c r="E153" s="129" t="s">
        <v>6</v>
      </c>
      <c r="F153" s="74">
        <f>F154+F172</f>
        <v>1101.3</v>
      </c>
      <c r="G153" s="74">
        <f>G154+G172</f>
        <v>-26.899999999999991</v>
      </c>
      <c r="H153" s="74">
        <f t="shared" ref="H153:N153" si="28">H154+H172</f>
        <v>1074.3999999999999</v>
      </c>
      <c r="I153" s="74">
        <f t="shared" si="28"/>
        <v>1050.9000000000001</v>
      </c>
      <c r="J153" s="74"/>
      <c r="K153" s="74">
        <f t="shared" si="28"/>
        <v>1050.9000000000001</v>
      </c>
      <c r="L153" s="74">
        <f t="shared" si="28"/>
        <v>905.7</v>
      </c>
      <c r="M153" s="74"/>
      <c r="N153" s="74">
        <f t="shared" si="28"/>
        <v>905.7</v>
      </c>
    </row>
    <row r="154" spans="1:14" ht="25.5" x14ac:dyDescent="0.25">
      <c r="A154" s="112"/>
      <c r="B154" s="112"/>
      <c r="C154" s="113" t="s">
        <v>267</v>
      </c>
      <c r="D154" s="112"/>
      <c r="E154" s="114" t="s">
        <v>268</v>
      </c>
      <c r="F154" s="115">
        <f>F155+F161</f>
        <v>956.09999999999991</v>
      </c>
      <c r="G154" s="115">
        <f>G155+G161</f>
        <v>-50.499999999999993</v>
      </c>
      <c r="H154" s="115">
        <f t="shared" ref="H154:N154" si="29">H155+H161</f>
        <v>905.59999999999991</v>
      </c>
      <c r="I154" s="115">
        <f t="shared" si="29"/>
        <v>905.7</v>
      </c>
      <c r="J154" s="115"/>
      <c r="K154" s="115">
        <f t="shared" si="29"/>
        <v>905.7</v>
      </c>
      <c r="L154" s="115">
        <f t="shared" si="29"/>
        <v>905.7</v>
      </c>
      <c r="M154" s="115"/>
      <c r="N154" s="115">
        <f t="shared" si="29"/>
        <v>905.7</v>
      </c>
    </row>
    <row r="155" spans="1:14" ht="26.25" x14ac:dyDescent="0.25">
      <c r="A155" s="31"/>
      <c r="B155" s="31"/>
      <c r="C155" s="31" t="s">
        <v>269</v>
      </c>
      <c r="D155" s="31"/>
      <c r="E155" s="32" t="s">
        <v>270</v>
      </c>
      <c r="F155" s="75">
        <f>F156</f>
        <v>562</v>
      </c>
      <c r="G155" s="75">
        <f>G156</f>
        <v>-87.6</v>
      </c>
      <c r="H155" s="75">
        <f>H156</f>
        <v>474.4</v>
      </c>
      <c r="I155" s="75">
        <f>I156</f>
        <v>562</v>
      </c>
      <c r="J155" s="75"/>
      <c r="K155" s="75">
        <f>K156</f>
        <v>562</v>
      </c>
      <c r="L155" s="75">
        <f>L156</f>
        <v>562</v>
      </c>
      <c r="M155" s="75"/>
      <c r="N155" s="75">
        <f>N156</f>
        <v>562</v>
      </c>
    </row>
    <row r="156" spans="1:14" ht="26.25" x14ac:dyDescent="0.25">
      <c r="A156" s="33"/>
      <c r="B156" s="33"/>
      <c r="C156" s="33" t="s">
        <v>271</v>
      </c>
      <c r="D156" s="36"/>
      <c r="E156" s="34" t="s">
        <v>272</v>
      </c>
      <c r="F156" s="71">
        <f>F157+F159</f>
        <v>562</v>
      </c>
      <c r="G156" s="71">
        <f>G157+G159</f>
        <v>-87.6</v>
      </c>
      <c r="H156" s="71">
        <f>H157+H159</f>
        <v>474.4</v>
      </c>
      <c r="I156" s="71">
        <f>I157+I159</f>
        <v>562</v>
      </c>
      <c r="J156" s="71"/>
      <c r="K156" s="71">
        <f>K157+K159</f>
        <v>562</v>
      </c>
      <c r="L156" s="71">
        <f>L157+L159</f>
        <v>562</v>
      </c>
      <c r="M156" s="71"/>
      <c r="N156" s="71">
        <f>N157+N159</f>
        <v>562</v>
      </c>
    </row>
    <row r="157" spans="1:14" ht="39" x14ac:dyDescent="0.25">
      <c r="A157" s="6"/>
      <c r="B157" s="6"/>
      <c r="C157" s="6" t="s">
        <v>273</v>
      </c>
      <c r="D157" s="6"/>
      <c r="E157" s="3" t="s">
        <v>274</v>
      </c>
      <c r="F157" s="70">
        <f>F158</f>
        <v>10</v>
      </c>
      <c r="G157" s="70">
        <f>G158</f>
        <v>-6.5</v>
      </c>
      <c r="H157" s="70">
        <f>H158</f>
        <v>3.5</v>
      </c>
      <c r="I157" s="70">
        <f t="shared" ref="I157:N157" si="30">I158</f>
        <v>10</v>
      </c>
      <c r="J157" s="70"/>
      <c r="K157" s="70">
        <f t="shared" si="30"/>
        <v>10</v>
      </c>
      <c r="L157" s="70">
        <f t="shared" si="30"/>
        <v>10</v>
      </c>
      <c r="M157" s="70"/>
      <c r="N157" s="70">
        <f t="shared" si="30"/>
        <v>10</v>
      </c>
    </row>
    <row r="158" spans="1:14" x14ac:dyDescent="0.25">
      <c r="A158" s="6"/>
      <c r="B158" s="6"/>
      <c r="C158" s="6"/>
      <c r="D158" s="6" t="s">
        <v>281</v>
      </c>
      <c r="E158" s="3" t="s">
        <v>282</v>
      </c>
      <c r="F158" s="70">
        <v>10</v>
      </c>
      <c r="G158" s="70">
        <v>-6.5</v>
      </c>
      <c r="H158" s="70">
        <f>F158+G158</f>
        <v>3.5</v>
      </c>
      <c r="I158" s="70">
        <v>10</v>
      </c>
      <c r="J158" s="70"/>
      <c r="K158" s="70">
        <v>10</v>
      </c>
      <c r="L158" s="70">
        <v>10</v>
      </c>
      <c r="M158" s="70"/>
      <c r="N158" s="70">
        <v>10</v>
      </c>
    </row>
    <row r="159" spans="1:14" ht="39" x14ac:dyDescent="0.25">
      <c r="A159" s="6"/>
      <c r="B159" s="6"/>
      <c r="C159" s="6" t="s">
        <v>275</v>
      </c>
      <c r="D159" s="6"/>
      <c r="E159" s="3" t="s">
        <v>276</v>
      </c>
      <c r="F159" s="70">
        <f>F160</f>
        <v>552</v>
      </c>
      <c r="G159" s="70">
        <f>G160</f>
        <v>-81.099999999999994</v>
      </c>
      <c r="H159" s="70">
        <f>H160</f>
        <v>470.9</v>
      </c>
      <c r="I159" s="70">
        <f t="shared" ref="I159:N159" si="31">I160</f>
        <v>552</v>
      </c>
      <c r="J159" s="70"/>
      <c r="K159" s="70">
        <f t="shared" si="31"/>
        <v>552</v>
      </c>
      <c r="L159" s="70">
        <f t="shared" si="31"/>
        <v>552</v>
      </c>
      <c r="M159" s="70"/>
      <c r="N159" s="70">
        <f t="shared" si="31"/>
        <v>552</v>
      </c>
    </row>
    <row r="160" spans="1:14" x14ac:dyDescent="0.25">
      <c r="A160" s="6"/>
      <c r="B160" s="6"/>
      <c r="C160" s="6"/>
      <c r="D160" s="6" t="s">
        <v>281</v>
      </c>
      <c r="E160" s="3" t="s">
        <v>282</v>
      </c>
      <c r="F160" s="70">
        <v>552</v>
      </c>
      <c r="G160" s="70">
        <v>-81.099999999999994</v>
      </c>
      <c r="H160" s="70">
        <f>F160+G160</f>
        <v>470.9</v>
      </c>
      <c r="I160" s="70">
        <v>552</v>
      </c>
      <c r="J160" s="70"/>
      <c r="K160" s="70">
        <v>552</v>
      </c>
      <c r="L160" s="70">
        <v>552</v>
      </c>
      <c r="M160" s="70"/>
      <c r="N160" s="70">
        <v>552</v>
      </c>
    </row>
    <row r="161" spans="1:14" ht="26.25" x14ac:dyDescent="0.25">
      <c r="A161" s="31"/>
      <c r="B161" s="31"/>
      <c r="C161" s="31" t="s">
        <v>277</v>
      </c>
      <c r="D161" s="31"/>
      <c r="E161" s="32" t="s">
        <v>278</v>
      </c>
      <c r="F161" s="75">
        <f>F162</f>
        <v>394.09999999999997</v>
      </c>
      <c r="G161" s="75">
        <f>G162</f>
        <v>37.1</v>
      </c>
      <c r="H161" s="75">
        <f t="shared" ref="H161:N161" si="32">H162</f>
        <v>431.2</v>
      </c>
      <c r="I161" s="75">
        <f t="shared" si="32"/>
        <v>343.7</v>
      </c>
      <c r="J161" s="75">
        <f t="shared" si="32"/>
        <v>0</v>
      </c>
      <c r="K161" s="75">
        <f t="shared" si="32"/>
        <v>343.7</v>
      </c>
      <c r="L161" s="75">
        <f t="shared" si="32"/>
        <v>343.7</v>
      </c>
      <c r="M161" s="75"/>
      <c r="N161" s="75">
        <f t="shared" si="32"/>
        <v>343.7</v>
      </c>
    </row>
    <row r="162" spans="1:14" ht="26.25" x14ac:dyDescent="0.25">
      <c r="A162" s="33"/>
      <c r="B162" s="33"/>
      <c r="C162" s="33" t="s">
        <v>445</v>
      </c>
      <c r="D162" s="36"/>
      <c r="E162" s="34" t="s">
        <v>279</v>
      </c>
      <c r="F162" s="71">
        <f>F163+F170+F167</f>
        <v>394.09999999999997</v>
      </c>
      <c r="G162" s="71">
        <f>G163+G170+G167</f>
        <v>37.1</v>
      </c>
      <c r="H162" s="71">
        <f t="shared" ref="H162:N162" si="33">H163+H170+H167</f>
        <v>431.2</v>
      </c>
      <c r="I162" s="71">
        <f t="shared" si="33"/>
        <v>343.7</v>
      </c>
      <c r="J162" s="71">
        <f t="shared" si="33"/>
        <v>0</v>
      </c>
      <c r="K162" s="71">
        <f t="shared" si="33"/>
        <v>343.7</v>
      </c>
      <c r="L162" s="71">
        <f t="shared" si="33"/>
        <v>343.7</v>
      </c>
      <c r="M162" s="71"/>
      <c r="N162" s="71">
        <f t="shared" si="33"/>
        <v>343.7</v>
      </c>
    </row>
    <row r="163" spans="1:14" ht="26.25" x14ac:dyDescent="0.25">
      <c r="A163" s="98"/>
      <c r="B163" s="98"/>
      <c r="C163" s="6" t="s">
        <v>444</v>
      </c>
      <c r="D163" s="6"/>
      <c r="E163" s="45" t="s">
        <v>280</v>
      </c>
      <c r="F163" s="70">
        <f>F166+F165</f>
        <v>342.9</v>
      </c>
      <c r="G163" s="70"/>
      <c r="H163" s="70">
        <f>H166+H165</f>
        <v>342.9</v>
      </c>
      <c r="I163" s="70">
        <f>I166+I165</f>
        <v>292.5</v>
      </c>
      <c r="J163" s="70"/>
      <c r="K163" s="70">
        <f>K166+K165</f>
        <v>292.5</v>
      </c>
      <c r="L163" s="70">
        <f>L166+L165</f>
        <v>292.5</v>
      </c>
      <c r="M163" s="70"/>
      <c r="N163" s="70">
        <f>N166+N165</f>
        <v>292.5</v>
      </c>
    </row>
    <row r="164" spans="1:14" x14ac:dyDescent="0.25">
      <c r="A164" s="98"/>
      <c r="B164" s="98"/>
      <c r="C164" s="6"/>
      <c r="D164" s="6" t="s">
        <v>281</v>
      </c>
      <c r="E164" s="3" t="s">
        <v>282</v>
      </c>
      <c r="F164" s="70">
        <f>SUM(F165:F166)</f>
        <v>342.9</v>
      </c>
      <c r="G164" s="70"/>
      <c r="H164" s="70">
        <f>SUM(H165:H166)</f>
        <v>342.9</v>
      </c>
      <c r="I164" s="70">
        <v>290</v>
      </c>
      <c r="J164" s="70"/>
      <c r="K164" s="70">
        <v>290</v>
      </c>
      <c r="L164" s="70">
        <v>290</v>
      </c>
      <c r="M164" s="70"/>
      <c r="N164" s="70">
        <v>290</v>
      </c>
    </row>
    <row r="165" spans="1:14" x14ac:dyDescent="0.25">
      <c r="A165" s="98"/>
      <c r="B165" s="98"/>
      <c r="C165" s="6"/>
      <c r="D165" s="6"/>
      <c r="E165" s="3" t="s">
        <v>153</v>
      </c>
      <c r="F165" s="70">
        <v>114.1</v>
      </c>
      <c r="G165" s="70"/>
      <c r="H165" s="70">
        <v>114.1</v>
      </c>
      <c r="I165" s="70">
        <v>114.1</v>
      </c>
      <c r="J165" s="70"/>
      <c r="K165" s="70">
        <v>114.1</v>
      </c>
      <c r="L165" s="70">
        <v>114.1</v>
      </c>
      <c r="M165" s="70"/>
      <c r="N165" s="70">
        <v>114.1</v>
      </c>
    </row>
    <row r="166" spans="1:14" x14ac:dyDescent="0.25">
      <c r="A166" s="98"/>
      <c r="B166" s="98"/>
      <c r="C166" s="6"/>
      <c r="D166" s="6"/>
      <c r="E166" s="3" t="s">
        <v>105</v>
      </c>
      <c r="F166" s="70">
        <v>228.8</v>
      </c>
      <c r="G166" s="70"/>
      <c r="H166" s="70">
        <v>228.8</v>
      </c>
      <c r="I166" s="70">
        <v>178.4</v>
      </c>
      <c r="J166" s="70"/>
      <c r="K166" s="70">
        <v>178.4</v>
      </c>
      <c r="L166" s="70">
        <v>178.4</v>
      </c>
      <c r="M166" s="70"/>
      <c r="N166" s="70">
        <v>178.4</v>
      </c>
    </row>
    <row r="167" spans="1:14" ht="39" x14ac:dyDescent="0.25">
      <c r="A167" s="98"/>
      <c r="B167" s="98"/>
      <c r="C167" s="6" t="s">
        <v>446</v>
      </c>
      <c r="D167" s="6"/>
      <c r="E167" s="3" t="s">
        <v>479</v>
      </c>
      <c r="F167" s="80">
        <f>F168+F169</f>
        <v>31.2</v>
      </c>
      <c r="G167" s="80">
        <f>G168</f>
        <v>37.1</v>
      </c>
      <c r="H167" s="80">
        <f>H168+H169</f>
        <v>68.3</v>
      </c>
      <c r="I167" s="80">
        <f>I168+I169</f>
        <v>31.2</v>
      </c>
      <c r="J167" s="80"/>
      <c r="K167" s="80">
        <f>K168+K169</f>
        <v>31.2</v>
      </c>
      <c r="L167" s="80">
        <f>L168+L169</f>
        <v>31.2</v>
      </c>
      <c r="M167" s="80"/>
      <c r="N167" s="80">
        <f>N168+N169</f>
        <v>31.2</v>
      </c>
    </row>
    <row r="168" spans="1:14" x14ac:dyDescent="0.25">
      <c r="A168" s="98"/>
      <c r="B168" s="98"/>
      <c r="C168" s="6"/>
      <c r="D168" s="6" t="s">
        <v>281</v>
      </c>
      <c r="E168" s="3" t="s">
        <v>282</v>
      </c>
      <c r="F168" s="80">
        <v>27.4</v>
      </c>
      <c r="G168" s="80">
        <v>37.1</v>
      </c>
      <c r="H168" s="80">
        <f>F168+G168</f>
        <v>64.5</v>
      </c>
      <c r="I168" s="80">
        <v>27.4</v>
      </c>
      <c r="J168" s="80"/>
      <c r="K168" s="80">
        <v>27.4</v>
      </c>
      <c r="L168" s="80">
        <v>27.4</v>
      </c>
      <c r="M168" s="80"/>
      <c r="N168" s="80">
        <v>27.4</v>
      </c>
    </row>
    <row r="169" spans="1:14" ht="26.25" x14ac:dyDescent="0.25">
      <c r="A169" s="98"/>
      <c r="B169" s="98"/>
      <c r="C169" s="6"/>
      <c r="D169" s="6" t="s">
        <v>471</v>
      </c>
      <c r="E169" s="3" t="s">
        <v>472</v>
      </c>
      <c r="F169" s="80">
        <v>3.8</v>
      </c>
      <c r="G169" s="80"/>
      <c r="H169" s="80">
        <v>3.8</v>
      </c>
      <c r="I169" s="80">
        <v>3.8</v>
      </c>
      <c r="J169" s="80"/>
      <c r="K169" s="80">
        <v>3.8</v>
      </c>
      <c r="L169" s="80">
        <v>3.8</v>
      </c>
      <c r="M169" s="80"/>
      <c r="N169" s="80">
        <v>3.8</v>
      </c>
    </row>
    <row r="170" spans="1:14" x14ac:dyDescent="0.25">
      <c r="A170" s="98"/>
      <c r="B170" s="98"/>
      <c r="C170" s="6" t="s">
        <v>447</v>
      </c>
      <c r="D170" s="6"/>
      <c r="E170" s="3" t="s">
        <v>480</v>
      </c>
      <c r="F170" s="80">
        <f>F171</f>
        <v>20</v>
      </c>
      <c r="G170" s="80"/>
      <c r="H170" s="80">
        <f>H171</f>
        <v>20</v>
      </c>
      <c r="I170" s="80">
        <f t="shared" ref="I170:N170" si="34">I171</f>
        <v>20</v>
      </c>
      <c r="J170" s="80"/>
      <c r="K170" s="80">
        <f t="shared" si="34"/>
        <v>20</v>
      </c>
      <c r="L170" s="80">
        <f t="shared" si="34"/>
        <v>20</v>
      </c>
      <c r="M170" s="80"/>
      <c r="N170" s="80">
        <f t="shared" si="34"/>
        <v>20</v>
      </c>
    </row>
    <row r="171" spans="1:14" ht="26.25" x14ac:dyDescent="0.25">
      <c r="A171" s="98"/>
      <c r="B171" s="98"/>
      <c r="C171" s="6"/>
      <c r="D171" s="6" t="s">
        <v>471</v>
      </c>
      <c r="E171" s="3" t="s">
        <v>472</v>
      </c>
      <c r="F171" s="80">
        <v>20</v>
      </c>
      <c r="G171" s="80"/>
      <c r="H171" s="80">
        <v>20</v>
      </c>
      <c r="I171" s="80">
        <v>20</v>
      </c>
      <c r="J171" s="80"/>
      <c r="K171" s="80">
        <v>20</v>
      </c>
      <c r="L171" s="80">
        <v>20</v>
      </c>
      <c r="M171" s="80"/>
      <c r="N171" s="80">
        <v>20</v>
      </c>
    </row>
    <row r="172" spans="1:14" ht="38.25" x14ac:dyDescent="0.25">
      <c r="A172" s="112"/>
      <c r="B172" s="112"/>
      <c r="C172" s="113" t="s">
        <v>355</v>
      </c>
      <c r="D172" s="112"/>
      <c r="E172" s="114" t="s">
        <v>356</v>
      </c>
      <c r="F172" s="115">
        <f t="shared" ref="F172:N173" si="35">F173</f>
        <v>145.19999999999999</v>
      </c>
      <c r="G172" s="115">
        <f t="shared" si="35"/>
        <v>23.6</v>
      </c>
      <c r="H172" s="115">
        <f t="shared" si="35"/>
        <v>168.79999999999998</v>
      </c>
      <c r="I172" s="115">
        <f t="shared" si="35"/>
        <v>145.19999999999999</v>
      </c>
      <c r="J172" s="115"/>
      <c r="K172" s="115">
        <f t="shared" si="35"/>
        <v>145.19999999999999</v>
      </c>
      <c r="L172" s="115">
        <f t="shared" si="35"/>
        <v>0</v>
      </c>
      <c r="M172" s="115"/>
      <c r="N172" s="115">
        <f t="shared" si="35"/>
        <v>0</v>
      </c>
    </row>
    <row r="173" spans="1:14" x14ac:dyDescent="0.25">
      <c r="A173" s="33"/>
      <c r="B173" s="33"/>
      <c r="C173" s="33" t="s">
        <v>371</v>
      </c>
      <c r="D173" s="33"/>
      <c r="E173" s="20" t="s">
        <v>372</v>
      </c>
      <c r="F173" s="71">
        <f t="shared" si="35"/>
        <v>145.19999999999999</v>
      </c>
      <c r="G173" s="71">
        <f t="shared" si="35"/>
        <v>23.6</v>
      </c>
      <c r="H173" s="71">
        <f t="shared" si="35"/>
        <v>168.79999999999998</v>
      </c>
      <c r="I173" s="71">
        <f t="shared" si="35"/>
        <v>145.19999999999999</v>
      </c>
      <c r="J173" s="71"/>
      <c r="K173" s="71">
        <f t="shared" si="35"/>
        <v>145.19999999999999</v>
      </c>
      <c r="L173" s="71">
        <f t="shared" si="35"/>
        <v>0</v>
      </c>
      <c r="M173" s="71"/>
      <c r="N173" s="71">
        <f t="shared" si="35"/>
        <v>0</v>
      </c>
    </row>
    <row r="174" spans="1:14" x14ac:dyDescent="0.25">
      <c r="A174" s="98"/>
      <c r="B174" s="98"/>
      <c r="C174" s="6" t="s">
        <v>373</v>
      </c>
      <c r="D174" s="6"/>
      <c r="E174" s="57" t="s">
        <v>481</v>
      </c>
      <c r="F174" s="70">
        <f>F175</f>
        <v>145.19999999999999</v>
      </c>
      <c r="G174" s="70">
        <f>G175</f>
        <v>23.6</v>
      </c>
      <c r="H174" s="70">
        <f>H175</f>
        <v>168.79999999999998</v>
      </c>
      <c r="I174" s="70">
        <f>I175</f>
        <v>145.19999999999999</v>
      </c>
      <c r="J174" s="70"/>
      <c r="K174" s="70">
        <f>K175</f>
        <v>145.19999999999999</v>
      </c>
      <c r="L174" s="70">
        <f>L175</f>
        <v>0</v>
      </c>
      <c r="M174" s="70"/>
      <c r="N174" s="70">
        <f>N175</f>
        <v>0</v>
      </c>
    </row>
    <row r="175" spans="1:14" x14ac:dyDescent="0.25">
      <c r="A175" s="98"/>
      <c r="B175" s="98"/>
      <c r="C175" s="6"/>
      <c r="D175" s="6" t="s">
        <v>281</v>
      </c>
      <c r="E175" s="3" t="s">
        <v>282</v>
      </c>
      <c r="F175" s="70">
        <v>145.19999999999999</v>
      </c>
      <c r="G175" s="70">
        <v>23.6</v>
      </c>
      <c r="H175" s="70">
        <f>145.2+23.6</f>
        <v>168.79999999999998</v>
      </c>
      <c r="I175" s="70">
        <v>145.19999999999999</v>
      </c>
      <c r="J175" s="70"/>
      <c r="K175" s="70">
        <v>145.19999999999999</v>
      </c>
      <c r="L175" s="70">
        <v>0</v>
      </c>
      <c r="M175" s="70"/>
      <c r="N175" s="70">
        <v>0</v>
      </c>
    </row>
    <row r="176" spans="1:14" x14ac:dyDescent="0.25">
      <c r="A176" s="108"/>
      <c r="B176" s="17" t="s">
        <v>597</v>
      </c>
      <c r="C176" s="109"/>
      <c r="D176" s="108"/>
      <c r="E176" s="102" t="s">
        <v>598</v>
      </c>
      <c r="F176" s="74">
        <f t="shared" ref="F176:N176" si="36">F177+F202+F209+F257</f>
        <v>123881.10485</v>
      </c>
      <c r="G176" s="74">
        <f t="shared" si="36"/>
        <v>532.20000000000005</v>
      </c>
      <c r="H176" s="74">
        <f t="shared" si="36"/>
        <v>124413.30485000001</v>
      </c>
      <c r="I176" s="74">
        <f t="shared" si="36"/>
        <v>120101.35175</v>
      </c>
      <c r="J176" s="74">
        <f t="shared" si="36"/>
        <v>0</v>
      </c>
      <c r="K176" s="74">
        <f t="shared" si="36"/>
        <v>120101.35175</v>
      </c>
      <c r="L176" s="74">
        <f t="shared" si="36"/>
        <v>63499.499999999993</v>
      </c>
      <c r="M176" s="74"/>
      <c r="N176" s="74">
        <f t="shared" si="36"/>
        <v>63499.499999999993</v>
      </c>
    </row>
    <row r="177" spans="1:14" x14ac:dyDescent="0.25">
      <c r="A177" s="108"/>
      <c r="B177" s="17" t="s">
        <v>599</v>
      </c>
      <c r="C177" s="109"/>
      <c r="D177" s="17"/>
      <c r="E177" s="129" t="s">
        <v>600</v>
      </c>
      <c r="F177" s="74">
        <f>F178+F198</f>
        <v>519.40000000000009</v>
      </c>
      <c r="G177" s="74"/>
      <c r="H177" s="74">
        <f>H178+H198</f>
        <v>519.40000000000009</v>
      </c>
      <c r="I177" s="74">
        <f>I178+I198</f>
        <v>519.40000000000009</v>
      </c>
      <c r="J177" s="74"/>
      <c r="K177" s="74">
        <f>K178+K198</f>
        <v>519.40000000000009</v>
      </c>
      <c r="L177" s="74">
        <f>L178+L198</f>
        <v>519.40000000000009</v>
      </c>
      <c r="M177" s="74"/>
      <c r="N177" s="74">
        <f>N178+N198</f>
        <v>519.40000000000009</v>
      </c>
    </row>
    <row r="178" spans="1:14" x14ac:dyDescent="0.25">
      <c r="A178" s="108"/>
      <c r="B178" s="17"/>
      <c r="C178" s="109" t="s">
        <v>5</v>
      </c>
      <c r="D178" s="108"/>
      <c r="E178" s="129" t="s">
        <v>6</v>
      </c>
      <c r="F178" s="74">
        <f>F179+F193</f>
        <v>346.6</v>
      </c>
      <c r="G178" s="74"/>
      <c r="H178" s="74">
        <f>H179+H193</f>
        <v>346.6</v>
      </c>
      <c r="I178" s="74">
        <f>I179+I193</f>
        <v>346.6</v>
      </c>
      <c r="J178" s="74"/>
      <c r="K178" s="74">
        <f>K179+K193</f>
        <v>346.6</v>
      </c>
      <c r="L178" s="74">
        <f>L179+L193</f>
        <v>346.6</v>
      </c>
      <c r="M178" s="74"/>
      <c r="N178" s="74">
        <f>N179+N193</f>
        <v>346.6</v>
      </c>
    </row>
    <row r="179" spans="1:14" ht="25.5" x14ac:dyDescent="0.25">
      <c r="A179" s="112"/>
      <c r="B179" s="112"/>
      <c r="C179" s="113" t="s">
        <v>283</v>
      </c>
      <c r="D179" s="112"/>
      <c r="E179" s="114" t="s">
        <v>284</v>
      </c>
      <c r="F179" s="115">
        <f>F180</f>
        <v>233.60000000000002</v>
      </c>
      <c r="G179" s="115"/>
      <c r="H179" s="115">
        <f>H180</f>
        <v>233.60000000000002</v>
      </c>
      <c r="I179" s="115">
        <f>I180</f>
        <v>233.60000000000002</v>
      </c>
      <c r="J179" s="115"/>
      <c r="K179" s="115">
        <f>K180</f>
        <v>233.60000000000002</v>
      </c>
      <c r="L179" s="115">
        <f>L180</f>
        <v>233.60000000000002</v>
      </c>
      <c r="M179" s="115"/>
      <c r="N179" s="115">
        <f>N180</f>
        <v>233.60000000000002</v>
      </c>
    </row>
    <row r="180" spans="1:14" ht="26.25" x14ac:dyDescent="0.25">
      <c r="A180" s="31"/>
      <c r="B180" s="31"/>
      <c r="C180" s="31" t="s">
        <v>450</v>
      </c>
      <c r="D180" s="31"/>
      <c r="E180" s="52" t="s">
        <v>451</v>
      </c>
      <c r="F180" s="75">
        <f>F181+F184</f>
        <v>233.60000000000002</v>
      </c>
      <c r="G180" s="75"/>
      <c r="H180" s="75">
        <f>H181+H184</f>
        <v>233.60000000000002</v>
      </c>
      <c r="I180" s="75">
        <f>I181+I184</f>
        <v>233.60000000000002</v>
      </c>
      <c r="J180" s="75"/>
      <c r="K180" s="75">
        <f>K181+K184</f>
        <v>233.60000000000002</v>
      </c>
      <c r="L180" s="75">
        <f>L181+L184</f>
        <v>233.60000000000002</v>
      </c>
      <c r="M180" s="75"/>
      <c r="N180" s="75">
        <f>N181+N184</f>
        <v>233.60000000000002</v>
      </c>
    </row>
    <row r="181" spans="1:14" x14ac:dyDescent="0.25">
      <c r="A181" s="33"/>
      <c r="B181" s="33"/>
      <c r="C181" s="33" t="s">
        <v>452</v>
      </c>
      <c r="D181" s="33"/>
      <c r="E181" s="20" t="s">
        <v>353</v>
      </c>
      <c r="F181" s="71">
        <f t="shared" ref="F181:N182" si="37">F182</f>
        <v>112.7</v>
      </c>
      <c r="G181" s="71"/>
      <c r="H181" s="71">
        <f t="shared" si="37"/>
        <v>112.7</v>
      </c>
      <c r="I181" s="71">
        <f t="shared" si="37"/>
        <v>112.7</v>
      </c>
      <c r="J181" s="71"/>
      <c r="K181" s="71">
        <f t="shared" si="37"/>
        <v>112.7</v>
      </c>
      <c r="L181" s="71">
        <f t="shared" si="37"/>
        <v>112.7</v>
      </c>
      <c r="M181" s="71"/>
      <c r="N181" s="71">
        <f t="shared" si="37"/>
        <v>112.7</v>
      </c>
    </row>
    <row r="182" spans="1:14" x14ac:dyDescent="0.25">
      <c r="A182" s="6"/>
      <c r="B182" s="6"/>
      <c r="C182" s="6" t="s">
        <v>453</v>
      </c>
      <c r="D182" s="6"/>
      <c r="E182" s="19" t="s">
        <v>285</v>
      </c>
      <c r="F182" s="80">
        <f t="shared" si="37"/>
        <v>112.7</v>
      </c>
      <c r="G182" s="80"/>
      <c r="H182" s="80">
        <f t="shared" si="37"/>
        <v>112.7</v>
      </c>
      <c r="I182" s="80">
        <f t="shared" si="37"/>
        <v>112.7</v>
      </c>
      <c r="J182" s="80"/>
      <c r="K182" s="80">
        <f t="shared" si="37"/>
        <v>112.7</v>
      </c>
      <c r="L182" s="80">
        <f t="shared" si="37"/>
        <v>112.7</v>
      </c>
      <c r="M182" s="80"/>
      <c r="N182" s="80">
        <f t="shared" si="37"/>
        <v>112.7</v>
      </c>
    </row>
    <row r="183" spans="1:14" x14ac:dyDescent="0.25">
      <c r="A183" s="6"/>
      <c r="B183" s="6"/>
      <c r="C183" s="6"/>
      <c r="D183" s="6" t="s">
        <v>281</v>
      </c>
      <c r="E183" s="3" t="s">
        <v>282</v>
      </c>
      <c r="F183" s="80">
        <v>112.7</v>
      </c>
      <c r="G183" s="80"/>
      <c r="H183" s="80">
        <v>112.7</v>
      </c>
      <c r="I183" s="80">
        <v>112.7</v>
      </c>
      <c r="J183" s="80"/>
      <c r="K183" s="80">
        <v>112.7</v>
      </c>
      <c r="L183" s="80">
        <v>112.7</v>
      </c>
      <c r="M183" s="80"/>
      <c r="N183" s="80">
        <v>112.7</v>
      </c>
    </row>
    <row r="184" spans="1:14" x14ac:dyDescent="0.25">
      <c r="A184" s="33"/>
      <c r="B184" s="33"/>
      <c r="C184" s="33" t="s">
        <v>454</v>
      </c>
      <c r="D184" s="33"/>
      <c r="E184" s="20" t="s">
        <v>354</v>
      </c>
      <c r="F184" s="71">
        <f>F185+F187+F189+F191</f>
        <v>120.9</v>
      </c>
      <c r="G184" s="71"/>
      <c r="H184" s="71">
        <f>H185+H187+H189+H191</f>
        <v>120.9</v>
      </c>
      <c r="I184" s="71">
        <f>I185+I187+I189+I191</f>
        <v>120.9</v>
      </c>
      <c r="J184" s="71"/>
      <c r="K184" s="71">
        <f>K185+K187+K189+K191</f>
        <v>120.9</v>
      </c>
      <c r="L184" s="71">
        <f>L185+L187+L189+L191</f>
        <v>120.9</v>
      </c>
      <c r="M184" s="71"/>
      <c r="N184" s="71">
        <f>N185+N187+N189+N191</f>
        <v>120.9</v>
      </c>
    </row>
    <row r="185" spans="1:14" ht="26.25" x14ac:dyDescent="0.25">
      <c r="A185" s="98"/>
      <c r="B185" s="98"/>
      <c r="C185" s="6" t="s">
        <v>455</v>
      </c>
      <c r="D185" s="6"/>
      <c r="E185" s="19" t="s">
        <v>286</v>
      </c>
      <c r="F185" s="80">
        <f>F186</f>
        <v>32.6</v>
      </c>
      <c r="G185" s="80"/>
      <c r="H185" s="80">
        <f>H186</f>
        <v>32.6</v>
      </c>
      <c r="I185" s="80">
        <f>I186</f>
        <v>32.6</v>
      </c>
      <c r="J185" s="80"/>
      <c r="K185" s="80">
        <f>K186</f>
        <v>32.6</v>
      </c>
      <c r="L185" s="80">
        <f>L186</f>
        <v>32.6</v>
      </c>
      <c r="M185" s="80"/>
      <c r="N185" s="80">
        <f>N186</f>
        <v>32.6</v>
      </c>
    </row>
    <row r="186" spans="1:14" x14ac:dyDescent="0.25">
      <c r="A186" s="98"/>
      <c r="B186" s="98"/>
      <c r="C186" s="6"/>
      <c r="D186" s="6" t="s">
        <v>281</v>
      </c>
      <c r="E186" s="3" t="s">
        <v>282</v>
      </c>
      <c r="F186" s="80">
        <v>32.6</v>
      </c>
      <c r="G186" s="80"/>
      <c r="H186" s="80">
        <v>32.6</v>
      </c>
      <c r="I186" s="80">
        <v>32.6</v>
      </c>
      <c r="J186" s="80"/>
      <c r="K186" s="80">
        <v>32.6</v>
      </c>
      <c r="L186" s="80">
        <v>32.6</v>
      </c>
      <c r="M186" s="80"/>
      <c r="N186" s="80">
        <v>32.6</v>
      </c>
    </row>
    <row r="187" spans="1:14" x14ac:dyDescent="0.25">
      <c r="A187" s="98"/>
      <c r="B187" s="98"/>
      <c r="C187" s="6" t="s">
        <v>456</v>
      </c>
      <c r="D187" s="6"/>
      <c r="E187" s="19" t="s">
        <v>287</v>
      </c>
      <c r="F187" s="80">
        <f>F188</f>
        <v>40</v>
      </c>
      <c r="G187" s="80"/>
      <c r="H187" s="80">
        <f>H188</f>
        <v>40</v>
      </c>
      <c r="I187" s="80">
        <f>I188</f>
        <v>40</v>
      </c>
      <c r="J187" s="80"/>
      <c r="K187" s="80">
        <f>K188</f>
        <v>40</v>
      </c>
      <c r="L187" s="80">
        <f>L188</f>
        <v>40</v>
      </c>
      <c r="M187" s="80"/>
      <c r="N187" s="80">
        <f>N188</f>
        <v>40</v>
      </c>
    </row>
    <row r="188" spans="1:14" x14ac:dyDescent="0.25">
      <c r="A188" s="98"/>
      <c r="B188" s="98"/>
      <c r="C188" s="6"/>
      <c r="D188" s="6" t="s">
        <v>281</v>
      </c>
      <c r="E188" s="3" t="s">
        <v>282</v>
      </c>
      <c r="F188" s="80">
        <v>40</v>
      </c>
      <c r="G188" s="80"/>
      <c r="H188" s="80">
        <v>40</v>
      </c>
      <c r="I188" s="80">
        <v>40</v>
      </c>
      <c r="J188" s="80"/>
      <c r="K188" s="80">
        <v>40</v>
      </c>
      <c r="L188" s="80">
        <v>40</v>
      </c>
      <c r="M188" s="80"/>
      <c r="N188" s="80">
        <v>40</v>
      </c>
    </row>
    <row r="189" spans="1:14" x14ac:dyDescent="0.25">
      <c r="A189" s="98"/>
      <c r="B189" s="98"/>
      <c r="C189" s="6" t="s">
        <v>457</v>
      </c>
      <c r="D189" s="6"/>
      <c r="E189" s="19" t="s">
        <v>288</v>
      </c>
      <c r="F189" s="80">
        <f>F190</f>
        <v>25.4</v>
      </c>
      <c r="G189" s="80"/>
      <c r="H189" s="80">
        <f>H190</f>
        <v>25.4</v>
      </c>
      <c r="I189" s="80">
        <f>I190</f>
        <v>25.4</v>
      </c>
      <c r="J189" s="80"/>
      <c r="K189" s="80">
        <f>K190</f>
        <v>25.4</v>
      </c>
      <c r="L189" s="80">
        <f>L190</f>
        <v>25.4</v>
      </c>
      <c r="M189" s="80"/>
      <c r="N189" s="80">
        <f>N190</f>
        <v>25.4</v>
      </c>
    </row>
    <row r="190" spans="1:14" x14ac:dyDescent="0.25">
      <c r="A190" s="98"/>
      <c r="B190" s="98"/>
      <c r="C190" s="6"/>
      <c r="D190" s="6" t="s">
        <v>281</v>
      </c>
      <c r="E190" s="3" t="s">
        <v>282</v>
      </c>
      <c r="F190" s="80">
        <v>25.4</v>
      </c>
      <c r="G190" s="80"/>
      <c r="H190" s="80">
        <v>25.4</v>
      </c>
      <c r="I190" s="80">
        <v>25.4</v>
      </c>
      <c r="J190" s="80"/>
      <c r="K190" s="80">
        <v>25.4</v>
      </c>
      <c r="L190" s="80">
        <v>25.4</v>
      </c>
      <c r="M190" s="80"/>
      <c r="N190" s="80">
        <v>25.4</v>
      </c>
    </row>
    <row r="191" spans="1:14" x14ac:dyDescent="0.25">
      <c r="A191" s="98"/>
      <c r="B191" s="98"/>
      <c r="C191" s="6" t="s">
        <v>458</v>
      </c>
      <c r="D191" s="6"/>
      <c r="E191" s="19" t="s">
        <v>289</v>
      </c>
      <c r="F191" s="80">
        <f>F192</f>
        <v>22.9</v>
      </c>
      <c r="G191" s="80"/>
      <c r="H191" s="80">
        <f>H192</f>
        <v>22.9</v>
      </c>
      <c r="I191" s="80">
        <f>I192</f>
        <v>22.9</v>
      </c>
      <c r="J191" s="80"/>
      <c r="K191" s="80">
        <f>K192</f>
        <v>22.9</v>
      </c>
      <c r="L191" s="80">
        <f>L192</f>
        <v>22.9</v>
      </c>
      <c r="M191" s="80"/>
      <c r="N191" s="80">
        <f>N192</f>
        <v>22.9</v>
      </c>
    </row>
    <row r="192" spans="1:14" x14ac:dyDescent="0.25">
      <c r="A192" s="98"/>
      <c r="B192" s="98"/>
      <c r="C192" s="6"/>
      <c r="D192" s="6" t="s">
        <v>281</v>
      </c>
      <c r="E192" s="3" t="s">
        <v>282</v>
      </c>
      <c r="F192" s="80">
        <v>22.9</v>
      </c>
      <c r="G192" s="80"/>
      <c r="H192" s="80">
        <v>22.9</v>
      </c>
      <c r="I192" s="80">
        <v>22.9</v>
      </c>
      <c r="J192" s="80"/>
      <c r="K192" s="80">
        <v>22.9</v>
      </c>
      <c r="L192" s="80">
        <v>22.9</v>
      </c>
      <c r="M192" s="80"/>
      <c r="N192" s="80">
        <v>22.9</v>
      </c>
    </row>
    <row r="193" spans="1:14" ht="25.5" x14ac:dyDescent="0.25">
      <c r="A193" s="112"/>
      <c r="B193" s="112"/>
      <c r="C193" s="113" t="s">
        <v>290</v>
      </c>
      <c r="D193" s="112"/>
      <c r="E193" s="114" t="s">
        <v>291</v>
      </c>
      <c r="F193" s="115">
        <f t="shared" ref="F193:N196" si="38">F194</f>
        <v>113</v>
      </c>
      <c r="G193" s="115"/>
      <c r="H193" s="115">
        <f t="shared" si="38"/>
        <v>113</v>
      </c>
      <c r="I193" s="115">
        <f t="shared" si="38"/>
        <v>113</v>
      </c>
      <c r="J193" s="115"/>
      <c r="K193" s="115">
        <f t="shared" si="38"/>
        <v>113</v>
      </c>
      <c r="L193" s="115">
        <f t="shared" si="38"/>
        <v>113</v>
      </c>
      <c r="M193" s="115"/>
      <c r="N193" s="115">
        <f t="shared" si="38"/>
        <v>113</v>
      </c>
    </row>
    <row r="194" spans="1:14" ht="26.25" x14ac:dyDescent="0.25">
      <c r="A194" s="31"/>
      <c r="B194" s="31"/>
      <c r="C194" s="31" t="s">
        <v>301</v>
      </c>
      <c r="D194" s="31"/>
      <c r="E194" s="52" t="s">
        <v>302</v>
      </c>
      <c r="F194" s="75">
        <f t="shared" si="38"/>
        <v>113</v>
      </c>
      <c r="G194" s="75"/>
      <c r="H194" s="75">
        <f t="shared" si="38"/>
        <v>113</v>
      </c>
      <c r="I194" s="75">
        <f t="shared" si="38"/>
        <v>113</v>
      </c>
      <c r="J194" s="75"/>
      <c r="K194" s="75">
        <f t="shared" si="38"/>
        <v>113</v>
      </c>
      <c r="L194" s="75">
        <f t="shared" si="38"/>
        <v>113</v>
      </c>
      <c r="M194" s="75"/>
      <c r="N194" s="75">
        <f t="shared" si="38"/>
        <v>113</v>
      </c>
    </row>
    <row r="195" spans="1:14" ht="26.25" x14ac:dyDescent="0.25">
      <c r="A195" s="33"/>
      <c r="B195" s="33"/>
      <c r="C195" s="33" t="s">
        <v>317</v>
      </c>
      <c r="D195" s="36"/>
      <c r="E195" s="20" t="s">
        <v>473</v>
      </c>
      <c r="F195" s="71">
        <f t="shared" si="38"/>
        <v>113</v>
      </c>
      <c r="G195" s="71"/>
      <c r="H195" s="71">
        <f t="shared" si="38"/>
        <v>113</v>
      </c>
      <c r="I195" s="71">
        <f t="shared" si="38"/>
        <v>113</v>
      </c>
      <c r="J195" s="71"/>
      <c r="K195" s="71">
        <f t="shared" si="38"/>
        <v>113</v>
      </c>
      <c r="L195" s="71">
        <f t="shared" si="38"/>
        <v>113</v>
      </c>
      <c r="M195" s="71"/>
      <c r="N195" s="71">
        <f t="shared" si="38"/>
        <v>113</v>
      </c>
    </row>
    <row r="196" spans="1:14" ht="25.5" x14ac:dyDescent="0.25">
      <c r="A196" s="98"/>
      <c r="B196" s="98"/>
      <c r="C196" s="16" t="s">
        <v>512</v>
      </c>
      <c r="D196" s="16"/>
      <c r="E196" s="1" t="s">
        <v>548</v>
      </c>
      <c r="F196" s="80">
        <f>F197</f>
        <v>113</v>
      </c>
      <c r="G196" s="80"/>
      <c r="H196" s="80">
        <f>H197</f>
        <v>113</v>
      </c>
      <c r="I196" s="80">
        <f t="shared" si="38"/>
        <v>113</v>
      </c>
      <c r="J196" s="80"/>
      <c r="K196" s="80">
        <f t="shared" si="38"/>
        <v>113</v>
      </c>
      <c r="L196" s="80">
        <f t="shared" si="38"/>
        <v>113</v>
      </c>
      <c r="M196" s="80"/>
      <c r="N196" s="80">
        <f t="shared" si="38"/>
        <v>113</v>
      </c>
    </row>
    <row r="197" spans="1:14" x14ac:dyDescent="0.25">
      <c r="A197" s="98"/>
      <c r="B197" s="98"/>
      <c r="C197" s="16"/>
      <c r="D197" s="6" t="s">
        <v>281</v>
      </c>
      <c r="E197" s="3" t="s">
        <v>282</v>
      </c>
      <c r="F197" s="80">
        <v>113</v>
      </c>
      <c r="G197" s="80"/>
      <c r="H197" s="80">
        <v>113</v>
      </c>
      <c r="I197" s="80">
        <v>113</v>
      </c>
      <c r="J197" s="80"/>
      <c r="K197" s="80">
        <v>113</v>
      </c>
      <c r="L197" s="80">
        <v>113</v>
      </c>
      <c r="M197" s="80"/>
      <c r="N197" s="80">
        <v>113</v>
      </c>
    </row>
    <row r="198" spans="1:14" x14ac:dyDescent="0.25">
      <c r="A198" s="118"/>
      <c r="B198" s="118"/>
      <c r="C198" s="119" t="s">
        <v>575</v>
      </c>
      <c r="D198" s="120"/>
      <c r="E198" s="142" t="s">
        <v>576</v>
      </c>
      <c r="F198" s="122">
        <f t="shared" ref="F198:N200" si="39">F199</f>
        <v>172.8</v>
      </c>
      <c r="G198" s="122"/>
      <c r="H198" s="122">
        <f t="shared" si="39"/>
        <v>172.8</v>
      </c>
      <c r="I198" s="122">
        <f t="shared" si="39"/>
        <v>172.8</v>
      </c>
      <c r="J198" s="122"/>
      <c r="K198" s="122">
        <f t="shared" si="39"/>
        <v>172.8</v>
      </c>
      <c r="L198" s="122">
        <f t="shared" si="39"/>
        <v>172.8</v>
      </c>
      <c r="M198" s="122"/>
      <c r="N198" s="122">
        <f t="shared" si="39"/>
        <v>172.8</v>
      </c>
    </row>
    <row r="199" spans="1:14" ht="25.5" x14ac:dyDescent="0.25">
      <c r="A199" s="143"/>
      <c r="B199" s="143"/>
      <c r="C199" s="144" t="s">
        <v>402</v>
      </c>
      <c r="D199" s="145"/>
      <c r="E199" s="146" t="s">
        <v>403</v>
      </c>
      <c r="F199" s="147">
        <f t="shared" si="39"/>
        <v>172.8</v>
      </c>
      <c r="G199" s="147"/>
      <c r="H199" s="147">
        <f t="shared" si="39"/>
        <v>172.8</v>
      </c>
      <c r="I199" s="147">
        <f t="shared" si="39"/>
        <v>172.8</v>
      </c>
      <c r="J199" s="147"/>
      <c r="K199" s="147">
        <f t="shared" si="39"/>
        <v>172.8</v>
      </c>
      <c r="L199" s="147">
        <f t="shared" si="39"/>
        <v>172.8</v>
      </c>
      <c r="M199" s="147"/>
      <c r="N199" s="147">
        <f t="shared" si="39"/>
        <v>172.8</v>
      </c>
    </row>
    <row r="200" spans="1:14" ht="26.25" x14ac:dyDescent="0.25">
      <c r="A200" s="98"/>
      <c r="B200" s="98"/>
      <c r="C200" s="6" t="s">
        <v>418</v>
      </c>
      <c r="D200" s="6"/>
      <c r="E200" s="8" t="s">
        <v>419</v>
      </c>
      <c r="F200" s="70">
        <f t="shared" si="39"/>
        <v>172.8</v>
      </c>
      <c r="G200" s="70"/>
      <c r="H200" s="70">
        <f t="shared" si="39"/>
        <v>172.8</v>
      </c>
      <c r="I200" s="70">
        <f t="shared" si="39"/>
        <v>172.8</v>
      </c>
      <c r="J200" s="70"/>
      <c r="K200" s="70">
        <f t="shared" si="39"/>
        <v>172.8</v>
      </c>
      <c r="L200" s="70">
        <f t="shared" si="39"/>
        <v>172.8</v>
      </c>
      <c r="M200" s="70"/>
      <c r="N200" s="70">
        <f t="shared" si="39"/>
        <v>172.8</v>
      </c>
    </row>
    <row r="201" spans="1:14" x14ac:dyDescent="0.25">
      <c r="A201" s="98"/>
      <c r="B201" s="98"/>
      <c r="C201" s="6"/>
      <c r="D201" s="6" t="s">
        <v>281</v>
      </c>
      <c r="E201" s="3" t="s">
        <v>282</v>
      </c>
      <c r="F201" s="70">
        <v>172.8</v>
      </c>
      <c r="G201" s="70"/>
      <c r="H201" s="70">
        <v>172.8</v>
      </c>
      <c r="I201" s="70">
        <v>172.8</v>
      </c>
      <c r="J201" s="70"/>
      <c r="K201" s="70">
        <v>172.8</v>
      </c>
      <c r="L201" s="70">
        <v>172.8</v>
      </c>
      <c r="M201" s="70"/>
      <c r="N201" s="70">
        <v>172.8</v>
      </c>
    </row>
    <row r="202" spans="1:14" x14ac:dyDescent="0.25">
      <c r="A202" s="108"/>
      <c r="B202" s="17" t="s">
        <v>601</v>
      </c>
      <c r="C202" s="109"/>
      <c r="D202" s="108"/>
      <c r="E202" s="102" t="s">
        <v>602</v>
      </c>
      <c r="F202" s="130">
        <f t="shared" ref="F202:L202" si="40">F204</f>
        <v>4247.1000000000004</v>
      </c>
      <c r="G202" s="130">
        <f t="shared" si="40"/>
        <v>-17.399999999999999</v>
      </c>
      <c r="H202" s="130">
        <f t="shared" si="40"/>
        <v>4229.7000000000007</v>
      </c>
      <c r="I202" s="130">
        <f t="shared" si="40"/>
        <v>4467.8999999999996</v>
      </c>
      <c r="J202" s="130">
        <f t="shared" si="40"/>
        <v>0</v>
      </c>
      <c r="K202" s="130">
        <f t="shared" si="40"/>
        <v>4467.8999999999996</v>
      </c>
      <c r="L202" s="130">
        <f t="shared" si="40"/>
        <v>0</v>
      </c>
      <c r="M202" s="130"/>
      <c r="N202" s="130">
        <f>N204</f>
        <v>0</v>
      </c>
    </row>
    <row r="203" spans="1:14" x14ac:dyDescent="0.25">
      <c r="A203" s="108"/>
      <c r="B203" s="17"/>
      <c r="C203" s="109" t="s">
        <v>5</v>
      </c>
      <c r="D203" s="108"/>
      <c r="E203" s="129" t="s">
        <v>6</v>
      </c>
      <c r="F203" s="130">
        <f t="shared" ref="F203:N204" si="41">F204</f>
        <v>4247.1000000000004</v>
      </c>
      <c r="G203" s="130">
        <f t="shared" si="41"/>
        <v>-17.399999999999999</v>
      </c>
      <c r="H203" s="130">
        <f t="shared" si="41"/>
        <v>4229.7000000000007</v>
      </c>
      <c r="I203" s="130">
        <f t="shared" si="41"/>
        <v>4467.8999999999996</v>
      </c>
      <c r="J203" s="130">
        <f t="shared" si="41"/>
        <v>0</v>
      </c>
      <c r="K203" s="130">
        <f t="shared" si="41"/>
        <v>4467.8999999999996</v>
      </c>
      <c r="L203" s="130">
        <f t="shared" si="41"/>
        <v>0</v>
      </c>
      <c r="M203" s="130"/>
      <c r="N203" s="130">
        <f t="shared" si="41"/>
        <v>0</v>
      </c>
    </row>
    <row r="204" spans="1:14" ht="25.5" x14ac:dyDescent="0.25">
      <c r="A204" s="112"/>
      <c r="B204" s="112"/>
      <c r="C204" s="113" t="s">
        <v>329</v>
      </c>
      <c r="D204" s="112"/>
      <c r="E204" s="114" t="s">
        <v>330</v>
      </c>
      <c r="F204" s="115">
        <f t="shared" si="41"/>
        <v>4247.1000000000004</v>
      </c>
      <c r="G204" s="115">
        <f t="shared" si="41"/>
        <v>-17.399999999999999</v>
      </c>
      <c r="H204" s="115">
        <f t="shared" si="41"/>
        <v>4229.7000000000007</v>
      </c>
      <c r="I204" s="115">
        <f t="shared" si="41"/>
        <v>4467.8999999999996</v>
      </c>
      <c r="J204" s="115">
        <f t="shared" si="41"/>
        <v>0</v>
      </c>
      <c r="K204" s="115">
        <f t="shared" si="41"/>
        <v>4467.8999999999996</v>
      </c>
      <c r="L204" s="115">
        <f t="shared" si="41"/>
        <v>0</v>
      </c>
      <c r="M204" s="115"/>
      <c r="N204" s="115">
        <f t="shared" si="41"/>
        <v>0</v>
      </c>
    </row>
    <row r="205" spans="1:14" ht="26.25" x14ac:dyDescent="0.25">
      <c r="A205" s="31"/>
      <c r="B205" s="31"/>
      <c r="C205" s="31" t="s">
        <v>342</v>
      </c>
      <c r="D205" s="31"/>
      <c r="E205" s="32" t="s">
        <v>343</v>
      </c>
      <c r="F205" s="75">
        <f t="shared" ref="F205:N207" si="42">F206</f>
        <v>4247.1000000000004</v>
      </c>
      <c r="G205" s="75">
        <f t="shared" si="42"/>
        <v>-17.399999999999999</v>
      </c>
      <c r="H205" s="75">
        <f t="shared" si="42"/>
        <v>4229.7000000000007</v>
      </c>
      <c r="I205" s="75">
        <f t="shared" si="42"/>
        <v>4467.8999999999996</v>
      </c>
      <c r="J205" s="75">
        <f t="shared" si="42"/>
        <v>0</v>
      </c>
      <c r="K205" s="75">
        <f t="shared" si="42"/>
        <v>4467.8999999999996</v>
      </c>
      <c r="L205" s="75">
        <f t="shared" si="42"/>
        <v>0</v>
      </c>
      <c r="M205" s="75"/>
      <c r="N205" s="75">
        <f t="shared" si="42"/>
        <v>0</v>
      </c>
    </row>
    <row r="206" spans="1:14" ht="26.25" x14ac:dyDescent="0.25">
      <c r="A206" s="33"/>
      <c r="B206" s="33"/>
      <c r="C206" s="33" t="s">
        <v>344</v>
      </c>
      <c r="D206" s="33"/>
      <c r="E206" s="34" t="s">
        <v>345</v>
      </c>
      <c r="F206" s="71">
        <f t="shared" si="42"/>
        <v>4247.1000000000004</v>
      </c>
      <c r="G206" s="71">
        <f t="shared" si="42"/>
        <v>-17.399999999999999</v>
      </c>
      <c r="H206" s="71">
        <f t="shared" si="42"/>
        <v>4229.7000000000007</v>
      </c>
      <c r="I206" s="71">
        <f t="shared" si="42"/>
        <v>4467.8999999999996</v>
      </c>
      <c r="J206" s="71">
        <f t="shared" si="42"/>
        <v>0</v>
      </c>
      <c r="K206" s="71">
        <f t="shared" si="42"/>
        <v>4467.8999999999996</v>
      </c>
      <c r="L206" s="71">
        <f t="shared" si="42"/>
        <v>0</v>
      </c>
      <c r="M206" s="71"/>
      <c r="N206" s="71">
        <f t="shared" si="42"/>
        <v>0</v>
      </c>
    </row>
    <row r="207" spans="1:14" ht="39" x14ac:dyDescent="0.25">
      <c r="A207" s="98"/>
      <c r="B207" s="98"/>
      <c r="C207" s="6" t="s">
        <v>346</v>
      </c>
      <c r="D207" s="12"/>
      <c r="E207" s="314" t="s">
        <v>553</v>
      </c>
      <c r="F207" s="70">
        <f>F208</f>
        <v>4247.1000000000004</v>
      </c>
      <c r="G207" s="70">
        <f>G208</f>
        <v>-17.399999999999999</v>
      </c>
      <c r="H207" s="70">
        <f>H208</f>
        <v>4229.7000000000007</v>
      </c>
      <c r="I207" s="70">
        <f t="shared" si="42"/>
        <v>4467.8999999999996</v>
      </c>
      <c r="J207" s="70">
        <f t="shared" si="42"/>
        <v>0</v>
      </c>
      <c r="K207" s="70">
        <f t="shared" si="42"/>
        <v>4467.8999999999996</v>
      </c>
      <c r="L207" s="70">
        <f t="shared" si="42"/>
        <v>0</v>
      </c>
      <c r="M207" s="70"/>
      <c r="N207" s="70">
        <f t="shared" si="42"/>
        <v>0</v>
      </c>
    </row>
    <row r="208" spans="1:14" x14ac:dyDescent="0.25">
      <c r="A208" s="98"/>
      <c r="B208" s="98"/>
      <c r="C208" s="6"/>
      <c r="D208" s="6" t="s">
        <v>281</v>
      </c>
      <c r="E208" s="3" t="s">
        <v>282</v>
      </c>
      <c r="F208" s="70">
        <v>4247.1000000000004</v>
      </c>
      <c r="G208" s="70">
        <v>-17.399999999999999</v>
      </c>
      <c r="H208" s="70">
        <f>4247.1-17.4</f>
        <v>4229.7000000000007</v>
      </c>
      <c r="I208" s="70">
        <v>4467.8999999999996</v>
      </c>
      <c r="J208" s="70"/>
      <c r="K208" s="70">
        <v>4467.8999999999996</v>
      </c>
      <c r="L208" s="70">
        <v>0</v>
      </c>
      <c r="M208" s="70"/>
      <c r="N208" s="70">
        <v>0</v>
      </c>
    </row>
    <row r="209" spans="1:14" x14ac:dyDescent="0.25">
      <c r="A209" s="68"/>
      <c r="B209" s="17" t="s">
        <v>603</v>
      </c>
      <c r="C209" s="109"/>
      <c r="D209" s="108"/>
      <c r="E209" s="102" t="s">
        <v>604</v>
      </c>
      <c r="F209" s="130">
        <f t="shared" ref="F209:N210" si="43">F210</f>
        <v>109474.18245000001</v>
      </c>
      <c r="G209" s="130">
        <f t="shared" si="43"/>
        <v>549.6</v>
      </c>
      <c r="H209" s="130">
        <f t="shared" si="43"/>
        <v>110023.78245000001</v>
      </c>
      <c r="I209" s="130">
        <f t="shared" si="43"/>
        <v>104452.15175</v>
      </c>
      <c r="J209" s="130"/>
      <c r="K209" s="130">
        <f t="shared" si="43"/>
        <v>104452.15175</v>
      </c>
      <c r="L209" s="130">
        <f t="shared" si="43"/>
        <v>58326.899999999994</v>
      </c>
      <c r="M209" s="130"/>
      <c r="N209" s="130">
        <f t="shared" si="43"/>
        <v>58326.899999999994</v>
      </c>
    </row>
    <row r="210" spans="1:14" x14ac:dyDescent="0.25">
      <c r="A210" s="68"/>
      <c r="B210" s="17"/>
      <c r="C210" s="109" t="s">
        <v>5</v>
      </c>
      <c r="D210" s="108"/>
      <c r="E210" s="129" t="s">
        <v>6</v>
      </c>
      <c r="F210" s="130">
        <f t="shared" si="43"/>
        <v>109474.18245000001</v>
      </c>
      <c r="G210" s="130">
        <f t="shared" si="43"/>
        <v>549.6</v>
      </c>
      <c r="H210" s="130">
        <f t="shared" si="43"/>
        <v>110023.78245000001</v>
      </c>
      <c r="I210" s="130">
        <f t="shared" si="43"/>
        <v>104452.15175</v>
      </c>
      <c r="J210" s="130"/>
      <c r="K210" s="130">
        <f t="shared" si="43"/>
        <v>104452.15175</v>
      </c>
      <c r="L210" s="130">
        <f t="shared" si="43"/>
        <v>58326.899999999994</v>
      </c>
      <c r="M210" s="130"/>
      <c r="N210" s="130">
        <f t="shared" si="43"/>
        <v>58326.899999999994</v>
      </c>
    </row>
    <row r="211" spans="1:14" ht="25.5" x14ac:dyDescent="0.25">
      <c r="A211" s="112"/>
      <c r="B211" s="112"/>
      <c r="C211" s="113" t="s">
        <v>329</v>
      </c>
      <c r="D211" s="112"/>
      <c r="E211" s="114" t="s">
        <v>330</v>
      </c>
      <c r="F211" s="115">
        <f>F212+F244</f>
        <v>109474.18245000001</v>
      </c>
      <c r="G211" s="115">
        <f>G212+G244</f>
        <v>549.6</v>
      </c>
      <c r="H211" s="115">
        <f>H212+H244</f>
        <v>110023.78245000001</v>
      </c>
      <c r="I211" s="115">
        <f>I212+I244</f>
        <v>104452.15175</v>
      </c>
      <c r="J211" s="115"/>
      <c r="K211" s="115">
        <f>K212+K244</f>
        <v>104452.15175</v>
      </c>
      <c r="L211" s="115">
        <f>L212+L244</f>
        <v>58326.899999999994</v>
      </c>
      <c r="M211" s="115"/>
      <c r="N211" s="115">
        <f>N212+N244</f>
        <v>58326.899999999994</v>
      </c>
    </row>
    <row r="212" spans="1:14" ht="26.25" x14ac:dyDescent="0.25">
      <c r="A212" s="31"/>
      <c r="B212" s="31"/>
      <c r="C212" s="31" t="s">
        <v>331</v>
      </c>
      <c r="D212" s="31"/>
      <c r="E212" s="32" t="s">
        <v>332</v>
      </c>
      <c r="F212" s="75">
        <f>F213+F216+F223+F226+F235+F238</f>
        <v>103989.87000000001</v>
      </c>
      <c r="G212" s="75">
        <f>G213+G216+G223+G226+G235+G238</f>
        <v>1184</v>
      </c>
      <c r="H212" s="75">
        <f t="shared" ref="H212:N212" si="44">H213+H216+H223+H226+H235+H238</f>
        <v>105173.87000000001</v>
      </c>
      <c r="I212" s="75">
        <f t="shared" si="44"/>
        <v>104452.15175</v>
      </c>
      <c r="J212" s="75"/>
      <c r="K212" s="75">
        <f t="shared" si="44"/>
        <v>104452.15175</v>
      </c>
      <c r="L212" s="75">
        <f t="shared" si="44"/>
        <v>58326.899999999994</v>
      </c>
      <c r="M212" s="75"/>
      <c r="N212" s="75">
        <f t="shared" si="44"/>
        <v>58326.899999999994</v>
      </c>
    </row>
    <row r="213" spans="1:14" x14ac:dyDescent="0.25">
      <c r="A213" s="33"/>
      <c r="B213" s="33"/>
      <c r="C213" s="33" t="s">
        <v>333</v>
      </c>
      <c r="D213" s="33"/>
      <c r="E213" s="34" t="s">
        <v>334</v>
      </c>
      <c r="F213" s="71">
        <f>F214</f>
        <v>516</v>
      </c>
      <c r="G213" s="71">
        <f>G214</f>
        <v>-16</v>
      </c>
      <c r="H213" s="71">
        <f>H214</f>
        <v>500</v>
      </c>
      <c r="I213" s="71">
        <f>I214</f>
        <v>516</v>
      </c>
      <c r="J213" s="71"/>
      <c r="K213" s="71">
        <f>K214</f>
        <v>516</v>
      </c>
      <c r="L213" s="71">
        <f>L214</f>
        <v>0</v>
      </c>
      <c r="M213" s="71"/>
      <c r="N213" s="71">
        <f>N214</f>
        <v>0</v>
      </c>
    </row>
    <row r="214" spans="1:14" ht="26.25" x14ac:dyDescent="0.25">
      <c r="A214" s="6"/>
      <c r="B214" s="6"/>
      <c r="C214" s="6" t="s">
        <v>335</v>
      </c>
      <c r="D214" s="12"/>
      <c r="E214" s="3" t="s">
        <v>554</v>
      </c>
      <c r="F214" s="70">
        <f>SUM(F215)</f>
        <v>516</v>
      </c>
      <c r="G214" s="70">
        <f>G215</f>
        <v>-16</v>
      </c>
      <c r="H214" s="70">
        <f>SUM(H215)</f>
        <v>500</v>
      </c>
      <c r="I214" s="70">
        <f>SUM(I215)</f>
        <v>516</v>
      </c>
      <c r="J214" s="70"/>
      <c r="K214" s="70">
        <f>SUM(K215)</f>
        <v>516</v>
      </c>
      <c r="L214" s="70">
        <f>SUM(L215)</f>
        <v>0</v>
      </c>
      <c r="M214" s="70"/>
      <c r="N214" s="70">
        <f>SUM(N215)</f>
        <v>0</v>
      </c>
    </row>
    <row r="215" spans="1:14" x14ac:dyDescent="0.25">
      <c r="A215" s="6"/>
      <c r="B215" s="6"/>
      <c r="C215" s="6"/>
      <c r="D215" s="6" t="s">
        <v>281</v>
      </c>
      <c r="E215" s="3" t="s">
        <v>282</v>
      </c>
      <c r="F215" s="70">
        <v>516</v>
      </c>
      <c r="G215" s="70">
        <v>-16</v>
      </c>
      <c r="H215" s="70">
        <f>516-16</f>
        <v>500</v>
      </c>
      <c r="I215" s="70">
        <v>516</v>
      </c>
      <c r="J215" s="70"/>
      <c r="K215" s="70">
        <v>516</v>
      </c>
      <c r="L215" s="70">
        <v>0</v>
      </c>
      <c r="M215" s="70"/>
      <c r="N215" s="70">
        <v>0</v>
      </c>
    </row>
    <row r="216" spans="1:14" x14ac:dyDescent="0.25">
      <c r="A216" s="33"/>
      <c r="B216" s="33"/>
      <c r="C216" s="33" t="s">
        <v>846</v>
      </c>
      <c r="D216" s="33"/>
      <c r="E216" s="34" t="s">
        <v>847</v>
      </c>
      <c r="F216" s="71">
        <f>F217+F219</f>
        <v>3220.5</v>
      </c>
      <c r="G216" s="71">
        <f>G217+G219+G221</f>
        <v>0</v>
      </c>
      <c r="H216" s="71">
        <f>H217+H219+H221</f>
        <v>3220.5</v>
      </c>
      <c r="I216" s="71">
        <f>I217</f>
        <v>0</v>
      </c>
      <c r="J216" s="71"/>
      <c r="K216" s="71">
        <f>K217</f>
        <v>0</v>
      </c>
      <c r="L216" s="71">
        <f>L217</f>
        <v>0</v>
      </c>
      <c r="M216" s="71"/>
      <c r="N216" s="71">
        <f>N217</f>
        <v>0</v>
      </c>
    </row>
    <row r="217" spans="1:14" ht="26.25" x14ac:dyDescent="0.25">
      <c r="A217" s="6"/>
      <c r="B217" s="6"/>
      <c r="C217" s="6" t="s">
        <v>848</v>
      </c>
      <c r="D217" s="12"/>
      <c r="E217" s="3" t="s">
        <v>849</v>
      </c>
      <c r="F217" s="70">
        <f>F218</f>
        <v>3150</v>
      </c>
      <c r="G217" s="70"/>
      <c r="H217" s="70">
        <f>SUM(H218)</f>
        <v>3150</v>
      </c>
      <c r="I217" s="70">
        <f>SUM(I218)</f>
        <v>0</v>
      </c>
      <c r="J217" s="70"/>
      <c r="K217" s="70">
        <f>SUM(K218)</f>
        <v>0</v>
      </c>
      <c r="L217" s="70">
        <f>SUM(L218)</f>
        <v>0</v>
      </c>
      <c r="M217" s="70"/>
      <c r="N217" s="70">
        <f>SUM(N218)</f>
        <v>0</v>
      </c>
    </row>
    <row r="218" spans="1:14" x14ac:dyDescent="0.25">
      <c r="A218" s="6"/>
      <c r="B218" s="6"/>
      <c r="C218" s="6"/>
      <c r="D218" s="6" t="s">
        <v>281</v>
      </c>
      <c r="E218" s="3" t="s">
        <v>282</v>
      </c>
      <c r="F218" s="70">
        <v>3150</v>
      </c>
      <c r="G218" s="70"/>
      <c r="H218" s="70">
        <v>3150</v>
      </c>
      <c r="I218" s="70">
        <v>0</v>
      </c>
      <c r="J218" s="70"/>
      <c r="K218" s="70">
        <v>0</v>
      </c>
      <c r="L218" s="70">
        <v>0</v>
      </c>
      <c r="M218" s="70"/>
      <c r="N218" s="70">
        <v>0</v>
      </c>
    </row>
    <row r="219" spans="1:14" ht="39" x14ac:dyDescent="0.25">
      <c r="A219" s="6"/>
      <c r="B219" s="6"/>
      <c r="C219" s="6" t="s">
        <v>869</v>
      </c>
      <c r="D219" s="6"/>
      <c r="E219" s="3" t="s">
        <v>870</v>
      </c>
      <c r="F219" s="70">
        <v>70.5</v>
      </c>
      <c r="G219" s="70"/>
      <c r="H219" s="70">
        <f>H220</f>
        <v>70.5</v>
      </c>
      <c r="I219" s="70"/>
      <c r="J219" s="70"/>
      <c r="K219" s="70"/>
      <c r="L219" s="70"/>
      <c r="M219" s="70"/>
      <c r="N219" s="70"/>
    </row>
    <row r="220" spans="1:14" x14ac:dyDescent="0.25">
      <c r="A220" s="6"/>
      <c r="B220" s="6"/>
      <c r="C220" s="6"/>
      <c r="D220" s="6" t="s">
        <v>281</v>
      </c>
      <c r="E220" s="3" t="s">
        <v>282</v>
      </c>
      <c r="F220" s="70">
        <v>70.5</v>
      </c>
      <c r="G220" s="70"/>
      <c r="H220" s="70">
        <v>70.5</v>
      </c>
      <c r="I220" s="70"/>
      <c r="J220" s="70"/>
      <c r="K220" s="70"/>
      <c r="L220" s="70"/>
      <c r="M220" s="70"/>
      <c r="N220" s="70"/>
    </row>
    <row r="221" spans="1:14" ht="26.25" x14ac:dyDescent="0.25">
      <c r="A221" s="6"/>
      <c r="B221" s="6"/>
      <c r="C221" s="6" t="s">
        <v>916</v>
      </c>
      <c r="D221" s="12"/>
      <c r="E221" s="3" t="s">
        <v>917</v>
      </c>
      <c r="F221" s="70"/>
      <c r="G221" s="70">
        <f>G222</f>
        <v>0</v>
      </c>
      <c r="H221" s="70">
        <f>H222</f>
        <v>0</v>
      </c>
      <c r="I221" s="70"/>
      <c r="J221" s="70"/>
      <c r="K221" s="70"/>
      <c r="L221" s="70"/>
      <c r="M221" s="70"/>
      <c r="N221" s="70"/>
    </row>
    <row r="222" spans="1:14" x14ac:dyDescent="0.25">
      <c r="A222" s="6"/>
      <c r="B222" s="6"/>
      <c r="C222" s="6"/>
      <c r="D222" s="6" t="s">
        <v>281</v>
      </c>
      <c r="E222" s="3" t="s">
        <v>282</v>
      </c>
      <c r="F222" s="70"/>
      <c r="G222" s="70">
        <f>200-200</f>
        <v>0</v>
      </c>
      <c r="H222" s="70">
        <v>0</v>
      </c>
      <c r="I222" s="70"/>
      <c r="J222" s="70"/>
      <c r="K222" s="70"/>
      <c r="L222" s="70"/>
      <c r="M222" s="70"/>
      <c r="N222" s="70"/>
    </row>
    <row r="223" spans="1:14" ht="26.25" x14ac:dyDescent="0.25">
      <c r="A223" s="33"/>
      <c r="B223" s="33"/>
      <c r="C223" s="33" t="s">
        <v>856</v>
      </c>
      <c r="D223" s="33"/>
      <c r="E223" s="34" t="s">
        <v>855</v>
      </c>
      <c r="F223" s="71">
        <f>F224</f>
        <v>974.9</v>
      </c>
      <c r="G223" s="71"/>
      <c r="H223" s="71">
        <f>H224</f>
        <v>974.9</v>
      </c>
      <c r="I223" s="71">
        <f>I224</f>
        <v>0</v>
      </c>
      <c r="J223" s="71"/>
      <c r="K223" s="71">
        <f>K224</f>
        <v>0</v>
      </c>
      <c r="L223" s="71">
        <f>L224</f>
        <v>0</v>
      </c>
      <c r="M223" s="71"/>
      <c r="N223" s="71">
        <f>N224</f>
        <v>0</v>
      </c>
    </row>
    <row r="224" spans="1:14" ht="25.5" x14ac:dyDescent="0.25">
      <c r="A224" s="6"/>
      <c r="B224" s="6"/>
      <c r="C224" s="4" t="s">
        <v>857</v>
      </c>
      <c r="D224" s="4"/>
      <c r="E224" s="5" t="s">
        <v>858</v>
      </c>
      <c r="F224" s="70">
        <f>F225</f>
        <v>974.9</v>
      </c>
      <c r="G224" s="70"/>
      <c r="H224" s="70">
        <f>SUM(H225)</f>
        <v>974.9</v>
      </c>
      <c r="I224" s="70">
        <f>SUM(I225)</f>
        <v>0</v>
      </c>
      <c r="J224" s="70"/>
      <c r="K224" s="70">
        <f>SUM(K225)</f>
        <v>0</v>
      </c>
      <c r="L224" s="70">
        <f>SUM(L225)</f>
        <v>0</v>
      </c>
      <c r="M224" s="70"/>
      <c r="N224" s="70">
        <f>SUM(N225)</f>
        <v>0</v>
      </c>
    </row>
    <row r="225" spans="1:14" x14ac:dyDescent="0.25">
      <c r="A225" s="6"/>
      <c r="B225" s="6"/>
      <c r="C225" s="6"/>
      <c r="D225" s="6" t="s">
        <v>281</v>
      </c>
      <c r="E225" s="3" t="s">
        <v>282</v>
      </c>
      <c r="F225" s="70">
        <v>974.9</v>
      </c>
      <c r="G225" s="70"/>
      <c r="H225" s="70">
        <v>974.9</v>
      </c>
      <c r="I225" s="70">
        <v>0</v>
      </c>
      <c r="J225" s="70"/>
      <c r="K225" s="70">
        <v>0</v>
      </c>
      <c r="L225" s="70">
        <v>0</v>
      </c>
      <c r="M225" s="70"/>
      <c r="N225" s="70">
        <v>0</v>
      </c>
    </row>
    <row r="226" spans="1:14" ht="26.25" x14ac:dyDescent="0.25">
      <c r="A226" s="33"/>
      <c r="B226" s="33"/>
      <c r="C226" s="33" t="s">
        <v>336</v>
      </c>
      <c r="D226" s="33"/>
      <c r="E226" s="34" t="s">
        <v>337</v>
      </c>
      <c r="F226" s="71">
        <f>F227+F231+F233</f>
        <v>34696</v>
      </c>
      <c r="G226" s="71">
        <f>G227+G231+G233</f>
        <v>1200</v>
      </c>
      <c r="H226" s="71">
        <f>H227+H231+H233</f>
        <v>35896</v>
      </c>
      <c r="I226" s="71">
        <f>I227+I231+I233</f>
        <v>30690.3</v>
      </c>
      <c r="J226" s="71"/>
      <c r="K226" s="71">
        <f>K227+K231+K233</f>
        <v>30690.3</v>
      </c>
      <c r="L226" s="71">
        <f>L227+L231+L233</f>
        <v>29030.1</v>
      </c>
      <c r="M226" s="71"/>
      <c r="N226" s="71">
        <f>N227+N231+N233</f>
        <v>29030.1</v>
      </c>
    </row>
    <row r="227" spans="1:14" x14ac:dyDescent="0.25">
      <c r="A227" s="6"/>
      <c r="B227" s="6"/>
      <c r="C227" s="6" t="s">
        <v>338</v>
      </c>
      <c r="D227" s="12"/>
      <c r="E227" s="3" t="s">
        <v>555</v>
      </c>
      <c r="F227" s="70">
        <f>F229+F230</f>
        <v>29008.6</v>
      </c>
      <c r="G227" s="70"/>
      <c r="H227" s="70">
        <f>H229+H230</f>
        <v>29008.6</v>
      </c>
      <c r="I227" s="70">
        <f>I229+I230</f>
        <v>29030.1</v>
      </c>
      <c r="J227" s="70"/>
      <c r="K227" s="70">
        <f>K229+K230</f>
        <v>29030.1</v>
      </c>
      <c r="L227" s="70">
        <f>L229+L230</f>
        <v>29030.1</v>
      </c>
      <c r="M227" s="70"/>
      <c r="N227" s="70">
        <f>N229+N230</f>
        <v>29030.1</v>
      </c>
    </row>
    <row r="228" spans="1:14" x14ac:dyDescent="0.25">
      <c r="A228" s="6"/>
      <c r="B228" s="6"/>
      <c r="C228" s="6"/>
      <c r="D228" s="6" t="s">
        <v>281</v>
      </c>
      <c r="E228" s="3" t="s">
        <v>282</v>
      </c>
      <c r="F228" s="70">
        <f>SUM(F229+F230)</f>
        <v>29008.6</v>
      </c>
      <c r="G228" s="70"/>
      <c r="H228" s="70">
        <f>SUM(H229+H230)</f>
        <v>29008.6</v>
      </c>
      <c r="I228" s="70">
        <f>SUM(I229+I230)</f>
        <v>29030.1</v>
      </c>
      <c r="J228" s="70"/>
      <c r="K228" s="70">
        <f>SUM(K229+K230)</f>
        <v>29030.1</v>
      </c>
      <c r="L228" s="70">
        <f>SUM(L229+L230)</f>
        <v>29030.1</v>
      </c>
      <c r="M228" s="70"/>
      <c r="N228" s="70">
        <f>SUM(N229+N230)</f>
        <v>29030.1</v>
      </c>
    </row>
    <row r="229" spans="1:14" x14ac:dyDescent="0.25">
      <c r="A229" s="6"/>
      <c r="B229" s="6"/>
      <c r="C229" s="6"/>
      <c r="D229" s="6"/>
      <c r="E229" s="3" t="s">
        <v>83</v>
      </c>
      <c r="F229" s="70">
        <v>26107.599999999999</v>
      </c>
      <c r="G229" s="70"/>
      <c r="H229" s="70">
        <v>26107.599999999999</v>
      </c>
      <c r="I229" s="70">
        <v>26127.1</v>
      </c>
      <c r="J229" s="70"/>
      <c r="K229" s="70">
        <v>26127.1</v>
      </c>
      <c r="L229" s="70">
        <v>26127.1</v>
      </c>
      <c r="M229" s="70"/>
      <c r="N229" s="70">
        <v>26127.1</v>
      </c>
    </row>
    <row r="230" spans="1:14" x14ac:dyDescent="0.25">
      <c r="A230" s="6"/>
      <c r="B230" s="6"/>
      <c r="C230" s="6"/>
      <c r="D230" s="6"/>
      <c r="E230" s="3" t="s">
        <v>150</v>
      </c>
      <c r="F230" s="70">
        <v>2901</v>
      </c>
      <c r="G230" s="70"/>
      <c r="H230" s="70">
        <v>2901</v>
      </c>
      <c r="I230" s="70">
        <v>2903</v>
      </c>
      <c r="J230" s="70"/>
      <c r="K230" s="70">
        <v>2903</v>
      </c>
      <c r="L230" s="70">
        <v>2903</v>
      </c>
      <c r="M230" s="70"/>
      <c r="N230" s="70">
        <v>2903</v>
      </c>
    </row>
    <row r="231" spans="1:14" x14ac:dyDescent="0.25">
      <c r="A231" s="6"/>
      <c r="B231" s="6"/>
      <c r="C231" s="6" t="s">
        <v>461</v>
      </c>
      <c r="D231" s="12"/>
      <c r="E231" s="3" t="s">
        <v>556</v>
      </c>
      <c r="F231" s="70">
        <v>4287.5</v>
      </c>
      <c r="G231" s="70"/>
      <c r="H231" s="70">
        <f>H232</f>
        <v>4287.5</v>
      </c>
      <c r="I231" s="70">
        <f>I232</f>
        <v>0</v>
      </c>
      <c r="J231" s="70"/>
      <c r="K231" s="70">
        <f>K232</f>
        <v>0</v>
      </c>
      <c r="L231" s="70">
        <f>L232</f>
        <v>0</v>
      </c>
      <c r="M231" s="70"/>
      <c r="N231" s="70">
        <f>N232</f>
        <v>0</v>
      </c>
    </row>
    <row r="232" spans="1:14" x14ac:dyDescent="0.25">
      <c r="A232" s="6"/>
      <c r="B232" s="6"/>
      <c r="C232" s="6"/>
      <c r="D232" s="6" t="s">
        <v>281</v>
      </c>
      <c r="E232" s="3" t="s">
        <v>282</v>
      </c>
      <c r="F232" s="70">
        <v>4287.5</v>
      </c>
      <c r="G232" s="70"/>
      <c r="H232" s="70">
        <v>4287.5</v>
      </c>
      <c r="I232" s="70">
        <v>0</v>
      </c>
      <c r="J232" s="70"/>
      <c r="K232" s="70">
        <v>0</v>
      </c>
      <c r="L232" s="70">
        <v>0</v>
      </c>
      <c r="M232" s="70"/>
      <c r="N232" s="70">
        <v>0</v>
      </c>
    </row>
    <row r="233" spans="1:14" x14ac:dyDescent="0.25">
      <c r="A233" s="6"/>
      <c r="B233" s="6"/>
      <c r="C233" s="6" t="s">
        <v>339</v>
      </c>
      <c r="D233" s="12"/>
      <c r="E233" s="3" t="s">
        <v>687</v>
      </c>
      <c r="F233" s="70">
        <v>1399.9</v>
      </c>
      <c r="G233" s="70">
        <f>G234</f>
        <v>1200</v>
      </c>
      <c r="H233" s="70">
        <f>H234</f>
        <v>2599.9</v>
      </c>
      <c r="I233" s="70">
        <f>I234</f>
        <v>1660.2</v>
      </c>
      <c r="J233" s="70"/>
      <c r="K233" s="70">
        <f>K234</f>
        <v>1660.2</v>
      </c>
      <c r="L233" s="70">
        <f>L234</f>
        <v>0</v>
      </c>
      <c r="M233" s="70"/>
      <c r="N233" s="70">
        <f>N234</f>
        <v>0</v>
      </c>
    </row>
    <row r="234" spans="1:14" x14ac:dyDescent="0.25">
      <c r="A234" s="4"/>
      <c r="B234" s="4"/>
      <c r="C234" s="4"/>
      <c r="D234" s="6" t="s">
        <v>281</v>
      </c>
      <c r="E234" s="3" t="s">
        <v>282</v>
      </c>
      <c r="F234" s="70">
        <v>1399.9</v>
      </c>
      <c r="G234" s="70">
        <v>1200</v>
      </c>
      <c r="H234" s="70">
        <f>SUM(F234:G234)</f>
        <v>2599.9</v>
      </c>
      <c r="I234" s="70">
        <v>1660.2</v>
      </c>
      <c r="J234" s="70"/>
      <c r="K234" s="70">
        <v>1660.2</v>
      </c>
      <c r="L234" s="70">
        <v>0</v>
      </c>
      <c r="M234" s="70"/>
      <c r="N234" s="70">
        <v>0</v>
      </c>
    </row>
    <row r="235" spans="1:14" x14ac:dyDescent="0.25">
      <c r="A235" s="33"/>
      <c r="B235" s="33"/>
      <c r="C235" s="33" t="s">
        <v>340</v>
      </c>
      <c r="D235" s="33"/>
      <c r="E235" s="34" t="s">
        <v>688</v>
      </c>
      <c r="F235" s="71">
        <f>F236</f>
        <v>22717.7</v>
      </c>
      <c r="G235" s="71">
        <f>G236</f>
        <v>0</v>
      </c>
      <c r="H235" s="71">
        <f>H236</f>
        <v>22717.7</v>
      </c>
      <c r="I235" s="71">
        <f>I236</f>
        <v>23096.2</v>
      </c>
      <c r="J235" s="71"/>
      <c r="K235" s="71">
        <f>K236</f>
        <v>23096.2</v>
      </c>
      <c r="L235" s="71">
        <f>L236</f>
        <v>29296.799999999996</v>
      </c>
      <c r="M235" s="71"/>
      <c r="N235" s="71">
        <f>N236</f>
        <v>29296.799999999996</v>
      </c>
    </row>
    <row r="236" spans="1:14" ht="26.25" x14ac:dyDescent="0.25">
      <c r="A236" s="6"/>
      <c r="B236" s="6"/>
      <c r="C236" s="6" t="s">
        <v>341</v>
      </c>
      <c r="D236" s="12"/>
      <c r="E236" s="3" t="s">
        <v>689</v>
      </c>
      <c r="F236" s="70">
        <f>F237</f>
        <v>22717.7</v>
      </c>
      <c r="G236" s="70"/>
      <c r="H236" s="70">
        <f>H237</f>
        <v>22717.7</v>
      </c>
      <c r="I236" s="70">
        <v>23096.2</v>
      </c>
      <c r="J236" s="70"/>
      <c r="K236" s="70">
        <v>23096.2</v>
      </c>
      <c r="L236" s="70">
        <f>34650.2-5353.4</f>
        <v>29296.799999999996</v>
      </c>
      <c r="M236" s="70"/>
      <c r="N236" s="70">
        <f>34650.2-5353.4</f>
        <v>29296.799999999996</v>
      </c>
    </row>
    <row r="237" spans="1:14" x14ac:dyDescent="0.25">
      <c r="A237" s="6"/>
      <c r="B237" s="6"/>
      <c r="C237" s="6"/>
      <c r="D237" s="6" t="s">
        <v>281</v>
      </c>
      <c r="E237" s="3" t="s">
        <v>282</v>
      </c>
      <c r="F237" s="70">
        <v>22717.7</v>
      </c>
      <c r="G237" s="70"/>
      <c r="H237" s="70">
        <f>SUM(F237:G237)</f>
        <v>22717.7</v>
      </c>
      <c r="I237" s="70">
        <v>23096.2</v>
      </c>
      <c r="J237" s="70"/>
      <c r="K237" s="70">
        <v>23096.2</v>
      </c>
      <c r="L237" s="70">
        <f>34650.2-5353.4</f>
        <v>29296.799999999996</v>
      </c>
      <c r="M237" s="70"/>
      <c r="N237" s="70">
        <f>34650.2-5353.4</f>
        <v>29296.799999999996</v>
      </c>
    </row>
    <row r="238" spans="1:14" ht="26.25" x14ac:dyDescent="0.25">
      <c r="A238" s="33"/>
      <c r="B238" s="33"/>
      <c r="C238" s="33" t="s">
        <v>513</v>
      </c>
      <c r="D238" s="33"/>
      <c r="E238" s="34" t="s">
        <v>514</v>
      </c>
      <c r="F238" s="71">
        <f>F239</f>
        <v>41864.770000000004</v>
      </c>
      <c r="G238" s="71"/>
      <c r="H238" s="71">
        <f>H239</f>
        <v>41864.770000000004</v>
      </c>
      <c r="I238" s="71">
        <f>I239</f>
        <v>50149.651750000005</v>
      </c>
      <c r="J238" s="71"/>
      <c r="K238" s="71">
        <f>K239</f>
        <v>50149.651750000005</v>
      </c>
      <c r="L238" s="71">
        <v>0</v>
      </c>
      <c r="M238" s="71"/>
      <c r="N238" s="71">
        <v>0</v>
      </c>
    </row>
    <row r="239" spans="1:14" x14ac:dyDescent="0.25">
      <c r="A239" s="6"/>
      <c r="B239" s="6"/>
      <c r="C239" s="6" t="s">
        <v>515</v>
      </c>
      <c r="D239" s="6"/>
      <c r="E239" s="3" t="s">
        <v>516</v>
      </c>
      <c r="F239" s="70">
        <f>F240</f>
        <v>41864.770000000004</v>
      </c>
      <c r="G239" s="70"/>
      <c r="H239" s="70">
        <f>H240</f>
        <v>41864.770000000004</v>
      </c>
      <c r="I239" s="70">
        <f>I240</f>
        <v>50149.651750000005</v>
      </c>
      <c r="J239" s="70"/>
      <c r="K239" s="70">
        <f>K240</f>
        <v>50149.651750000005</v>
      </c>
      <c r="L239" s="70">
        <v>0</v>
      </c>
      <c r="M239" s="70"/>
      <c r="N239" s="70">
        <v>0</v>
      </c>
    </row>
    <row r="240" spans="1:14" x14ac:dyDescent="0.25">
      <c r="A240" s="6"/>
      <c r="B240" s="6"/>
      <c r="C240" s="6"/>
      <c r="D240" s="6" t="s">
        <v>281</v>
      </c>
      <c r="E240" s="3" t="s">
        <v>282</v>
      </c>
      <c r="F240" s="70">
        <f>F241+F242+F243</f>
        <v>41864.770000000004</v>
      </c>
      <c r="G240" s="70"/>
      <c r="H240" s="70">
        <f>H241+H242+H243</f>
        <v>41864.770000000004</v>
      </c>
      <c r="I240" s="70">
        <f>I241+I242+I243</f>
        <v>50149.651750000005</v>
      </c>
      <c r="J240" s="70"/>
      <c r="K240" s="70">
        <f>K241+K242+K243</f>
        <v>50149.651750000005</v>
      </c>
      <c r="L240" s="70">
        <v>0</v>
      </c>
      <c r="M240" s="70"/>
      <c r="N240" s="70">
        <v>0</v>
      </c>
    </row>
    <row r="241" spans="1:14" x14ac:dyDescent="0.25">
      <c r="A241" s="6"/>
      <c r="B241" s="6"/>
      <c r="C241" s="6"/>
      <c r="D241" s="6"/>
      <c r="E241" s="3" t="s">
        <v>188</v>
      </c>
      <c r="F241" s="70">
        <v>39572.673840000003</v>
      </c>
      <c r="G241" s="70"/>
      <c r="H241" s="70">
        <v>39572.673840000003</v>
      </c>
      <c r="I241" s="70">
        <v>47403.956680000003</v>
      </c>
      <c r="J241" s="70"/>
      <c r="K241" s="70">
        <v>47403.956680000003</v>
      </c>
      <c r="L241" s="70">
        <v>0</v>
      </c>
      <c r="M241" s="70"/>
      <c r="N241" s="70">
        <v>0</v>
      </c>
    </row>
    <row r="242" spans="1:14" x14ac:dyDescent="0.25">
      <c r="A242" s="6"/>
      <c r="B242" s="6"/>
      <c r="C242" s="6"/>
      <c r="D242" s="6"/>
      <c r="E242" s="3" t="s">
        <v>186</v>
      </c>
      <c r="F242" s="70">
        <v>2082.7723099999998</v>
      </c>
      <c r="G242" s="70"/>
      <c r="H242" s="70">
        <v>2082.7723099999998</v>
      </c>
      <c r="I242" s="70">
        <v>2494.9450700000002</v>
      </c>
      <c r="J242" s="70"/>
      <c r="K242" s="70">
        <v>2494.9450700000002</v>
      </c>
      <c r="L242" s="70">
        <v>0</v>
      </c>
      <c r="M242" s="70"/>
      <c r="N242" s="70">
        <v>0</v>
      </c>
    </row>
    <row r="243" spans="1:14" x14ac:dyDescent="0.25">
      <c r="A243" s="6"/>
      <c r="B243" s="6"/>
      <c r="C243" s="6"/>
      <c r="D243" s="6"/>
      <c r="E243" s="3" t="s">
        <v>150</v>
      </c>
      <c r="F243" s="70">
        <v>209.32384999999999</v>
      </c>
      <c r="G243" s="70"/>
      <c r="H243" s="70">
        <v>209.32384999999999</v>
      </c>
      <c r="I243" s="70">
        <v>250.75</v>
      </c>
      <c r="J243" s="70"/>
      <c r="K243" s="70">
        <v>250.75</v>
      </c>
      <c r="L243" s="70">
        <v>0</v>
      </c>
      <c r="M243" s="70"/>
      <c r="N243" s="70">
        <v>0</v>
      </c>
    </row>
    <row r="244" spans="1:14" ht="26.25" x14ac:dyDescent="0.25">
      <c r="A244" s="31"/>
      <c r="B244" s="31"/>
      <c r="C244" s="31" t="s">
        <v>348</v>
      </c>
      <c r="D244" s="31"/>
      <c r="E244" s="32" t="s">
        <v>349</v>
      </c>
      <c r="F244" s="75">
        <f>F245+F252</f>
        <v>5484.3124499999994</v>
      </c>
      <c r="G244" s="75">
        <f>G245+G252</f>
        <v>-634.4</v>
      </c>
      <c r="H244" s="75">
        <f>H245+H252</f>
        <v>4849.9124499999998</v>
      </c>
      <c r="I244" s="75">
        <f t="shared" ref="I244:N246" si="45">I245</f>
        <v>0</v>
      </c>
      <c r="J244" s="75"/>
      <c r="K244" s="75">
        <f t="shared" si="45"/>
        <v>0</v>
      </c>
      <c r="L244" s="75">
        <f t="shared" si="45"/>
        <v>0</v>
      </c>
      <c r="M244" s="75"/>
      <c r="N244" s="75">
        <f t="shared" si="45"/>
        <v>0</v>
      </c>
    </row>
    <row r="245" spans="1:14" ht="26.25" x14ac:dyDescent="0.25">
      <c r="A245" s="33"/>
      <c r="B245" s="33"/>
      <c r="C245" s="33" t="s">
        <v>350</v>
      </c>
      <c r="D245" s="33"/>
      <c r="E245" s="56" t="s">
        <v>552</v>
      </c>
      <c r="F245" s="71">
        <f>F246+F248</f>
        <v>4642.9124499999998</v>
      </c>
      <c r="G245" s="71"/>
      <c r="H245" s="71">
        <f>H246+H248</f>
        <v>4642.9124499999998</v>
      </c>
      <c r="I245" s="71">
        <f t="shared" si="45"/>
        <v>0</v>
      </c>
      <c r="J245" s="71"/>
      <c r="K245" s="71">
        <f t="shared" si="45"/>
        <v>0</v>
      </c>
      <c r="L245" s="71">
        <f t="shared" si="45"/>
        <v>0</v>
      </c>
      <c r="M245" s="71"/>
      <c r="N245" s="71">
        <f t="shared" si="45"/>
        <v>0</v>
      </c>
    </row>
    <row r="246" spans="1:14" ht="26.25" x14ac:dyDescent="0.25">
      <c r="A246" s="98"/>
      <c r="B246" s="98"/>
      <c r="C246" s="6" t="s">
        <v>351</v>
      </c>
      <c r="D246" s="6"/>
      <c r="E246" s="9" t="s">
        <v>794</v>
      </c>
      <c r="F246" s="70">
        <f>F247</f>
        <v>1663.8</v>
      </c>
      <c r="G246" s="70"/>
      <c r="H246" s="70">
        <f>H247</f>
        <v>1663.8</v>
      </c>
      <c r="I246" s="70">
        <f t="shared" si="45"/>
        <v>0</v>
      </c>
      <c r="J246" s="70"/>
      <c r="K246" s="70">
        <f t="shared" si="45"/>
        <v>0</v>
      </c>
      <c r="L246" s="70">
        <f t="shared" si="45"/>
        <v>0</v>
      </c>
      <c r="M246" s="70"/>
      <c r="N246" s="70">
        <f t="shared" si="45"/>
        <v>0</v>
      </c>
    </row>
    <row r="247" spans="1:14" x14ac:dyDescent="0.25">
      <c r="A247" s="98"/>
      <c r="B247" s="98"/>
      <c r="C247" s="6"/>
      <c r="D247" s="6" t="s">
        <v>281</v>
      </c>
      <c r="E247" s="3" t="s">
        <v>282</v>
      </c>
      <c r="F247" s="70">
        <v>1663.8</v>
      </c>
      <c r="G247" s="70"/>
      <c r="H247" s="70">
        <v>1663.8</v>
      </c>
      <c r="I247" s="70">
        <v>0</v>
      </c>
      <c r="J247" s="70"/>
      <c r="K247" s="70">
        <v>0</v>
      </c>
      <c r="L247" s="70">
        <v>0</v>
      </c>
      <c r="M247" s="70"/>
      <c r="N247" s="70">
        <v>0</v>
      </c>
    </row>
    <row r="248" spans="1:14" ht="26.25" x14ac:dyDescent="0.25">
      <c r="A248" s="98"/>
      <c r="B248" s="98"/>
      <c r="C248" s="6" t="s">
        <v>789</v>
      </c>
      <c r="D248" s="6"/>
      <c r="E248" s="3" t="s">
        <v>790</v>
      </c>
      <c r="F248" s="70">
        <f>F249</f>
        <v>2979.1124500000001</v>
      </c>
      <c r="G248" s="70"/>
      <c r="H248" s="70">
        <f>H249</f>
        <v>2979.1124500000001</v>
      </c>
      <c r="I248" s="70">
        <v>0</v>
      </c>
      <c r="J248" s="70"/>
      <c r="K248" s="70">
        <v>0</v>
      </c>
      <c r="L248" s="70">
        <v>0</v>
      </c>
      <c r="M248" s="70"/>
      <c r="N248" s="70">
        <v>0</v>
      </c>
    </row>
    <row r="249" spans="1:14" x14ac:dyDescent="0.25">
      <c r="A249" s="98"/>
      <c r="B249" s="98"/>
      <c r="C249" s="6"/>
      <c r="D249" s="6" t="s">
        <v>281</v>
      </c>
      <c r="E249" s="3" t="s">
        <v>282</v>
      </c>
      <c r="F249" s="70">
        <f>F250+F251</f>
        <v>2979.1124500000001</v>
      </c>
      <c r="G249" s="70"/>
      <c r="H249" s="70">
        <f>H250+H251</f>
        <v>2979.1124500000001</v>
      </c>
      <c r="I249" s="70">
        <v>0</v>
      </c>
      <c r="J249" s="70"/>
      <c r="K249" s="70">
        <v>0</v>
      </c>
      <c r="L249" s="70">
        <v>0</v>
      </c>
      <c r="M249" s="70"/>
      <c r="N249" s="70">
        <v>0</v>
      </c>
    </row>
    <row r="250" spans="1:14" x14ac:dyDescent="0.25">
      <c r="A250" s="98"/>
      <c r="B250" s="98"/>
      <c r="C250" s="6"/>
      <c r="D250" s="6"/>
      <c r="E250" s="3" t="s">
        <v>186</v>
      </c>
      <c r="F250" s="70">
        <v>2681.2012</v>
      </c>
      <c r="G250" s="70"/>
      <c r="H250" s="70">
        <v>2681.2012</v>
      </c>
      <c r="I250" s="70">
        <v>0</v>
      </c>
      <c r="J250" s="70"/>
      <c r="K250" s="70">
        <v>0</v>
      </c>
      <c r="L250" s="70">
        <v>0</v>
      </c>
      <c r="M250" s="70"/>
      <c r="N250" s="70">
        <v>0</v>
      </c>
    </row>
    <row r="251" spans="1:14" x14ac:dyDescent="0.25">
      <c r="A251" s="98"/>
      <c r="B251" s="98"/>
      <c r="C251" s="6"/>
      <c r="D251" s="6"/>
      <c r="E251" s="3" t="s">
        <v>150</v>
      </c>
      <c r="F251" s="70">
        <v>297.91125</v>
      </c>
      <c r="G251" s="70"/>
      <c r="H251" s="70">
        <v>297.91125</v>
      </c>
      <c r="I251" s="70">
        <v>0</v>
      </c>
      <c r="J251" s="70"/>
      <c r="K251" s="70">
        <v>0</v>
      </c>
      <c r="L251" s="70">
        <v>0</v>
      </c>
      <c r="M251" s="70"/>
      <c r="N251" s="70">
        <v>0</v>
      </c>
    </row>
    <row r="252" spans="1:14" ht="26.25" x14ac:dyDescent="0.25">
      <c r="A252" s="33"/>
      <c r="B252" s="33"/>
      <c r="C252" s="33" t="s">
        <v>517</v>
      </c>
      <c r="D252" s="33"/>
      <c r="E252" s="56" t="s">
        <v>498</v>
      </c>
      <c r="F252" s="71">
        <f>F253+F255</f>
        <v>841.4</v>
      </c>
      <c r="G252" s="71">
        <f>G253+G255</f>
        <v>-634.4</v>
      </c>
      <c r="H252" s="71">
        <f>H253+H255</f>
        <v>207</v>
      </c>
      <c r="I252" s="71">
        <f>I253</f>
        <v>0</v>
      </c>
      <c r="J252" s="71"/>
      <c r="K252" s="71">
        <f>K253</f>
        <v>0</v>
      </c>
      <c r="L252" s="71">
        <f>L253</f>
        <v>0</v>
      </c>
      <c r="M252" s="71"/>
      <c r="N252" s="71">
        <f>N253</f>
        <v>0</v>
      </c>
    </row>
    <row r="253" spans="1:14" x14ac:dyDescent="0.25">
      <c r="A253" s="98"/>
      <c r="B253" s="98"/>
      <c r="C253" s="6" t="s">
        <v>518</v>
      </c>
      <c r="D253" s="6"/>
      <c r="E253" s="9" t="s">
        <v>499</v>
      </c>
      <c r="F253" s="70">
        <f>F254</f>
        <v>361.7</v>
      </c>
      <c r="G253" s="70">
        <f>G254</f>
        <v>-169.7</v>
      </c>
      <c r="H253" s="70">
        <f>H254</f>
        <v>192</v>
      </c>
      <c r="I253" s="70">
        <f>I254</f>
        <v>0</v>
      </c>
      <c r="J253" s="70"/>
      <c r="K253" s="70">
        <f>K254</f>
        <v>0</v>
      </c>
      <c r="L253" s="70">
        <f>L254</f>
        <v>0</v>
      </c>
      <c r="M253" s="70"/>
      <c r="N253" s="70">
        <f>N254</f>
        <v>0</v>
      </c>
    </row>
    <row r="254" spans="1:14" x14ac:dyDescent="0.25">
      <c r="A254" s="98"/>
      <c r="B254" s="98"/>
      <c r="C254" s="6"/>
      <c r="D254" s="6" t="s">
        <v>281</v>
      </c>
      <c r="E254" s="3" t="s">
        <v>282</v>
      </c>
      <c r="F254" s="70">
        <v>361.7</v>
      </c>
      <c r="G254" s="70">
        <v>-169.7</v>
      </c>
      <c r="H254" s="70">
        <f>SUM(F254:G254)</f>
        <v>192</v>
      </c>
      <c r="I254" s="70">
        <v>0</v>
      </c>
      <c r="J254" s="70"/>
      <c r="K254" s="70">
        <v>0</v>
      </c>
      <c r="L254" s="70">
        <v>0</v>
      </c>
      <c r="M254" s="70"/>
      <c r="N254" s="70">
        <v>0</v>
      </c>
    </row>
    <row r="255" spans="1:14" ht="26.25" x14ac:dyDescent="0.25">
      <c r="A255" s="98"/>
      <c r="B255" s="98"/>
      <c r="C255" s="6" t="s">
        <v>519</v>
      </c>
      <c r="D255" s="6"/>
      <c r="E255" s="9" t="s">
        <v>500</v>
      </c>
      <c r="F255" s="70">
        <f>F256</f>
        <v>479.7</v>
      </c>
      <c r="G255" s="70">
        <f>G256</f>
        <v>-464.7</v>
      </c>
      <c r="H255" s="70">
        <f>H256</f>
        <v>15</v>
      </c>
      <c r="I255" s="70">
        <f>I256</f>
        <v>0</v>
      </c>
      <c r="J255" s="70"/>
      <c r="K255" s="70">
        <f>K256</f>
        <v>0</v>
      </c>
      <c r="L255" s="70">
        <f>L256</f>
        <v>0</v>
      </c>
      <c r="M255" s="70"/>
      <c r="N255" s="70">
        <f>N256</f>
        <v>0</v>
      </c>
    </row>
    <row r="256" spans="1:14" x14ac:dyDescent="0.25">
      <c r="A256" s="98"/>
      <c r="B256" s="98"/>
      <c r="C256" s="6"/>
      <c r="D256" s="6" t="s">
        <v>281</v>
      </c>
      <c r="E256" s="3" t="s">
        <v>282</v>
      </c>
      <c r="F256" s="70">
        <v>479.7</v>
      </c>
      <c r="G256" s="70">
        <v>-464.7</v>
      </c>
      <c r="H256" s="70">
        <f>SUM(F256:G256)</f>
        <v>15</v>
      </c>
      <c r="I256" s="70">
        <v>0</v>
      </c>
      <c r="J256" s="70"/>
      <c r="K256" s="70">
        <v>0</v>
      </c>
      <c r="L256" s="70">
        <v>0</v>
      </c>
      <c r="M256" s="70"/>
      <c r="N256" s="70">
        <v>0</v>
      </c>
    </row>
    <row r="257" spans="1:14" x14ac:dyDescent="0.25">
      <c r="A257" s="98"/>
      <c r="B257" s="17" t="s">
        <v>605</v>
      </c>
      <c r="C257" s="128"/>
      <c r="D257" s="68"/>
      <c r="E257" s="102" t="s">
        <v>606</v>
      </c>
      <c r="F257" s="74">
        <f t="shared" ref="F257:N257" si="46">F258+F285</f>
        <v>9640.4223999999995</v>
      </c>
      <c r="G257" s="74">
        <f>G258+G285</f>
        <v>0</v>
      </c>
      <c r="H257" s="74">
        <f t="shared" si="46"/>
        <v>9640.4223999999995</v>
      </c>
      <c r="I257" s="74">
        <f t="shared" si="46"/>
        <v>10661.9</v>
      </c>
      <c r="J257" s="74">
        <f t="shared" si="46"/>
        <v>0</v>
      </c>
      <c r="K257" s="74">
        <f t="shared" si="46"/>
        <v>10661.9</v>
      </c>
      <c r="L257" s="74">
        <f t="shared" si="46"/>
        <v>4653.2</v>
      </c>
      <c r="M257" s="74"/>
      <c r="N257" s="74">
        <f t="shared" si="46"/>
        <v>4653.2</v>
      </c>
    </row>
    <row r="258" spans="1:14" x14ac:dyDescent="0.25">
      <c r="A258" s="98"/>
      <c r="B258" s="17"/>
      <c r="C258" s="109" t="s">
        <v>5</v>
      </c>
      <c r="D258" s="108"/>
      <c r="E258" s="129" t="s">
        <v>6</v>
      </c>
      <c r="F258" s="74">
        <f t="shared" ref="F258:L258" si="47">F259+F266+F273</f>
        <v>7053.1224000000002</v>
      </c>
      <c r="G258" s="74">
        <f t="shared" si="47"/>
        <v>0</v>
      </c>
      <c r="H258" s="74">
        <f t="shared" si="47"/>
        <v>7053.1224000000002</v>
      </c>
      <c r="I258" s="74">
        <f t="shared" si="47"/>
        <v>7281.8</v>
      </c>
      <c r="J258" s="74">
        <f t="shared" si="47"/>
        <v>0</v>
      </c>
      <c r="K258" s="74">
        <f t="shared" si="47"/>
        <v>7281.8</v>
      </c>
      <c r="L258" s="74">
        <f t="shared" si="47"/>
        <v>1273.0999999999999</v>
      </c>
      <c r="M258" s="74"/>
      <c r="N258" s="74">
        <f>N259+N266+N273</f>
        <v>1273.0999999999999</v>
      </c>
    </row>
    <row r="259" spans="1:14" s="47" customFormat="1" ht="25.5" x14ac:dyDescent="0.25">
      <c r="A259" s="112"/>
      <c r="B259" s="112"/>
      <c r="C259" s="113" t="s">
        <v>201</v>
      </c>
      <c r="D259" s="112"/>
      <c r="E259" s="114" t="s">
        <v>202</v>
      </c>
      <c r="F259" s="115">
        <f t="shared" ref="F259:L259" si="48">F260+F263</f>
        <v>1121.9000000000001</v>
      </c>
      <c r="G259" s="115">
        <f t="shared" si="48"/>
        <v>0</v>
      </c>
      <c r="H259" s="115">
        <f t="shared" si="48"/>
        <v>1121.9000000000001</v>
      </c>
      <c r="I259" s="115">
        <f t="shared" si="48"/>
        <v>5825.6</v>
      </c>
      <c r="J259" s="115">
        <f t="shared" si="48"/>
        <v>0</v>
      </c>
      <c r="K259" s="115">
        <f t="shared" si="48"/>
        <v>5825.6</v>
      </c>
      <c r="L259" s="115">
        <f t="shared" si="48"/>
        <v>1229.5999999999999</v>
      </c>
      <c r="M259" s="115"/>
      <c r="N259" s="115">
        <f>N260+N263</f>
        <v>1229.5999999999999</v>
      </c>
    </row>
    <row r="260" spans="1:14" ht="26.25" x14ac:dyDescent="0.25">
      <c r="A260" s="33"/>
      <c r="B260" s="33"/>
      <c r="C260" s="33" t="s">
        <v>203</v>
      </c>
      <c r="D260" s="33"/>
      <c r="E260" s="34" t="s">
        <v>868</v>
      </c>
      <c r="F260" s="71">
        <f t="shared" ref="F260:N261" si="49">F261</f>
        <v>1121.9000000000001</v>
      </c>
      <c r="G260" s="71"/>
      <c r="H260" s="71">
        <f t="shared" si="49"/>
        <v>1121.9000000000001</v>
      </c>
      <c r="I260" s="71">
        <f t="shared" si="49"/>
        <v>1182.4000000000001</v>
      </c>
      <c r="J260" s="71"/>
      <c r="K260" s="71">
        <f t="shared" si="49"/>
        <v>1182.4000000000001</v>
      </c>
      <c r="L260" s="71">
        <f t="shared" si="49"/>
        <v>1229.5999999999999</v>
      </c>
      <c r="M260" s="71"/>
      <c r="N260" s="71">
        <f t="shared" si="49"/>
        <v>1229.5999999999999</v>
      </c>
    </row>
    <row r="261" spans="1:14" ht="38.25" x14ac:dyDescent="0.25">
      <c r="A261" s="98"/>
      <c r="B261" s="98"/>
      <c r="C261" s="6" t="s">
        <v>204</v>
      </c>
      <c r="D261" s="6"/>
      <c r="E261" s="23" t="s">
        <v>537</v>
      </c>
      <c r="F261" s="70">
        <f t="shared" si="49"/>
        <v>1121.9000000000001</v>
      </c>
      <c r="G261" s="70"/>
      <c r="H261" s="70">
        <f t="shared" si="49"/>
        <v>1121.9000000000001</v>
      </c>
      <c r="I261" s="70">
        <f t="shared" si="49"/>
        <v>1182.4000000000001</v>
      </c>
      <c r="J261" s="70"/>
      <c r="K261" s="70">
        <f t="shared" si="49"/>
        <v>1182.4000000000001</v>
      </c>
      <c r="L261" s="70">
        <f t="shared" si="49"/>
        <v>1229.5999999999999</v>
      </c>
      <c r="M261" s="70"/>
      <c r="N261" s="70">
        <f t="shared" si="49"/>
        <v>1229.5999999999999</v>
      </c>
    </row>
    <row r="262" spans="1:14" x14ac:dyDescent="0.25">
      <c r="A262" s="98"/>
      <c r="B262" s="98"/>
      <c r="C262" s="6"/>
      <c r="D262" s="6" t="s">
        <v>281</v>
      </c>
      <c r="E262" s="3" t="s">
        <v>282</v>
      </c>
      <c r="F262" s="70">
        <f>864.2+257.7</f>
        <v>1121.9000000000001</v>
      </c>
      <c r="G262" s="70"/>
      <c r="H262" s="70">
        <f>864.2+257.7</f>
        <v>1121.9000000000001</v>
      </c>
      <c r="I262" s="70">
        <f>914.4+268</f>
        <v>1182.4000000000001</v>
      </c>
      <c r="J262" s="70"/>
      <c r="K262" s="70">
        <f>914.4+268</f>
        <v>1182.4000000000001</v>
      </c>
      <c r="L262" s="70">
        <f>950.9+278.7</f>
        <v>1229.5999999999999</v>
      </c>
      <c r="M262" s="70"/>
      <c r="N262" s="70">
        <f>950.9+278.7</f>
        <v>1229.5999999999999</v>
      </c>
    </row>
    <row r="263" spans="1:14" ht="26.25" x14ac:dyDescent="0.25">
      <c r="A263" s="158"/>
      <c r="B263" s="158"/>
      <c r="C263" s="33" t="s">
        <v>539</v>
      </c>
      <c r="D263" s="33"/>
      <c r="E263" s="34" t="s">
        <v>542</v>
      </c>
      <c r="F263" s="71">
        <f t="shared" ref="F263:N264" si="50">F264</f>
        <v>0</v>
      </c>
      <c r="G263" s="71">
        <f t="shared" si="50"/>
        <v>0</v>
      </c>
      <c r="H263" s="71">
        <f t="shared" si="50"/>
        <v>0</v>
      </c>
      <c r="I263" s="71">
        <f t="shared" si="50"/>
        <v>4643.2</v>
      </c>
      <c r="J263" s="71">
        <f t="shared" si="50"/>
        <v>0</v>
      </c>
      <c r="K263" s="71">
        <f t="shared" si="50"/>
        <v>4643.2</v>
      </c>
      <c r="L263" s="71">
        <f t="shared" si="50"/>
        <v>0</v>
      </c>
      <c r="M263" s="71"/>
      <c r="N263" s="71">
        <f t="shared" si="50"/>
        <v>0</v>
      </c>
    </row>
    <row r="264" spans="1:14" x14ac:dyDescent="0.25">
      <c r="A264" s="98"/>
      <c r="B264" s="98"/>
      <c r="C264" s="6" t="s">
        <v>540</v>
      </c>
      <c r="D264" s="6"/>
      <c r="E264" s="13" t="s">
        <v>668</v>
      </c>
      <c r="F264" s="70">
        <f t="shared" si="50"/>
        <v>0</v>
      </c>
      <c r="G264" s="70">
        <f t="shared" si="50"/>
        <v>0</v>
      </c>
      <c r="H264" s="70">
        <f t="shared" si="50"/>
        <v>0</v>
      </c>
      <c r="I264" s="70">
        <f t="shared" si="50"/>
        <v>4643.2</v>
      </c>
      <c r="J264" s="70">
        <f t="shared" si="50"/>
        <v>0</v>
      </c>
      <c r="K264" s="70">
        <f t="shared" si="50"/>
        <v>4643.2</v>
      </c>
      <c r="L264" s="70">
        <f t="shared" si="50"/>
        <v>0</v>
      </c>
      <c r="M264" s="70"/>
      <c r="N264" s="70">
        <f t="shared" si="50"/>
        <v>0</v>
      </c>
    </row>
    <row r="265" spans="1:14" ht="26.25" x14ac:dyDescent="0.25">
      <c r="A265" s="98"/>
      <c r="B265" s="98"/>
      <c r="C265" s="6"/>
      <c r="D265" s="6" t="s">
        <v>299</v>
      </c>
      <c r="E265" s="3" t="s">
        <v>300</v>
      </c>
      <c r="F265" s="80">
        <v>0</v>
      </c>
      <c r="G265" s="80">
        <v>0</v>
      </c>
      <c r="H265" s="80">
        <v>0</v>
      </c>
      <c r="I265" s="80">
        <v>4643.2</v>
      </c>
      <c r="J265" s="80"/>
      <c r="K265" s="80">
        <v>4643.2</v>
      </c>
      <c r="L265" s="80">
        <v>0</v>
      </c>
      <c r="M265" s="80"/>
      <c r="N265" s="80">
        <v>0</v>
      </c>
    </row>
    <row r="266" spans="1:14" ht="25.5" x14ac:dyDescent="0.25">
      <c r="A266" s="112"/>
      <c r="B266" s="112"/>
      <c r="C266" s="113" t="s">
        <v>283</v>
      </c>
      <c r="D266" s="112"/>
      <c r="E266" s="114" t="s">
        <v>284</v>
      </c>
      <c r="F266" s="115">
        <f>F267</f>
        <v>13.5</v>
      </c>
      <c r="G266" s="115">
        <f>G267</f>
        <v>0</v>
      </c>
      <c r="H266" s="115">
        <f>H267</f>
        <v>13.5</v>
      </c>
      <c r="I266" s="115">
        <f>I267</f>
        <v>43.5</v>
      </c>
      <c r="J266" s="115"/>
      <c r="K266" s="115">
        <f>K267</f>
        <v>43.5</v>
      </c>
      <c r="L266" s="115">
        <f>L267</f>
        <v>43.5</v>
      </c>
      <c r="M266" s="115"/>
      <c r="N266" s="115">
        <f>N267</f>
        <v>43.5</v>
      </c>
    </row>
    <row r="267" spans="1:14" ht="26.25" x14ac:dyDescent="0.25">
      <c r="A267" s="31"/>
      <c r="B267" s="31"/>
      <c r="C267" s="31" t="s">
        <v>448</v>
      </c>
      <c r="D267" s="31"/>
      <c r="E267" s="52" t="s">
        <v>449</v>
      </c>
      <c r="F267" s="75">
        <f>F268</f>
        <v>13.5</v>
      </c>
      <c r="G267" s="75">
        <f>G268</f>
        <v>0</v>
      </c>
      <c r="H267" s="75">
        <f>H268</f>
        <v>13.5</v>
      </c>
      <c r="I267" s="75">
        <f t="shared" ref="I267:N267" si="51">I268</f>
        <v>43.5</v>
      </c>
      <c r="J267" s="75"/>
      <c r="K267" s="75">
        <f t="shared" si="51"/>
        <v>43.5</v>
      </c>
      <c r="L267" s="75">
        <f t="shared" si="51"/>
        <v>43.5</v>
      </c>
      <c r="M267" s="75"/>
      <c r="N267" s="75">
        <f t="shared" si="51"/>
        <v>43.5</v>
      </c>
    </row>
    <row r="268" spans="1:14" ht="26.25" x14ac:dyDescent="0.25">
      <c r="A268" s="33"/>
      <c r="B268" s="33"/>
      <c r="C268" s="33" t="s">
        <v>508</v>
      </c>
      <c r="D268" s="36"/>
      <c r="E268" s="20" t="s">
        <v>501</v>
      </c>
      <c r="F268" s="71">
        <f>F269+F271</f>
        <v>13.5</v>
      </c>
      <c r="G268" s="71">
        <f>G269+G271</f>
        <v>0</v>
      </c>
      <c r="H268" s="71">
        <f>H269+H271</f>
        <v>13.5</v>
      </c>
      <c r="I268" s="71">
        <f>I269+I271</f>
        <v>43.5</v>
      </c>
      <c r="J268" s="71"/>
      <c r="K268" s="71">
        <f>K269+K271</f>
        <v>43.5</v>
      </c>
      <c r="L268" s="71">
        <f>L269+L271</f>
        <v>43.5</v>
      </c>
      <c r="M268" s="71"/>
      <c r="N268" s="71">
        <f>N269+N271</f>
        <v>43.5</v>
      </c>
    </row>
    <row r="269" spans="1:14" x14ac:dyDescent="0.25">
      <c r="A269" s="12"/>
      <c r="B269" s="12"/>
      <c r="C269" s="6" t="s">
        <v>509</v>
      </c>
      <c r="D269" s="6"/>
      <c r="E269" s="19" t="s">
        <v>502</v>
      </c>
      <c r="F269" s="70">
        <f>F270</f>
        <v>13.5</v>
      </c>
      <c r="G269" s="70"/>
      <c r="H269" s="70">
        <f>H270</f>
        <v>13.5</v>
      </c>
      <c r="I269" s="70">
        <f>I270</f>
        <v>13.5</v>
      </c>
      <c r="J269" s="70"/>
      <c r="K269" s="70">
        <f>K270</f>
        <v>13.5</v>
      </c>
      <c r="L269" s="70">
        <f>L270</f>
        <v>13.5</v>
      </c>
      <c r="M269" s="70"/>
      <c r="N269" s="70">
        <f>N270</f>
        <v>13.5</v>
      </c>
    </row>
    <row r="270" spans="1:14" x14ac:dyDescent="0.25">
      <c r="A270" s="12"/>
      <c r="B270" s="12"/>
      <c r="C270" s="6"/>
      <c r="D270" s="6" t="s">
        <v>281</v>
      </c>
      <c r="E270" s="3" t="s">
        <v>282</v>
      </c>
      <c r="F270" s="70">
        <v>13.5</v>
      </c>
      <c r="G270" s="70"/>
      <c r="H270" s="70">
        <v>13.5</v>
      </c>
      <c r="I270" s="70">
        <v>13.5</v>
      </c>
      <c r="J270" s="70"/>
      <c r="K270" s="70">
        <v>13.5</v>
      </c>
      <c r="L270" s="70">
        <v>13.5</v>
      </c>
      <c r="M270" s="70"/>
      <c r="N270" s="70">
        <v>13.5</v>
      </c>
    </row>
    <row r="271" spans="1:14" x14ac:dyDescent="0.25">
      <c r="A271" s="12"/>
      <c r="B271" s="12"/>
      <c r="C271" s="6" t="s">
        <v>510</v>
      </c>
      <c r="D271" s="6"/>
      <c r="E271" s="19" t="s">
        <v>686</v>
      </c>
      <c r="F271" s="70">
        <f>F272</f>
        <v>0</v>
      </c>
      <c r="G271" s="70">
        <f>G272</f>
        <v>0</v>
      </c>
      <c r="H271" s="70">
        <f>H272</f>
        <v>0</v>
      </c>
      <c r="I271" s="70">
        <f>I272</f>
        <v>30</v>
      </c>
      <c r="J271" s="70"/>
      <c r="K271" s="70">
        <f>K272</f>
        <v>30</v>
      </c>
      <c r="L271" s="70">
        <f>L272</f>
        <v>30</v>
      </c>
      <c r="M271" s="70"/>
      <c r="N271" s="70">
        <f>N272</f>
        <v>30</v>
      </c>
    </row>
    <row r="272" spans="1:14" x14ac:dyDescent="0.25">
      <c r="A272" s="12"/>
      <c r="B272" s="12"/>
      <c r="C272" s="6"/>
      <c r="D272" s="6" t="s">
        <v>281</v>
      </c>
      <c r="E272" s="3" t="s">
        <v>282</v>
      </c>
      <c r="F272" s="70">
        <v>0</v>
      </c>
      <c r="G272" s="70">
        <v>0</v>
      </c>
      <c r="H272" s="70">
        <f>30-30</f>
        <v>0</v>
      </c>
      <c r="I272" s="70">
        <v>30</v>
      </c>
      <c r="J272" s="70"/>
      <c r="K272" s="70">
        <v>30</v>
      </c>
      <c r="L272" s="70">
        <v>30</v>
      </c>
      <c r="M272" s="70"/>
      <c r="N272" s="70">
        <v>30</v>
      </c>
    </row>
    <row r="273" spans="1:14" ht="38.25" x14ac:dyDescent="0.25">
      <c r="A273" s="112"/>
      <c r="B273" s="112"/>
      <c r="C273" s="113" t="s">
        <v>380</v>
      </c>
      <c r="D273" s="112"/>
      <c r="E273" s="114" t="s">
        <v>607</v>
      </c>
      <c r="F273" s="115">
        <f>F274+F281</f>
        <v>5917.7224000000006</v>
      </c>
      <c r="G273" s="115"/>
      <c r="H273" s="115">
        <f>H274+H281</f>
        <v>5917.7224000000006</v>
      </c>
      <c r="I273" s="115">
        <f>I274+I281</f>
        <v>1412.7</v>
      </c>
      <c r="J273" s="115"/>
      <c r="K273" s="115">
        <f>K274+K281</f>
        <v>1412.7</v>
      </c>
      <c r="L273" s="115">
        <f>L274+L281</f>
        <v>0</v>
      </c>
      <c r="M273" s="115"/>
      <c r="N273" s="115">
        <f>N274+N281</f>
        <v>0</v>
      </c>
    </row>
    <row r="274" spans="1:14" x14ac:dyDescent="0.25">
      <c r="A274" s="33"/>
      <c r="B274" s="33"/>
      <c r="C274" s="33" t="s">
        <v>381</v>
      </c>
      <c r="D274" s="36"/>
      <c r="E274" s="34" t="s">
        <v>382</v>
      </c>
      <c r="F274" s="71">
        <f>F275+F277</f>
        <v>5717.7224000000006</v>
      </c>
      <c r="G274" s="71"/>
      <c r="H274" s="71">
        <f>H275+H277</f>
        <v>5717.7224000000006</v>
      </c>
      <c r="I274" s="71">
        <f>I275+I277</f>
        <v>1412.7</v>
      </c>
      <c r="J274" s="71"/>
      <c r="K274" s="71">
        <f>K275+K277</f>
        <v>1412.7</v>
      </c>
      <c r="L274" s="71">
        <f>L275+L277</f>
        <v>0</v>
      </c>
      <c r="M274" s="71"/>
      <c r="N274" s="71">
        <f>N275+N277</f>
        <v>0</v>
      </c>
    </row>
    <row r="275" spans="1:14" x14ac:dyDescent="0.25">
      <c r="A275" s="6"/>
      <c r="B275" s="6"/>
      <c r="C275" s="6" t="s">
        <v>383</v>
      </c>
      <c r="D275" s="6"/>
      <c r="E275" s="3" t="s">
        <v>384</v>
      </c>
      <c r="F275" s="70">
        <f>F276</f>
        <v>300</v>
      </c>
      <c r="G275" s="70"/>
      <c r="H275" s="70">
        <f>H276</f>
        <v>300</v>
      </c>
      <c r="I275" s="70">
        <f>I276</f>
        <v>600</v>
      </c>
      <c r="J275" s="70"/>
      <c r="K275" s="70">
        <f>K276</f>
        <v>600</v>
      </c>
      <c r="L275" s="70">
        <f>L276</f>
        <v>0</v>
      </c>
      <c r="M275" s="70"/>
      <c r="N275" s="70">
        <f>N276</f>
        <v>0</v>
      </c>
    </row>
    <row r="276" spans="1:14" x14ac:dyDescent="0.25">
      <c r="A276" s="6"/>
      <c r="B276" s="6"/>
      <c r="C276" s="6"/>
      <c r="D276" s="6" t="s">
        <v>281</v>
      </c>
      <c r="E276" s="3" t="s">
        <v>282</v>
      </c>
      <c r="F276" s="70">
        <v>300</v>
      </c>
      <c r="G276" s="70"/>
      <c r="H276" s="70">
        <v>300</v>
      </c>
      <c r="I276" s="70">
        <v>600</v>
      </c>
      <c r="J276" s="70"/>
      <c r="K276" s="70">
        <v>600</v>
      </c>
      <c r="L276" s="70">
        <v>0</v>
      </c>
      <c r="M276" s="70"/>
      <c r="N276" s="70">
        <v>0</v>
      </c>
    </row>
    <row r="277" spans="1:14" ht="25.5" x14ac:dyDescent="0.25">
      <c r="A277" s="6"/>
      <c r="B277" s="6"/>
      <c r="C277" s="6" t="s">
        <v>386</v>
      </c>
      <c r="D277" s="6"/>
      <c r="E277" s="1" t="s">
        <v>482</v>
      </c>
      <c r="F277" s="70">
        <f>F278</f>
        <v>5417.7224000000006</v>
      </c>
      <c r="G277" s="70"/>
      <c r="H277" s="70">
        <f>H278</f>
        <v>5417.7224000000006</v>
      </c>
      <c r="I277" s="70">
        <f>I279+I280</f>
        <v>812.7</v>
      </c>
      <c r="J277" s="70"/>
      <c r="K277" s="70">
        <f>K279+K280</f>
        <v>812.7</v>
      </c>
      <c r="L277" s="70">
        <f>L279+L280</f>
        <v>0</v>
      </c>
      <c r="M277" s="70"/>
      <c r="N277" s="70">
        <f>N279+N280</f>
        <v>0</v>
      </c>
    </row>
    <row r="278" spans="1:14" x14ac:dyDescent="0.25">
      <c r="A278" s="6"/>
      <c r="B278" s="6"/>
      <c r="C278" s="6"/>
      <c r="D278" s="6" t="s">
        <v>281</v>
      </c>
      <c r="E278" s="3" t="s">
        <v>282</v>
      </c>
      <c r="F278" s="70">
        <f>F279+F280</f>
        <v>5417.7224000000006</v>
      </c>
      <c r="G278" s="70"/>
      <c r="H278" s="70">
        <f>H279+H280</f>
        <v>5417.7224000000006</v>
      </c>
      <c r="I278" s="70">
        <f>I279+I280</f>
        <v>812.7</v>
      </c>
      <c r="J278" s="70"/>
      <c r="K278" s="70">
        <f>K279+K280</f>
        <v>812.7</v>
      </c>
      <c r="L278" s="70">
        <f>L279+L280</f>
        <v>0</v>
      </c>
      <c r="M278" s="70"/>
      <c r="N278" s="70">
        <f>N279+N280</f>
        <v>0</v>
      </c>
    </row>
    <row r="279" spans="1:14" x14ac:dyDescent="0.25">
      <c r="A279" s="6"/>
      <c r="B279" s="6"/>
      <c r="C279" s="6"/>
      <c r="D279" s="6"/>
      <c r="E279" s="9" t="s">
        <v>210</v>
      </c>
      <c r="F279" s="70">
        <v>4605.0640400000002</v>
      </c>
      <c r="G279" s="70"/>
      <c r="H279" s="70">
        <v>4605.0640400000002</v>
      </c>
      <c r="I279" s="70"/>
      <c r="J279" s="70"/>
      <c r="K279" s="70"/>
      <c r="L279" s="70"/>
      <c r="M279" s="70"/>
      <c r="N279" s="70"/>
    </row>
    <row r="280" spans="1:14" x14ac:dyDescent="0.25">
      <c r="A280" s="6"/>
      <c r="B280" s="6"/>
      <c r="C280" s="6"/>
      <c r="D280" s="6"/>
      <c r="E280" s="3" t="s">
        <v>385</v>
      </c>
      <c r="F280" s="70">
        <v>812.65836000000002</v>
      </c>
      <c r="G280" s="70"/>
      <c r="H280" s="70">
        <v>812.65836000000002</v>
      </c>
      <c r="I280" s="70">
        <v>812.7</v>
      </c>
      <c r="J280" s="70"/>
      <c r="K280" s="70">
        <v>812.7</v>
      </c>
      <c r="L280" s="70">
        <v>0</v>
      </c>
      <c r="M280" s="70"/>
      <c r="N280" s="70">
        <v>0</v>
      </c>
    </row>
    <row r="281" spans="1:14" ht="39" x14ac:dyDescent="0.25">
      <c r="A281" s="33"/>
      <c r="B281" s="33"/>
      <c r="C281" s="33" t="s">
        <v>387</v>
      </c>
      <c r="D281" s="36"/>
      <c r="E281" s="34" t="s">
        <v>388</v>
      </c>
      <c r="F281" s="71">
        <f>F282</f>
        <v>200</v>
      </c>
      <c r="G281" s="71"/>
      <c r="H281" s="71">
        <f>H282</f>
        <v>200</v>
      </c>
      <c r="I281" s="71">
        <f>I282</f>
        <v>0</v>
      </c>
      <c r="J281" s="71"/>
      <c r="K281" s="71">
        <f>K282</f>
        <v>0</v>
      </c>
      <c r="L281" s="71">
        <f>L282</f>
        <v>0</v>
      </c>
      <c r="M281" s="71"/>
      <c r="N281" s="71">
        <f>N282</f>
        <v>0</v>
      </c>
    </row>
    <row r="282" spans="1:14" ht="26.25" x14ac:dyDescent="0.25">
      <c r="A282" s="98"/>
      <c r="B282" s="98"/>
      <c r="C282" s="6" t="s">
        <v>389</v>
      </c>
      <c r="D282" s="6"/>
      <c r="E282" s="3" t="s">
        <v>390</v>
      </c>
      <c r="F282" s="70">
        <f>F283</f>
        <v>200</v>
      </c>
      <c r="G282" s="70"/>
      <c r="H282" s="70">
        <f>H283</f>
        <v>200</v>
      </c>
      <c r="I282" s="70">
        <v>0</v>
      </c>
      <c r="J282" s="70"/>
      <c r="K282" s="70">
        <v>0</v>
      </c>
      <c r="L282" s="70">
        <v>0</v>
      </c>
      <c r="M282" s="70"/>
      <c r="N282" s="70">
        <v>0</v>
      </c>
    </row>
    <row r="283" spans="1:14" x14ac:dyDescent="0.25">
      <c r="A283" s="98"/>
      <c r="B283" s="98"/>
      <c r="C283" s="6"/>
      <c r="D283" s="6" t="s">
        <v>281</v>
      </c>
      <c r="E283" s="3" t="s">
        <v>282</v>
      </c>
      <c r="F283" s="70">
        <v>200</v>
      </c>
      <c r="G283" s="70"/>
      <c r="H283" s="70">
        <v>200</v>
      </c>
      <c r="I283" s="70">
        <v>0</v>
      </c>
      <c r="J283" s="70"/>
      <c r="K283" s="70">
        <v>0</v>
      </c>
      <c r="L283" s="70">
        <v>0</v>
      </c>
      <c r="M283" s="70"/>
      <c r="N283" s="70">
        <v>0</v>
      </c>
    </row>
    <row r="284" spans="1:14" x14ac:dyDescent="0.25">
      <c r="A284" s="148"/>
      <c r="B284" s="148"/>
      <c r="C284" s="139" t="s">
        <v>575</v>
      </c>
      <c r="D284" s="149"/>
      <c r="E284" s="140" t="s">
        <v>576</v>
      </c>
      <c r="F284" s="141">
        <f t="shared" ref="F284:N285" si="52">F285</f>
        <v>2587.2999999999997</v>
      </c>
      <c r="G284" s="141">
        <f t="shared" si="52"/>
        <v>0</v>
      </c>
      <c r="H284" s="141">
        <f t="shared" si="52"/>
        <v>2587.2999999999997</v>
      </c>
      <c r="I284" s="141">
        <f t="shared" si="52"/>
        <v>3380.1</v>
      </c>
      <c r="J284" s="141"/>
      <c r="K284" s="141">
        <f t="shared" si="52"/>
        <v>3380.1</v>
      </c>
      <c r="L284" s="141">
        <f t="shared" si="52"/>
        <v>3380.1</v>
      </c>
      <c r="M284" s="141"/>
      <c r="N284" s="141">
        <f t="shared" si="52"/>
        <v>3380.1</v>
      </c>
    </row>
    <row r="285" spans="1:14" s="42" customFormat="1" ht="25.5" x14ac:dyDescent="0.25">
      <c r="A285" s="143"/>
      <c r="B285" s="143"/>
      <c r="C285" s="144" t="s">
        <v>402</v>
      </c>
      <c r="D285" s="145"/>
      <c r="E285" s="146" t="s">
        <v>403</v>
      </c>
      <c r="F285" s="84">
        <f t="shared" si="52"/>
        <v>2587.2999999999997</v>
      </c>
      <c r="G285" s="84">
        <f t="shared" si="52"/>
        <v>0</v>
      </c>
      <c r="H285" s="84">
        <f t="shared" si="52"/>
        <v>2587.2999999999997</v>
      </c>
      <c r="I285" s="84">
        <f t="shared" si="52"/>
        <v>3380.1</v>
      </c>
      <c r="J285" s="84"/>
      <c r="K285" s="84">
        <f t="shared" si="52"/>
        <v>3380.1</v>
      </c>
      <c r="L285" s="84">
        <f t="shared" si="52"/>
        <v>3380.1</v>
      </c>
      <c r="M285" s="84"/>
      <c r="N285" s="84">
        <f t="shared" si="52"/>
        <v>3380.1</v>
      </c>
    </row>
    <row r="286" spans="1:14" ht="26.25" x14ac:dyDescent="0.25">
      <c r="A286" s="98"/>
      <c r="B286" s="98"/>
      <c r="C286" s="6" t="s">
        <v>404</v>
      </c>
      <c r="D286" s="6"/>
      <c r="E286" s="3" t="s">
        <v>405</v>
      </c>
      <c r="F286" s="70">
        <f t="shared" ref="F286:N286" si="53">F287+F288+F289</f>
        <v>2587.2999999999997</v>
      </c>
      <c r="G286" s="70">
        <f t="shared" si="53"/>
        <v>0</v>
      </c>
      <c r="H286" s="70">
        <f t="shared" si="53"/>
        <v>2587.2999999999997</v>
      </c>
      <c r="I286" s="70">
        <f t="shared" si="53"/>
        <v>3380.1</v>
      </c>
      <c r="J286" s="70"/>
      <c r="K286" s="70">
        <f t="shared" si="53"/>
        <v>3380.1</v>
      </c>
      <c r="L286" s="70">
        <f t="shared" si="53"/>
        <v>3380.1</v>
      </c>
      <c r="M286" s="70"/>
      <c r="N286" s="70">
        <f t="shared" si="53"/>
        <v>3380.1</v>
      </c>
    </row>
    <row r="287" spans="1:14" ht="39" x14ac:dyDescent="0.25">
      <c r="A287" s="98"/>
      <c r="B287" s="98"/>
      <c r="C287" s="12"/>
      <c r="D287" s="6" t="s">
        <v>399</v>
      </c>
      <c r="E287" s="3" t="s">
        <v>400</v>
      </c>
      <c r="F287" s="70">
        <v>2447.6999999999998</v>
      </c>
      <c r="G287" s="70"/>
      <c r="H287" s="70">
        <f>SUM(F287:G287)</f>
        <v>2447.6999999999998</v>
      </c>
      <c r="I287" s="70">
        <v>3157</v>
      </c>
      <c r="J287" s="70"/>
      <c r="K287" s="70">
        <v>3157</v>
      </c>
      <c r="L287" s="70">
        <v>3157</v>
      </c>
      <c r="M287" s="70"/>
      <c r="N287" s="70">
        <v>3157</v>
      </c>
    </row>
    <row r="288" spans="1:14" x14ac:dyDescent="0.25">
      <c r="A288" s="98"/>
      <c r="B288" s="98"/>
      <c r="C288" s="12"/>
      <c r="D288" s="6" t="s">
        <v>281</v>
      </c>
      <c r="E288" s="3" t="s">
        <v>282</v>
      </c>
      <c r="F288" s="70">
        <f>105.6-2.1</f>
        <v>103.5</v>
      </c>
      <c r="G288" s="70"/>
      <c r="H288" s="70">
        <f>105.6-2.1</f>
        <v>103.5</v>
      </c>
      <c r="I288" s="70">
        <f t="shared" ref="I288:N288" si="54">105.6-2.1</f>
        <v>103.5</v>
      </c>
      <c r="J288" s="70"/>
      <c r="K288" s="70">
        <f t="shared" si="54"/>
        <v>103.5</v>
      </c>
      <c r="L288" s="70">
        <f t="shared" si="54"/>
        <v>103.5</v>
      </c>
      <c r="M288" s="70"/>
      <c r="N288" s="70">
        <f t="shared" si="54"/>
        <v>103.5</v>
      </c>
    </row>
    <row r="289" spans="1:14" x14ac:dyDescent="0.25">
      <c r="A289" s="98"/>
      <c r="B289" s="98"/>
      <c r="C289" s="12"/>
      <c r="D289" s="16" t="s">
        <v>406</v>
      </c>
      <c r="E289" s="7" t="s">
        <v>407</v>
      </c>
      <c r="F289" s="70">
        <v>36.1</v>
      </c>
      <c r="G289" s="70"/>
      <c r="H289" s="70">
        <f>119.6-83.5</f>
        <v>36.099999999999994</v>
      </c>
      <c r="I289" s="70">
        <v>119.6</v>
      </c>
      <c r="J289" s="70"/>
      <c r="K289" s="70">
        <v>119.6</v>
      </c>
      <c r="L289" s="70">
        <v>119.6</v>
      </c>
      <c r="M289" s="70"/>
      <c r="N289" s="70">
        <v>119.6</v>
      </c>
    </row>
    <row r="290" spans="1:14" x14ac:dyDescent="0.25">
      <c r="A290" s="108"/>
      <c r="B290" s="17" t="s">
        <v>608</v>
      </c>
      <c r="C290" s="109"/>
      <c r="D290" s="108"/>
      <c r="E290" s="102" t="s">
        <v>609</v>
      </c>
      <c r="F290" s="74">
        <f t="shared" ref="F290:N290" si="55">F291+F318+F351</f>
        <v>59229.484110000005</v>
      </c>
      <c r="G290" s="74">
        <f t="shared" si="55"/>
        <v>1156.6300000000001</v>
      </c>
      <c r="H290" s="74">
        <f t="shared" si="55"/>
        <v>60386.114110000002</v>
      </c>
      <c r="I290" s="74">
        <f t="shared" si="55"/>
        <v>54209.251099999994</v>
      </c>
      <c r="J290" s="74">
        <f>J291+J318+J351</f>
        <v>0</v>
      </c>
      <c r="K290" s="74">
        <f t="shared" si="55"/>
        <v>54209.251100000001</v>
      </c>
      <c r="L290" s="74">
        <f t="shared" si="55"/>
        <v>59669.709070000004</v>
      </c>
      <c r="M290" s="74">
        <f>M291+M318+M351</f>
        <v>0</v>
      </c>
      <c r="N290" s="74">
        <f t="shared" si="55"/>
        <v>59669.709070000004</v>
      </c>
    </row>
    <row r="291" spans="1:14" x14ac:dyDescent="0.25">
      <c r="A291" s="108"/>
      <c r="B291" s="17" t="s">
        <v>610</v>
      </c>
      <c r="C291" s="109"/>
      <c r="D291" s="108"/>
      <c r="E291" s="102" t="s">
        <v>611</v>
      </c>
      <c r="F291" s="74">
        <f t="shared" ref="F291:N291" si="56">F292+F314</f>
        <v>1271</v>
      </c>
      <c r="G291" s="74"/>
      <c r="H291" s="74">
        <f t="shared" si="56"/>
        <v>1271</v>
      </c>
      <c r="I291" s="74">
        <f t="shared" si="56"/>
        <v>301.42552000000001</v>
      </c>
      <c r="J291" s="74">
        <f>J292</f>
        <v>0</v>
      </c>
      <c r="K291" s="74">
        <f t="shared" si="56"/>
        <v>301.42552000000001</v>
      </c>
      <c r="L291" s="74">
        <f t="shared" si="56"/>
        <v>1848.62148</v>
      </c>
      <c r="M291" s="74">
        <f>M292</f>
        <v>0</v>
      </c>
      <c r="N291" s="74">
        <f t="shared" si="56"/>
        <v>1848.62148</v>
      </c>
    </row>
    <row r="292" spans="1:14" x14ac:dyDescent="0.25">
      <c r="A292" s="108"/>
      <c r="B292" s="17"/>
      <c r="C292" s="109" t="s">
        <v>5</v>
      </c>
      <c r="D292" s="108"/>
      <c r="E292" s="129" t="s">
        <v>6</v>
      </c>
      <c r="F292" s="74">
        <f>F293+F308</f>
        <v>1271</v>
      </c>
      <c r="G292" s="74"/>
      <c r="H292" s="74">
        <f t="shared" ref="H292:N292" si="57">H293+H308</f>
        <v>1271</v>
      </c>
      <c r="I292" s="74">
        <f t="shared" si="57"/>
        <v>301.42552000000001</v>
      </c>
      <c r="J292" s="74">
        <f t="shared" si="57"/>
        <v>0</v>
      </c>
      <c r="K292" s="74">
        <f t="shared" si="57"/>
        <v>301.42552000000001</v>
      </c>
      <c r="L292" s="74">
        <f t="shared" si="57"/>
        <v>1848.62148</v>
      </c>
      <c r="M292" s="74">
        <f t="shared" si="57"/>
        <v>0</v>
      </c>
      <c r="N292" s="74">
        <f t="shared" si="57"/>
        <v>1848.62148</v>
      </c>
    </row>
    <row r="293" spans="1:14" ht="25.5" x14ac:dyDescent="0.25">
      <c r="A293" s="111"/>
      <c r="B293" s="112"/>
      <c r="C293" s="113" t="s">
        <v>201</v>
      </c>
      <c r="D293" s="112"/>
      <c r="E293" s="114" t="s">
        <v>202</v>
      </c>
      <c r="F293" s="115">
        <f>F294</f>
        <v>1271</v>
      </c>
      <c r="G293" s="115"/>
      <c r="H293" s="115">
        <f>H294</f>
        <v>1271</v>
      </c>
      <c r="I293" s="115">
        <f>I294</f>
        <v>301.42552000000001</v>
      </c>
      <c r="J293" s="115"/>
      <c r="K293" s="115">
        <f>K294</f>
        <v>301.42552000000001</v>
      </c>
      <c r="L293" s="115">
        <f>L294</f>
        <v>215.9</v>
      </c>
      <c r="M293" s="115"/>
      <c r="N293" s="115">
        <f>N294</f>
        <v>215.9</v>
      </c>
    </row>
    <row r="294" spans="1:14" ht="26.25" x14ac:dyDescent="0.25">
      <c r="A294" s="33"/>
      <c r="B294" s="33"/>
      <c r="C294" s="33" t="s">
        <v>203</v>
      </c>
      <c r="D294" s="33"/>
      <c r="E294" s="34" t="s">
        <v>868</v>
      </c>
      <c r="F294" s="71">
        <f>F295+F297+F300</f>
        <v>1271</v>
      </c>
      <c r="G294" s="71"/>
      <c r="H294" s="71">
        <f>H295+H297+H300</f>
        <v>1271</v>
      </c>
      <c r="I294" s="71">
        <f>I295+I297+I300+I302+I304</f>
        <v>301.42552000000001</v>
      </c>
      <c r="J294" s="71"/>
      <c r="K294" s="71">
        <f>K295+K297+K300+K302+K304</f>
        <v>301.42552000000001</v>
      </c>
      <c r="L294" s="71">
        <f>L295+L297+L300</f>
        <v>215.9</v>
      </c>
      <c r="M294" s="71"/>
      <c r="N294" s="71">
        <f>N295+N297+N300</f>
        <v>215.9</v>
      </c>
    </row>
    <row r="295" spans="1:14" ht="39" x14ac:dyDescent="0.25">
      <c r="A295" s="98"/>
      <c r="B295" s="98"/>
      <c r="C295" s="6" t="s">
        <v>205</v>
      </c>
      <c r="D295" s="6"/>
      <c r="E295" s="13" t="s">
        <v>206</v>
      </c>
      <c r="F295" s="70">
        <f>F296</f>
        <v>95.3</v>
      </c>
      <c r="G295" s="70"/>
      <c r="H295" s="70">
        <f>H296</f>
        <v>95.3</v>
      </c>
      <c r="I295" s="70">
        <f>I296</f>
        <v>99.2</v>
      </c>
      <c r="J295" s="70"/>
      <c r="K295" s="70">
        <f>K296</f>
        <v>99.2</v>
      </c>
      <c r="L295" s="70">
        <f>L296</f>
        <v>103.2</v>
      </c>
      <c r="M295" s="70"/>
      <c r="N295" s="70">
        <f>N296</f>
        <v>103.2</v>
      </c>
    </row>
    <row r="296" spans="1:14" x14ac:dyDescent="0.25">
      <c r="A296" s="98"/>
      <c r="B296" s="98"/>
      <c r="C296" s="6"/>
      <c r="D296" s="6" t="s">
        <v>281</v>
      </c>
      <c r="E296" s="3" t="s">
        <v>282</v>
      </c>
      <c r="F296" s="70">
        <v>95.3</v>
      </c>
      <c r="G296" s="70"/>
      <c r="H296" s="70">
        <v>95.3</v>
      </c>
      <c r="I296" s="70">
        <v>99.2</v>
      </c>
      <c r="J296" s="70"/>
      <c r="K296" s="70">
        <v>99.2</v>
      </c>
      <c r="L296" s="70">
        <v>103.2</v>
      </c>
      <c r="M296" s="70"/>
      <c r="N296" s="70">
        <v>103.2</v>
      </c>
    </row>
    <row r="297" spans="1:14" ht="26.25" x14ac:dyDescent="0.25">
      <c r="A297" s="98"/>
      <c r="B297" s="98"/>
      <c r="C297" s="6" t="s">
        <v>207</v>
      </c>
      <c r="D297" s="6"/>
      <c r="E297" s="13" t="s">
        <v>208</v>
      </c>
      <c r="F297" s="70">
        <f>SUM(F299+F298)</f>
        <v>1071.5</v>
      </c>
      <c r="G297" s="70"/>
      <c r="H297" s="70">
        <f>SUM(H299+H298)</f>
        <v>1071.5</v>
      </c>
      <c r="I297" s="70">
        <f>SUM(I299+I298)</f>
        <v>0</v>
      </c>
      <c r="J297" s="70"/>
      <c r="K297" s="70">
        <f>SUM(K299+K298)</f>
        <v>0</v>
      </c>
      <c r="L297" s="70">
        <f>SUM(L299+L298)</f>
        <v>0</v>
      </c>
      <c r="M297" s="70"/>
      <c r="N297" s="70">
        <f>SUM(N299+N298)</f>
        <v>0</v>
      </c>
    </row>
    <row r="298" spans="1:14" x14ac:dyDescent="0.25">
      <c r="A298" s="98"/>
      <c r="B298" s="98"/>
      <c r="C298" s="6"/>
      <c r="D298" s="6" t="s">
        <v>281</v>
      </c>
      <c r="E298" s="3" t="s">
        <v>282</v>
      </c>
      <c r="F298" s="70">
        <f>5357.4-4285.9</f>
        <v>1071.5</v>
      </c>
      <c r="G298" s="70"/>
      <c r="H298" s="70">
        <f>5357.4-4285.9</f>
        <v>1071.5</v>
      </c>
      <c r="I298" s="70">
        <v>0</v>
      </c>
      <c r="J298" s="70"/>
      <c r="K298" s="70">
        <v>0</v>
      </c>
      <c r="L298" s="70">
        <v>0</v>
      </c>
      <c r="M298" s="70"/>
      <c r="N298" s="70">
        <v>0</v>
      </c>
    </row>
    <row r="299" spans="1:14" x14ac:dyDescent="0.25">
      <c r="A299" s="98"/>
      <c r="B299" s="98"/>
      <c r="C299" s="6"/>
      <c r="D299" s="6" t="s">
        <v>424</v>
      </c>
      <c r="E299" s="3" t="s">
        <v>425</v>
      </c>
      <c r="F299" s="70">
        <v>0</v>
      </c>
      <c r="G299" s="70"/>
      <c r="H299" s="70">
        <v>0</v>
      </c>
      <c r="I299" s="70">
        <v>0</v>
      </c>
      <c r="J299" s="70"/>
      <c r="K299" s="70">
        <v>0</v>
      </c>
      <c r="L299" s="70">
        <v>0</v>
      </c>
      <c r="M299" s="70"/>
      <c r="N299" s="70">
        <v>0</v>
      </c>
    </row>
    <row r="300" spans="1:14" ht="26.25" x14ac:dyDescent="0.25">
      <c r="A300" s="98"/>
      <c r="B300" s="98"/>
      <c r="C300" s="6" t="s">
        <v>209</v>
      </c>
      <c r="D300" s="6"/>
      <c r="E300" s="3" t="s">
        <v>538</v>
      </c>
      <c r="F300" s="70">
        <f>F301</f>
        <v>104.2</v>
      </c>
      <c r="G300" s="70"/>
      <c r="H300" s="70">
        <f>H301</f>
        <v>104.2</v>
      </c>
      <c r="I300" s="70">
        <f>I301</f>
        <v>108.4</v>
      </c>
      <c r="J300" s="70"/>
      <c r="K300" s="70">
        <f>K301</f>
        <v>108.4</v>
      </c>
      <c r="L300" s="70">
        <f>L301</f>
        <v>112.7</v>
      </c>
      <c r="M300" s="70"/>
      <c r="N300" s="70">
        <f>N301</f>
        <v>112.7</v>
      </c>
    </row>
    <row r="301" spans="1:14" x14ac:dyDescent="0.25">
      <c r="A301" s="98"/>
      <c r="B301" s="98"/>
      <c r="C301" s="6"/>
      <c r="D301" s="6" t="s">
        <v>281</v>
      </c>
      <c r="E301" s="3" t="s">
        <v>282</v>
      </c>
      <c r="F301" s="70">
        <v>104.2</v>
      </c>
      <c r="G301" s="70"/>
      <c r="H301" s="70">
        <v>104.2</v>
      </c>
      <c r="I301" s="70">
        <v>108.4</v>
      </c>
      <c r="J301" s="70"/>
      <c r="K301" s="70">
        <v>108.4</v>
      </c>
      <c r="L301" s="70">
        <v>112.7</v>
      </c>
      <c r="M301" s="70"/>
      <c r="N301" s="70">
        <v>112.7</v>
      </c>
    </row>
    <row r="302" spans="1:14" x14ac:dyDescent="0.25">
      <c r="A302" s="98"/>
      <c r="B302" s="98"/>
      <c r="C302" s="6" t="s">
        <v>507</v>
      </c>
      <c r="D302" s="6"/>
      <c r="E302" s="3" t="s">
        <v>505</v>
      </c>
      <c r="F302" s="70">
        <v>0</v>
      </c>
      <c r="G302" s="70"/>
      <c r="H302" s="70">
        <v>0</v>
      </c>
      <c r="I302" s="70">
        <f>I303</f>
        <v>0</v>
      </c>
      <c r="J302" s="70"/>
      <c r="K302" s="70">
        <f>K303</f>
        <v>0</v>
      </c>
      <c r="L302" s="70">
        <f>L303</f>
        <v>0</v>
      </c>
      <c r="M302" s="70"/>
      <c r="N302" s="70">
        <f>N303</f>
        <v>0</v>
      </c>
    </row>
    <row r="303" spans="1:14" x14ac:dyDescent="0.25">
      <c r="A303" s="98"/>
      <c r="B303" s="98"/>
      <c r="C303" s="6"/>
      <c r="D303" s="6" t="s">
        <v>281</v>
      </c>
      <c r="E303" s="3" t="s">
        <v>282</v>
      </c>
      <c r="F303" s="70">
        <v>0</v>
      </c>
      <c r="G303" s="70"/>
      <c r="H303" s="70">
        <v>0</v>
      </c>
      <c r="I303" s="70">
        <v>0</v>
      </c>
      <c r="J303" s="70"/>
      <c r="K303" s="70">
        <v>0</v>
      </c>
      <c r="L303" s="70">
        <v>0</v>
      </c>
      <c r="M303" s="70"/>
      <c r="N303" s="70">
        <v>0</v>
      </c>
    </row>
    <row r="304" spans="1:14" ht="26.25" x14ac:dyDescent="0.25">
      <c r="A304" s="98"/>
      <c r="B304" s="98"/>
      <c r="C304" s="6" t="s">
        <v>494</v>
      </c>
      <c r="D304" s="6"/>
      <c r="E304" s="3" t="s">
        <v>495</v>
      </c>
      <c r="F304" s="70">
        <v>0</v>
      </c>
      <c r="G304" s="70"/>
      <c r="H304" s="70">
        <v>0</v>
      </c>
      <c r="I304" s="70">
        <f>I305</f>
        <v>93.825519999999997</v>
      </c>
      <c r="J304" s="70"/>
      <c r="K304" s="70">
        <f>K305</f>
        <v>93.825519999999997</v>
      </c>
      <c r="L304" s="70">
        <v>0</v>
      </c>
      <c r="M304" s="70"/>
      <c r="N304" s="70">
        <v>0</v>
      </c>
    </row>
    <row r="305" spans="1:14" x14ac:dyDescent="0.25">
      <c r="A305" s="98"/>
      <c r="B305" s="98"/>
      <c r="C305" s="6"/>
      <c r="D305" s="6" t="s">
        <v>281</v>
      </c>
      <c r="E305" s="3" t="s">
        <v>282</v>
      </c>
      <c r="F305" s="70">
        <v>0</v>
      </c>
      <c r="G305" s="70"/>
      <c r="H305" s="70">
        <v>0</v>
      </c>
      <c r="I305" s="70">
        <f>I306+I307</f>
        <v>93.825519999999997</v>
      </c>
      <c r="J305" s="70"/>
      <c r="K305" s="70">
        <f>K306+K307</f>
        <v>93.825519999999997</v>
      </c>
      <c r="L305" s="70">
        <v>0</v>
      </c>
      <c r="M305" s="70"/>
      <c r="N305" s="70">
        <v>0</v>
      </c>
    </row>
    <row r="306" spans="1:14" x14ac:dyDescent="0.25">
      <c r="A306" s="98"/>
      <c r="B306" s="98"/>
      <c r="C306" s="6"/>
      <c r="D306" s="6"/>
      <c r="E306" s="3" t="s">
        <v>667</v>
      </c>
      <c r="F306" s="70">
        <v>0</v>
      </c>
      <c r="G306" s="70"/>
      <c r="H306" s="70">
        <v>0</v>
      </c>
      <c r="I306" s="70">
        <v>91.948999999999998</v>
      </c>
      <c r="J306" s="70"/>
      <c r="K306" s="70">
        <v>91.948999999999998</v>
      </c>
      <c r="L306" s="70">
        <v>0</v>
      </c>
      <c r="M306" s="70"/>
      <c r="N306" s="70">
        <v>0</v>
      </c>
    </row>
    <row r="307" spans="1:14" x14ac:dyDescent="0.25">
      <c r="A307" s="98"/>
      <c r="B307" s="98"/>
      <c r="C307" s="6"/>
      <c r="D307" s="6"/>
      <c r="E307" s="3" t="s">
        <v>385</v>
      </c>
      <c r="F307" s="70">
        <v>0</v>
      </c>
      <c r="G307" s="70"/>
      <c r="H307" s="70">
        <v>0</v>
      </c>
      <c r="I307" s="70">
        <v>1.87652</v>
      </c>
      <c r="J307" s="70"/>
      <c r="K307" s="70">
        <v>1.8765199999999997</v>
      </c>
      <c r="L307" s="70">
        <v>0</v>
      </c>
      <c r="M307" s="70"/>
      <c r="N307" s="70">
        <v>0</v>
      </c>
    </row>
    <row r="308" spans="1:14" ht="25.5" x14ac:dyDescent="0.25">
      <c r="A308" s="111"/>
      <c r="B308" s="112"/>
      <c r="C308" s="113" t="s">
        <v>374</v>
      </c>
      <c r="D308" s="112"/>
      <c r="E308" s="114" t="s">
        <v>375</v>
      </c>
      <c r="F308" s="115">
        <f t="shared" ref="F308:N310" si="58">F309</f>
        <v>0</v>
      </c>
      <c r="G308" s="115"/>
      <c r="H308" s="115">
        <f t="shared" si="58"/>
        <v>0</v>
      </c>
      <c r="I308" s="115">
        <f t="shared" si="58"/>
        <v>0</v>
      </c>
      <c r="J308" s="115">
        <f t="shared" si="58"/>
        <v>0</v>
      </c>
      <c r="K308" s="115">
        <f t="shared" si="58"/>
        <v>0</v>
      </c>
      <c r="L308" s="115">
        <f t="shared" si="58"/>
        <v>1632.7214799999999</v>
      </c>
      <c r="M308" s="115">
        <f t="shared" si="58"/>
        <v>0</v>
      </c>
      <c r="N308" s="115">
        <f t="shared" si="58"/>
        <v>1632.7214799999999</v>
      </c>
    </row>
    <row r="309" spans="1:14" ht="39" x14ac:dyDescent="0.25">
      <c r="A309" s="31"/>
      <c r="B309" s="31"/>
      <c r="C309" s="31" t="s">
        <v>376</v>
      </c>
      <c r="D309" s="43"/>
      <c r="E309" s="32" t="s">
        <v>377</v>
      </c>
      <c r="F309" s="75">
        <f t="shared" si="58"/>
        <v>0</v>
      </c>
      <c r="G309" s="75"/>
      <c r="H309" s="75">
        <f t="shared" si="58"/>
        <v>0</v>
      </c>
      <c r="I309" s="75">
        <f t="shared" si="58"/>
        <v>0</v>
      </c>
      <c r="J309" s="75">
        <f t="shared" si="58"/>
        <v>0</v>
      </c>
      <c r="K309" s="75">
        <f t="shared" si="58"/>
        <v>0</v>
      </c>
      <c r="L309" s="75">
        <f t="shared" si="58"/>
        <v>1632.7214799999999</v>
      </c>
      <c r="M309" s="75">
        <f t="shared" si="58"/>
        <v>0</v>
      </c>
      <c r="N309" s="75">
        <f t="shared" si="58"/>
        <v>1632.7214799999999</v>
      </c>
    </row>
    <row r="310" spans="1:14" ht="39" x14ac:dyDescent="0.25">
      <c r="A310" s="33"/>
      <c r="B310" s="33"/>
      <c r="C310" s="33" t="s">
        <v>470</v>
      </c>
      <c r="D310" s="36"/>
      <c r="E310" s="34" t="s">
        <v>378</v>
      </c>
      <c r="F310" s="82">
        <f t="shared" si="58"/>
        <v>0</v>
      </c>
      <c r="G310" s="82"/>
      <c r="H310" s="82">
        <f t="shared" si="58"/>
        <v>0</v>
      </c>
      <c r="I310" s="82">
        <f t="shared" si="58"/>
        <v>0</v>
      </c>
      <c r="J310" s="82">
        <f t="shared" si="58"/>
        <v>0</v>
      </c>
      <c r="K310" s="82">
        <f t="shared" si="58"/>
        <v>0</v>
      </c>
      <c r="L310" s="82">
        <f t="shared" ref="L310:N312" si="59">L311</f>
        <v>1632.7214799999999</v>
      </c>
      <c r="M310" s="82">
        <f t="shared" si="59"/>
        <v>0</v>
      </c>
      <c r="N310" s="82">
        <f t="shared" si="59"/>
        <v>1632.7214799999999</v>
      </c>
    </row>
    <row r="311" spans="1:14" ht="39" x14ac:dyDescent="0.25">
      <c r="A311" s="98"/>
      <c r="B311" s="98"/>
      <c r="C311" s="6" t="s">
        <v>469</v>
      </c>
      <c r="D311" s="6"/>
      <c r="E311" s="3" t="s">
        <v>379</v>
      </c>
      <c r="F311" s="70">
        <v>0</v>
      </c>
      <c r="G311" s="70"/>
      <c r="H311" s="70">
        <v>0</v>
      </c>
      <c r="I311" s="70">
        <f t="shared" ref="I311:K312" si="60">I312</f>
        <v>0</v>
      </c>
      <c r="J311" s="70">
        <f t="shared" si="60"/>
        <v>0</v>
      </c>
      <c r="K311" s="70">
        <f t="shared" si="60"/>
        <v>0</v>
      </c>
      <c r="L311" s="70">
        <v>1632.7214799999999</v>
      </c>
      <c r="M311" s="70"/>
      <c r="N311" s="70">
        <f t="shared" si="59"/>
        <v>1632.7214799999999</v>
      </c>
    </row>
    <row r="312" spans="1:14" x14ac:dyDescent="0.25">
      <c r="A312" s="98"/>
      <c r="B312" s="98"/>
      <c r="C312" s="6"/>
      <c r="D312" s="6" t="s">
        <v>424</v>
      </c>
      <c r="E312" s="3" t="s">
        <v>425</v>
      </c>
      <c r="F312" s="70">
        <v>0</v>
      </c>
      <c r="G312" s="70"/>
      <c r="H312" s="70">
        <v>0</v>
      </c>
      <c r="I312" s="70">
        <f t="shared" si="60"/>
        <v>0</v>
      </c>
      <c r="J312" s="70">
        <f t="shared" si="60"/>
        <v>0</v>
      </c>
      <c r="K312" s="70">
        <f t="shared" si="60"/>
        <v>0</v>
      </c>
      <c r="L312" s="70">
        <v>1632.7214799999999</v>
      </c>
      <c r="M312" s="70"/>
      <c r="N312" s="70">
        <f t="shared" si="59"/>
        <v>1632.7214799999999</v>
      </c>
    </row>
    <row r="313" spans="1:14" x14ac:dyDescent="0.25">
      <c r="A313" s="98"/>
      <c r="B313" s="98"/>
      <c r="C313" s="6"/>
      <c r="D313" s="6"/>
      <c r="E313" s="9" t="s">
        <v>105</v>
      </c>
      <c r="F313" s="70">
        <v>0</v>
      </c>
      <c r="G313" s="70"/>
      <c r="H313" s="70">
        <v>0</v>
      </c>
      <c r="I313" s="70">
        <v>0</v>
      </c>
      <c r="J313" s="70">
        <v>0</v>
      </c>
      <c r="K313" s="70">
        <v>0</v>
      </c>
      <c r="L313" s="70">
        <v>1632.7214799999999</v>
      </c>
      <c r="M313" s="70"/>
      <c r="N313" s="70">
        <v>1632.7214799999999</v>
      </c>
    </row>
    <row r="314" spans="1:14" x14ac:dyDescent="0.25">
      <c r="A314" s="171"/>
      <c r="B314" s="171"/>
      <c r="C314" s="59" t="s">
        <v>394</v>
      </c>
      <c r="D314" s="59"/>
      <c r="E314" s="60" t="s">
        <v>395</v>
      </c>
      <c r="F314" s="83">
        <f t="shared" ref="F314:H316" si="61">F315</f>
        <v>0</v>
      </c>
      <c r="G314" s="83"/>
      <c r="H314" s="83">
        <f t="shared" si="61"/>
        <v>0</v>
      </c>
      <c r="I314" s="83">
        <f t="shared" ref="I314:N316" si="62">I315</f>
        <v>0</v>
      </c>
      <c r="J314" s="83"/>
      <c r="K314" s="83">
        <f t="shared" si="62"/>
        <v>0</v>
      </c>
      <c r="L314" s="83">
        <f t="shared" si="62"/>
        <v>0</v>
      </c>
      <c r="M314" s="83"/>
      <c r="N314" s="83">
        <f t="shared" si="62"/>
        <v>0</v>
      </c>
    </row>
    <row r="315" spans="1:14" ht="26.25" x14ac:dyDescent="0.25">
      <c r="A315" s="150"/>
      <c r="B315" s="150"/>
      <c r="C315" s="61" t="s">
        <v>402</v>
      </c>
      <c r="D315" s="61"/>
      <c r="E315" s="63" t="s">
        <v>403</v>
      </c>
      <c r="F315" s="84">
        <f t="shared" si="61"/>
        <v>0</v>
      </c>
      <c r="G315" s="84"/>
      <c r="H315" s="84">
        <f t="shared" si="61"/>
        <v>0</v>
      </c>
      <c r="I315" s="84">
        <f t="shared" si="62"/>
        <v>0</v>
      </c>
      <c r="J315" s="84"/>
      <c r="K315" s="84">
        <f t="shared" si="62"/>
        <v>0</v>
      </c>
      <c r="L315" s="84">
        <f t="shared" si="62"/>
        <v>0</v>
      </c>
      <c r="M315" s="84"/>
      <c r="N315" s="84">
        <f t="shared" si="62"/>
        <v>0</v>
      </c>
    </row>
    <row r="316" spans="1:14" x14ac:dyDescent="0.25">
      <c r="A316" s="98"/>
      <c r="B316" s="98"/>
      <c r="C316" s="4" t="s">
        <v>562</v>
      </c>
      <c r="D316" s="12"/>
      <c r="E316" s="3" t="s">
        <v>692</v>
      </c>
      <c r="F316" s="70">
        <f t="shared" si="61"/>
        <v>0</v>
      </c>
      <c r="G316" s="70"/>
      <c r="H316" s="70">
        <f t="shared" si="61"/>
        <v>0</v>
      </c>
      <c r="I316" s="70">
        <f t="shared" si="62"/>
        <v>0</v>
      </c>
      <c r="J316" s="70"/>
      <c r="K316" s="70">
        <f t="shared" si="62"/>
        <v>0</v>
      </c>
      <c r="L316" s="70">
        <f t="shared" si="62"/>
        <v>0</v>
      </c>
      <c r="M316" s="70"/>
      <c r="N316" s="70">
        <f t="shared" si="62"/>
        <v>0</v>
      </c>
    </row>
    <row r="317" spans="1:14" ht="26.25" x14ac:dyDescent="0.25">
      <c r="A317" s="98"/>
      <c r="B317" s="98"/>
      <c r="C317" s="12"/>
      <c r="D317" s="16" t="s">
        <v>471</v>
      </c>
      <c r="E317" s="3" t="s">
        <v>472</v>
      </c>
      <c r="F317" s="70">
        <v>0</v>
      </c>
      <c r="G317" s="70"/>
      <c r="H317" s="70">
        <v>0</v>
      </c>
      <c r="I317" s="70">
        <v>0</v>
      </c>
      <c r="J317" s="70"/>
      <c r="K317" s="70">
        <v>0</v>
      </c>
      <c r="L317" s="70">
        <v>0</v>
      </c>
      <c r="M317" s="70"/>
      <c r="N317" s="70">
        <v>0</v>
      </c>
    </row>
    <row r="318" spans="1:14" x14ac:dyDescent="0.25">
      <c r="A318" s="108"/>
      <c r="B318" s="17" t="s">
        <v>612</v>
      </c>
      <c r="C318" s="109"/>
      <c r="D318" s="108"/>
      <c r="E318" s="102" t="s">
        <v>613</v>
      </c>
      <c r="F318" s="74">
        <f>F319+F345</f>
        <v>18012.08223</v>
      </c>
      <c r="G318" s="74">
        <f>G319+G345</f>
        <v>1300.93</v>
      </c>
      <c r="H318" s="74">
        <f>H319+H345</f>
        <v>19313.01223</v>
      </c>
      <c r="I318" s="74">
        <f t="shared" ref="I318:N318" si="63">I319</f>
        <v>14399.31969</v>
      </c>
      <c r="J318" s="74">
        <f t="shared" si="63"/>
        <v>0</v>
      </c>
      <c r="K318" s="74">
        <f t="shared" si="63"/>
        <v>14399.31969</v>
      </c>
      <c r="L318" s="74">
        <f t="shared" si="63"/>
        <v>0</v>
      </c>
      <c r="M318" s="74"/>
      <c r="N318" s="74">
        <f t="shared" si="63"/>
        <v>0</v>
      </c>
    </row>
    <row r="319" spans="1:14" x14ac:dyDescent="0.25">
      <c r="A319" s="108"/>
      <c r="B319" s="16"/>
      <c r="C319" s="109" t="s">
        <v>5</v>
      </c>
      <c r="D319" s="108"/>
      <c r="E319" s="129" t="s">
        <v>6</v>
      </c>
      <c r="F319" s="74">
        <f t="shared" ref="F319:L319" si="64">F320</f>
        <v>13234.612230000001</v>
      </c>
      <c r="G319" s="74">
        <f t="shared" si="64"/>
        <v>23.299999999999997</v>
      </c>
      <c r="H319" s="74">
        <f t="shared" si="64"/>
        <v>13257.91223</v>
      </c>
      <c r="I319" s="74">
        <f t="shared" si="64"/>
        <v>14399.31969</v>
      </c>
      <c r="J319" s="74">
        <f t="shared" si="64"/>
        <v>0</v>
      </c>
      <c r="K319" s="74">
        <f t="shared" si="64"/>
        <v>14399.31969</v>
      </c>
      <c r="L319" s="74">
        <f t="shared" si="64"/>
        <v>0</v>
      </c>
      <c r="M319" s="74"/>
      <c r="N319" s="74">
        <f>N320</f>
        <v>0</v>
      </c>
    </row>
    <row r="320" spans="1:14" ht="25.5" x14ac:dyDescent="0.25">
      <c r="A320" s="111"/>
      <c r="B320" s="112"/>
      <c r="C320" s="113" t="s">
        <v>290</v>
      </c>
      <c r="D320" s="112"/>
      <c r="E320" s="114" t="s">
        <v>291</v>
      </c>
      <c r="F320" s="115">
        <f t="shared" ref="F320:L320" si="65">F321+F325</f>
        <v>13234.612230000001</v>
      </c>
      <c r="G320" s="115">
        <f>G321+G325</f>
        <v>23.299999999999997</v>
      </c>
      <c r="H320" s="115">
        <f t="shared" si="65"/>
        <v>13257.91223</v>
      </c>
      <c r="I320" s="115">
        <f t="shared" si="65"/>
        <v>14399.31969</v>
      </c>
      <c r="J320" s="115">
        <f>J321+J325</f>
        <v>0</v>
      </c>
      <c r="K320" s="115">
        <f t="shared" si="65"/>
        <v>14399.31969</v>
      </c>
      <c r="L320" s="115">
        <f t="shared" si="65"/>
        <v>0</v>
      </c>
      <c r="M320" s="115"/>
      <c r="N320" s="115">
        <f>N321+N325</f>
        <v>0</v>
      </c>
    </row>
    <row r="321" spans="1:14" ht="26.25" x14ac:dyDescent="0.25">
      <c r="A321" s="31"/>
      <c r="B321" s="31"/>
      <c r="C321" s="31" t="s">
        <v>301</v>
      </c>
      <c r="D321" s="31"/>
      <c r="E321" s="52" t="s">
        <v>302</v>
      </c>
      <c r="F321" s="75">
        <f t="shared" ref="F321:N322" si="66">F322</f>
        <v>195</v>
      </c>
      <c r="G321" s="75">
        <f t="shared" si="66"/>
        <v>0</v>
      </c>
      <c r="H321" s="75">
        <f t="shared" si="66"/>
        <v>195</v>
      </c>
      <c r="I321" s="75">
        <f t="shared" si="66"/>
        <v>158</v>
      </c>
      <c r="J321" s="75"/>
      <c r="K321" s="75">
        <f t="shared" si="66"/>
        <v>158</v>
      </c>
      <c r="L321" s="75">
        <f t="shared" si="66"/>
        <v>0</v>
      </c>
      <c r="M321" s="75"/>
      <c r="N321" s="75">
        <f t="shared" si="66"/>
        <v>0</v>
      </c>
    </row>
    <row r="322" spans="1:14" x14ac:dyDescent="0.25">
      <c r="A322" s="33"/>
      <c r="B322" s="33"/>
      <c r="C322" s="33" t="s">
        <v>308</v>
      </c>
      <c r="D322" s="36"/>
      <c r="E322" s="20" t="s">
        <v>309</v>
      </c>
      <c r="F322" s="71">
        <f t="shared" si="66"/>
        <v>195</v>
      </c>
      <c r="G322" s="71">
        <f t="shared" si="66"/>
        <v>0</v>
      </c>
      <c r="H322" s="71">
        <f t="shared" si="66"/>
        <v>195</v>
      </c>
      <c r="I322" s="71">
        <f t="shared" si="66"/>
        <v>158</v>
      </c>
      <c r="J322" s="71"/>
      <c r="K322" s="71">
        <f t="shared" si="66"/>
        <v>158</v>
      </c>
      <c r="L322" s="71">
        <f t="shared" si="66"/>
        <v>0</v>
      </c>
      <c r="M322" s="71"/>
      <c r="N322" s="71">
        <f t="shared" si="66"/>
        <v>0</v>
      </c>
    </row>
    <row r="323" spans="1:14" x14ac:dyDescent="0.25">
      <c r="A323" s="98"/>
      <c r="B323" s="98"/>
      <c r="C323" s="6" t="s">
        <v>311</v>
      </c>
      <c r="D323" s="22"/>
      <c r="E323" s="54" t="s">
        <v>312</v>
      </c>
      <c r="F323" s="80">
        <f>F324</f>
        <v>195</v>
      </c>
      <c r="G323" s="80"/>
      <c r="H323" s="80">
        <f>H324</f>
        <v>195</v>
      </c>
      <c r="I323" s="80">
        <f>I324</f>
        <v>158</v>
      </c>
      <c r="J323" s="80"/>
      <c r="K323" s="80">
        <f>K324</f>
        <v>158</v>
      </c>
      <c r="L323" s="80">
        <v>0</v>
      </c>
      <c r="M323" s="80"/>
      <c r="N323" s="80">
        <v>0</v>
      </c>
    </row>
    <row r="324" spans="1:14" x14ac:dyDescent="0.25">
      <c r="A324" s="98"/>
      <c r="B324" s="98"/>
      <c r="C324" s="6"/>
      <c r="D324" s="6" t="s">
        <v>281</v>
      </c>
      <c r="E324" s="3" t="s">
        <v>282</v>
      </c>
      <c r="F324" s="80">
        <v>195</v>
      </c>
      <c r="G324" s="80"/>
      <c r="H324" s="80">
        <f>SUM(F324:G324)</f>
        <v>195</v>
      </c>
      <c r="I324" s="80">
        <v>158</v>
      </c>
      <c r="J324" s="80"/>
      <c r="K324" s="80">
        <v>158</v>
      </c>
      <c r="L324" s="80">
        <v>0</v>
      </c>
      <c r="M324" s="80"/>
      <c r="N324" s="80">
        <v>0</v>
      </c>
    </row>
    <row r="325" spans="1:14" ht="26.25" x14ac:dyDescent="0.25">
      <c r="A325" s="31"/>
      <c r="B325" s="31"/>
      <c r="C325" s="31" t="s">
        <v>318</v>
      </c>
      <c r="D325" s="31"/>
      <c r="E325" s="52" t="s">
        <v>319</v>
      </c>
      <c r="F325" s="75">
        <f t="shared" ref="F325:L325" si="67">F326+F340</f>
        <v>13039.612230000001</v>
      </c>
      <c r="G325" s="75">
        <f>G326+G340</f>
        <v>23.299999999999997</v>
      </c>
      <c r="H325" s="75">
        <f t="shared" si="67"/>
        <v>13062.91223</v>
      </c>
      <c r="I325" s="75">
        <f t="shared" si="67"/>
        <v>14241.31969</v>
      </c>
      <c r="J325" s="75">
        <f>J326+J340</f>
        <v>0</v>
      </c>
      <c r="K325" s="75">
        <f t="shared" si="67"/>
        <v>14241.31969</v>
      </c>
      <c r="L325" s="75">
        <f t="shared" si="67"/>
        <v>0</v>
      </c>
      <c r="M325" s="75"/>
      <c r="N325" s="75">
        <f>N326+N340</f>
        <v>0</v>
      </c>
    </row>
    <row r="326" spans="1:14" ht="26.25" x14ac:dyDescent="0.25">
      <c r="A326" s="33"/>
      <c r="B326" s="33"/>
      <c r="C326" s="33" t="s">
        <v>320</v>
      </c>
      <c r="D326" s="33"/>
      <c r="E326" s="20" t="s">
        <v>321</v>
      </c>
      <c r="F326" s="71">
        <f>F329+F332+F327+F334+F338</f>
        <v>11566.712230000001</v>
      </c>
      <c r="G326" s="71">
        <f>G329+G332+G327+G334+G338</f>
        <v>23.299999999999997</v>
      </c>
      <c r="H326" s="71">
        <f>H329+H332+H327+H334++H338</f>
        <v>11590.01223</v>
      </c>
      <c r="I326" s="71">
        <f>I329+I332+I327+I334</f>
        <v>6022.3196900000003</v>
      </c>
      <c r="J326" s="71">
        <f>J329+J332+J327+J334</f>
        <v>0</v>
      </c>
      <c r="K326" s="71">
        <f>K329+K332+K327+K334</f>
        <v>6022.3196900000003</v>
      </c>
      <c r="L326" s="71">
        <f>L329+L332+L327+L334</f>
        <v>0</v>
      </c>
      <c r="M326" s="71"/>
      <c r="N326" s="71">
        <f>N329+N332+N327+N334</f>
        <v>0</v>
      </c>
    </row>
    <row r="327" spans="1:14" x14ac:dyDescent="0.25">
      <c r="A327" s="12"/>
      <c r="B327" s="12"/>
      <c r="C327" s="16" t="s">
        <v>673</v>
      </c>
      <c r="D327" s="18"/>
      <c r="E327" s="1" t="s">
        <v>503</v>
      </c>
      <c r="F327" s="70">
        <f>F328</f>
        <v>356.8</v>
      </c>
      <c r="G327" s="70"/>
      <c r="H327" s="70">
        <f>H328</f>
        <v>356.8</v>
      </c>
      <c r="I327" s="70">
        <v>0</v>
      </c>
      <c r="J327" s="70"/>
      <c r="K327" s="70">
        <v>0</v>
      </c>
      <c r="L327" s="70">
        <v>0</v>
      </c>
      <c r="M327" s="70"/>
      <c r="N327" s="70">
        <v>0</v>
      </c>
    </row>
    <row r="328" spans="1:14" x14ac:dyDescent="0.25">
      <c r="A328" s="12"/>
      <c r="B328" s="12"/>
      <c r="C328" s="16"/>
      <c r="D328" s="6" t="s">
        <v>281</v>
      </c>
      <c r="E328" s="3" t="s">
        <v>282</v>
      </c>
      <c r="F328" s="70">
        <f>613.5-256.7</f>
        <v>356.8</v>
      </c>
      <c r="G328" s="70"/>
      <c r="H328" s="70">
        <f>SUM(F328:G328)</f>
        <v>356.8</v>
      </c>
      <c r="I328" s="70">
        <v>0</v>
      </c>
      <c r="J328" s="70"/>
      <c r="K328" s="70">
        <v>0</v>
      </c>
      <c r="L328" s="70">
        <v>0</v>
      </c>
      <c r="M328" s="70"/>
      <c r="N328" s="70">
        <v>0</v>
      </c>
    </row>
    <row r="329" spans="1:14" x14ac:dyDescent="0.25">
      <c r="A329" s="6"/>
      <c r="B329" s="6"/>
      <c r="C329" s="6" t="s">
        <v>322</v>
      </c>
      <c r="D329" s="6"/>
      <c r="E329" s="54" t="s">
        <v>323</v>
      </c>
      <c r="F329" s="80">
        <f>F330+F331</f>
        <v>6314.3</v>
      </c>
      <c r="G329" s="80">
        <f>G330+G331</f>
        <v>80</v>
      </c>
      <c r="H329" s="80">
        <f>H330+H331</f>
        <v>6394.3</v>
      </c>
      <c r="I329" s="80">
        <f>I330</f>
        <v>0</v>
      </c>
      <c r="J329" s="80"/>
      <c r="K329" s="80">
        <f>K330</f>
        <v>0</v>
      </c>
      <c r="L329" s="80">
        <f>L330</f>
        <v>0</v>
      </c>
      <c r="M329" s="80"/>
      <c r="N329" s="80">
        <f>N330</f>
        <v>0</v>
      </c>
    </row>
    <row r="330" spans="1:14" x14ac:dyDescent="0.25">
      <c r="A330" s="12"/>
      <c r="B330" s="12"/>
      <c r="C330" s="12"/>
      <c r="D330" s="6" t="s">
        <v>281</v>
      </c>
      <c r="E330" s="314" t="s">
        <v>282</v>
      </c>
      <c r="F330" s="315">
        <v>6024.3</v>
      </c>
      <c r="G330" s="315"/>
      <c r="H330" s="315">
        <f>SUM(F330:G330)</f>
        <v>6024.3</v>
      </c>
      <c r="I330" s="80">
        <v>0</v>
      </c>
      <c r="J330" s="80"/>
      <c r="K330" s="80">
        <v>0</v>
      </c>
      <c r="L330" s="80">
        <f>3880.1-3880.1</f>
        <v>0</v>
      </c>
      <c r="M330" s="80"/>
      <c r="N330" s="80">
        <f>3880.1-3880.1</f>
        <v>0</v>
      </c>
    </row>
    <row r="331" spans="1:14" ht="25.5" x14ac:dyDescent="0.25">
      <c r="A331" s="12"/>
      <c r="B331" s="12"/>
      <c r="C331" s="12"/>
      <c r="D331" s="6" t="s">
        <v>471</v>
      </c>
      <c r="E331" s="316" t="s">
        <v>472</v>
      </c>
      <c r="F331" s="315">
        <v>290</v>
      </c>
      <c r="G331" s="315">
        <v>80</v>
      </c>
      <c r="H331" s="315">
        <f>290+80</f>
        <v>370</v>
      </c>
      <c r="I331" s="80"/>
      <c r="J331" s="80"/>
      <c r="K331" s="80"/>
      <c r="L331" s="80"/>
      <c r="M331" s="80"/>
      <c r="N331" s="80"/>
    </row>
    <row r="332" spans="1:14" ht="26.25" x14ac:dyDescent="0.25">
      <c r="A332" s="6"/>
      <c r="B332" s="6"/>
      <c r="C332" s="6" t="s">
        <v>460</v>
      </c>
      <c r="D332" s="6"/>
      <c r="E332" s="3" t="s">
        <v>324</v>
      </c>
      <c r="F332" s="70">
        <f>F333</f>
        <v>1023.4</v>
      </c>
      <c r="G332" s="70">
        <f>G333</f>
        <v>0</v>
      </c>
      <c r="H332" s="70">
        <f>H333</f>
        <v>1023.4</v>
      </c>
      <c r="I332" s="70">
        <f>I333</f>
        <v>0</v>
      </c>
      <c r="J332" s="70"/>
      <c r="K332" s="70">
        <f>K333</f>
        <v>0</v>
      </c>
      <c r="L332" s="70">
        <f>L333</f>
        <v>0</v>
      </c>
      <c r="M332" s="70"/>
      <c r="N332" s="70">
        <f>N333</f>
        <v>0</v>
      </c>
    </row>
    <row r="333" spans="1:14" x14ac:dyDescent="0.25">
      <c r="A333" s="6"/>
      <c r="B333" s="6"/>
      <c r="C333" s="6"/>
      <c r="D333" s="6" t="s">
        <v>281</v>
      </c>
      <c r="E333" s="3" t="s">
        <v>282</v>
      </c>
      <c r="F333" s="70">
        <v>1023.4</v>
      </c>
      <c r="G333" s="80"/>
      <c r="H333" s="70">
        <f>SUM(F333:G333)</f>
        <v>1023.4</v>
      </c>
      <c r="I333" s="70">
        <v>0</v>
      </c>
      <c r="J333" s="70"/>
      <c r="K333" s="70">
        <v>0</v>
      </c>
      <c r="L333" s="70">
        <v>0</v>
      </c>
      <c r="M333" s="70"/>
      <c r="N333" s="70">
        <v>0</v>
      </c>
    </row>
    <row r="334" spans="1:14" ht="38.25" x14ac:dyDescent="0.25">
      <c r="A334" s="6"/>
      <c r="B334" s="6"/>
      <c r="C334" s="6" t="s">
        <v>913</v>
      </c>
      <c r="D334" s="6"/>
      <c r="E334" s="1" t="s">
        <v>504</v>
      </c>
      <c r="F334" s="80">
        <f>F335</f>
        <v>3615.5122299999998</v>
      </c>
      <c r="G334" s="80"/>
      <c r="H334" s="80">
        <f>H335</f>
        <v>3615.5122299999998</v>
      </c>
      <c r="I334" s="80">
        <f>I335</f>
        <v>6022.3196900000003</v>
      </c>
      <c r="J334" s="80">
        <f>J335</f>
        <v>0</v>
      </c>
      <c r="K334" s="80">
        <f>K335</f>
        <v>6022.3196900000003</v>
      </c>
      <c r="L334" s="70">
        <v>0</v>
      </c>
      <c r="M334" s="70"/>
      <c r="N334" s="70">
        <v>0</v>
      </c>
    </row>
    <row r="335" spans="1:14" x14ac:dyDescent="0.25">
      <c r="A335" s="6"/>
      <c r="B335" s="6"/>
      <c r="C335" s="16"/>
      <c r="D335" s="6" t="s">
        <v>281</v>
      </c>
      <c r="E335" s="3" t="s">
        <v>282</v>
      </c>
      <c r="F335" s="80">
        <f>SUM(F336:F337)</f>
        <v>3615.5122299999998</v>
      </c>
      <c r="G335" s="80"/>
      <c r="H335" s="80">
        <f>SUM(H336:H337)</f>
        <v>3615.5122299999998</v>
      </c>
      <c r="I335" s="80">
        <f>SUM(I336:I337)</f>
        <v>6022.3196900000003</v>
      </c>
      <c r="J335" s="80">
        <f>SUM(J336:J337)</f>
        <v>0</v>
      </c>
      <c r="K335" s="80">
        <f>SUM(K336:K337)</f>
        <v>6022.3196900000003</v>
      </c>
      <c r="L335" s="70">
        <v>0</v>
      </c>
      <c r="M335" s="70"/>
      <c r="N335" s="70">
        <v>0</v>
      </c>
    </row>
    <row r="336" spans="1:14" x14ac:dyDescent="0.25">
      <c r="A336" s="6"/>
      <c r="B336" s="6"/>
      <c r="C336" s="16"/>
      <c r="D336" s="6"/>
      <c r="E336" s="3" t="s">
        <v>153</v>
      </c>
      <c r="F336" s="80">
        <v>2711.6341699999998</v>
      </c>
      <c r="G336" s="80"/>
      <c r="H336" s="80">
        <v>2711.6341699999998</v>
      </c>
      <c r="I336" s="80">
        <v>3891.8873600000002</v>
      </c>
      <c r="J336" s="80"/>
      <c r="K336" s="80">
        <v>3891.8873600000002</v>
      </c>
      <c r="L336" s="70">
        <v>0</v>
      </c>
      <c r="M336" s="70"/>
      <c r="N336" s="70">
        <v>0</v>
      </c>
    </row>
    <row r="337" spans="1:14" x14ac:dyDescent="0.25">
      <c r="A337" s="6"/>
      <c r="B337" s="6"/>
      <c r="C337" s="16"/>
      <c r="D337" s="6"/>
      <c r="E337" s="19" t="s">
        <v>105</v>
      </c>
      <c r="F337" s="80">
        <v>903.87806</v>
      </c>
      <c r="G337" s="80"/>
      <c r="H337" s="80">
        <v>903.87806</v>
      </c>
      <c r="I337" s="80">
        <v>2130.4323299999996</v>
      </c>
      <c r="J337" s="80"/>
      <c r="K337" s="80">
        <f>SUM(I337:J337)</f>
        <v>2130.4323299999996</v>
      </c>
      <c r="L337" s="70">
        <v>0</v>
      </c>
      <c r="M337" s="70"/>
      <c r="N337" s="70">
        <v>0</v>
      </c>
    </row>
    <row r="338" spans="1:14" ht="26.25" x14ac:dyDescent="0.25">
      <c r="A338" s="6"/>
      <c r="B338" s="6"/>
      <c r="C338" s="22" t="s">
        <v>834</v>
      </c>
      <c r="D338" s="22"/>
      <c r="E338" s="54" t="s">
        <v>879</v>
      </c>
      <c r="F338" s="80">
        <f>F339</f>
        <v>256.7</v>
      </c>
      <c r="G338" s="80">
        <f>G339</f>
        <v>-56.7</v>
      </c>
      <c r="H338" s="80">
        <f>H339</f>
        <v>200</v>
      </c>
      <c r="I338" s="80">
        <v>0</v>
      </c>
      <c r="J338" s="80"/>
      <c r="K338" s="80">
        <v>0</v>
      </c>
      <c r="L338" s="70">
        <v>0</v>
      </c>
      <c r="M338" s="70"/>
      <c r="N338" s="70">
        <v>0</v>
      </c>
    </row>
    <row r="339" spans="1:14" x14ac:dyDescent="0.25">
      <c r="A339" s="6"/>
      <c r="B339" s="6"/>
      <c r="C339" s="22"/>
      <c r="D339" s="22" t="s">
        <v>281</v>
      </c>
      <c r="E339" s="54" t="s">
        <v>282</v>
      </c>
      <c r="F339" s="80">
        <v>256.7</v>
      </c>
      <c r="G339" s="80">
        <v>-56.7</v>
      </c>
      <c r="H339" s="80">
        <f>SUM(F339:G339)</f>
        <v>200</v>
      </c>
      <c r="I339" s="80">
        <v>0</v>
      </c>
      <c r="J339" s="80"/>
      <c r="K339" s="80">
        <v>0</v>
      </c>
      <c r="L339" s="70">
        <v>0</v>
      </c>
      <c r="M339" s="70"/>
      <c r="N339" s="70">
        <v>0</v>
      </c>
    </row>
    <row r="340" spans="1:14" x14ac:dyDescent="0.25">
      <c r="A340" s="33"/>
      <c r="B340" s="33"/>
      <c r="C340" s="33" t="s">
        <v>325</v>
      </c>
      <c r="D340" s="33"/>
      <c r="E340" s="20" t="s">
        <v>326</v>
      </c>
      <c r="F340" s="71">
        <f>F341+F343</f>
        <v>1472.9</v>
      </c>
      <c r="G340" s="71">
        <f>G343</f>
        <v>0</v>
      </c>
      <c r="H340" s="71">
        <f>H341+H343</f>
        <v>1472.9</v>
      </c>
      <c r="I340" s="71">
        <f t="shared" ref="I340:N340" si="68">I341+I343</f>
        <v>8219</v>
      </c>
      <c r="J340" s="71"/>
      <c r="K340" s="71">
        <f t="shared" si="68"/>
        <v>8219</v>
      </c>
      <c r="L340" s="71">
        <f t="shared" si="68"/>
        <v>0</v>
      </c>
      <c r="M340" s="71"/>
      <c r="N340" s="71">
        <f t="shared" si="68"/>
        <v>0</v>
      </c>
    </row>
    <row r="341" spans="1:14" x14ac:dyDescent="0.25">
      <c r="A341" s="6"/>
      <c r="B341" s="6"/>
      <c r="C341" s="6" t="s">
        <v>327</v>
      </c>
      <c r="D341" s="16"/>
      <c r="E341" s="1" t="s">
        <v>328</v>
      </c>
      <c r="F341" s="70">
        <f>F342</f>
        <v>1133.7</v>
      </c>
      <c r="G341" s="70"/>
      <c r="H341" s="70">
        <f>H342</f>
        <v>1133.7</v>
      </c>
      <c r="I341" s="70">
        <f>I342</f>
        <v>0</v>
      </c>
      <c r="J341" s="70"/>
      <c r="K341" s="70">
        <f>K342</f>
        <v>0</v>
      </c>
      <c r="L341" s="70">
        <f>L342</f>
        <v>0</v>
      </c>
      <c r="M341" s="70"/>
      <c r="N341" s="70">
        <f>N342</f>
        <v>0</v>
      </c>
    </row>
    <row r="342" spans="1:14" x14ac:dyDescent="0.25">
      <c r="A342" s="6"/>
      <c r="B342" s="6"/>
      <c r="C342" s="6"/>
      <c r="D342" s="6" t="s">
        <v>281</v>
      </c>
      <c r="E342" s="3" t="s">
        <v>282</v>
      </c>
      <c r="F342" s="70">
        <v>1133.7</v>
      </c>
      <c r="G342" s="70"/>
      <c r="H342" s="70">
        <v>1133.7</v>
      </c>
      <c r="I342" s="70">
        <v>0</v>
      </c>
      <c r="J342" s="70"/>
      <c r="K342" s="70">
        <v>0</v>
      </c>
      <c r="L342" s="70">
        <v>0</v>
      </c>
      <c r="M342" s="70"/>
      <c r="N342" s="70">
        <v>0</v>
      </c>
    </row>
    <row r="343" spans="1:14" x14ac:dyDescent="0.25">
      <c r="A343" s="6"/>
      <c r="B343" s="6"/>
      <c r="C343" s="6" t="s">
        <v>859</v>
      </c>
      <c r="D343" s="4"/>
      <c r="E343" s="19" t="s">
        <v>860</v>
      </c>
      <c r="F343" s="70">
        <v>339.2</v>
      </c>
      <c r="G343" s="70"/>
      <c r="H343" s="70">
        <v>339.2</v>
      </c>
      <c r="I343" s="70">
        <f>I344</f>
        <v>8219</v>
      </c>
      <c r="J343" s="70"/>
      <c r="K343" s="70">
        <f>K344</f>
        <v>8219</v>
      </c>
      <c r="L343" s="70"/>
      <c r="M343" s="70"/>
      <c r="N343" s="70"/>
    </row>
    <row r="344" spans="1:14" x14ac:dyDescent="0.25">
      <c r="A344" s="6"/>
      <c r="B344" s="6"/>
      <c r="C344" s="6"/>
      <c r="D344" s="6" t="s">
        <v>281</v>
      </c>
      <c r="E344" s="3" t="s">
        <v>282</v>
      </c>
      <c r="F344" s="70">
        <v>339.2</v>
      </c>
      <c r="G344" s="70"/>
      <c r="H344" s="70">
        <v>339.2</v>
      </c>
      <c r="I344" s="70">
        <v>8219</v>
      </c>
      <c r="J344" s="70"/>
      <c r="K344" s="70">
        <v>8219</v>
      </c>
      <c r="L344" s="70"/>
      <c r="M344" s="70"/>
      <c r="N344" s="70"/>
    </row>
    <row r="345" spans="1:14" x14ac:dyDescent="0.25">
      <c r="A345" s="274"/>
      <c r="B345" s="274"/>
      <c r="C345" s="59" t="s">
        <v>394</v>
      </c>
      <c r="D345" s="59"/>
      <c r="E345" s="60" t="s">
        <v>395</v>
      </c>
      <c r="F345" s="83">
        <f>F346</f>
        <v>4777.4699999999993</v>
      </c>
      <c r="G345" s="83">
        <f>G346</f>
        <v>1277.6300000000001</v>
      </c>
      <c r="H345" s="83">
        <f>H346</f>
        <v>6055.1</v>
      </c>
      <c r="I345" s="83">
        <f t="shared" ref="I345:N345" si="69">I346</f>
        <v>0</v>
      </c>
      <c r="J345" s="83"/>
      <c r="K345" s="83">
        <f t="shared" si="69"/>
        <v>0</v>
      </c>
      <c r="L345" s="83">
        <f t="shared" si="69"/>
        <v>0</v>
      </c>
      <c r="M345" s="83"/>
      <c r="N345" s="83">
        <f t="shared" si="69"/>
        <v>0</v>
      </c>
    </row>
    <row r="346" spans="1:14" ht="26.25" x14ac:dyDescent="0.25">
      <c r="A346" s="62"/>
      <c r="B346" s="62"/>
      <c r="C346" s="61" t="s">
        <v>402</v>
      </c>
      <c r="D346" s="61"/>
      <c r="E346" s="63" t="s">
        <v>403</v>
      </c>
      <c r="F346" s="84">
        <f>F347+F349</f>
        <v>4777.4699999999993</v>
      </c>
      <c r="G346" s="84">
        <f>G347+G349</f>
        <v>1277.6300000000001</v>
      </c>
      <c r="H346" s="84">
        <f>H347+H349</f>
        <v>6055.1</v>
      </c>
      <c r="I346" s="84">
        <f>I347+I349</f>
        <v>0</v>
      </c>
      <c r="J346" s="84"/>
      <c r="K346" s="84">
        <f>K347+K349</f>
        <v>0</v>
      </c>
      <c r="L346" s="84">
        <f>L347+L349</f>
        <v>0</v>
      </c>
      <c r="M346" s="84"/>
      <c r="N346" s="84">
        <f>N347+N349</f>
        <v>0</v>
      </c>
    </row>
    <row r="347" spans="1:14" ht="26.25" x14ac:dyDescent="0.25">
      <c r="A347" s="6"/>
      <c r="B347" s="6"/>
      <c r="C347" s="22" t="s">
        <v>873</v>
      </c>
      <c r="D347" s="16"/>
      <c r="E347" s="53" t="s">
        <v>872</v>
      </c>
      <c r="F347" s="70">
        <v>2631.2</v>
      </c>
      <c r="G347" s="70"/>
      <c r="H347" s="70">
        <f>H348</f>
        <v>2631.2</v>
      </c>
      <c r="I347" s="70">
        <v>0</v>
      </c>
      <c r="J347" s="70"/>
      <c r="K347" s="70">
        <v>0</v>
      </c>
      <c r="L347" s="70">
        <v>0</v>
      </c>
      <c r="M347" s="70"/>
      <c r="N347" s="70">
        <v>0</v>
      </c>
    </row>
    <row r="348" spans="1:14" ht="26.25" x14ac:dyDescent="0.25">
      <c r="A348" s="6"/>
      <c r="B348" s="6"/>
      <c r="C348" s="17"/>
      <c r="D348" s="6" t="s">
        <v>299</v>
      </c>
      <c r="E348" s="3" t="s">
        <v>300</v>
      </c>
      <c r="F348" s="70">
        <v>2631.2</v>
      </c>
      <c r="G348" s="70"/>
      <c r="H348" s="70">
        <v>2631.2</v>
      </c>
      <c r="I348" s="70">
        <v>0</v>
      </c>
      <c r="J348" s="70"/>
      <c r="K348" s="70">
        <v>0</v>
      </c>
      <c r="L348" s="70">
        <v>0</v>
      </c>
      <c r="M348" s="70"/>
      <c r="N348" s="70">
        <v>0</v>
      </c>
    </row>
    <row r="349" spans="1:14" x14ac:dyDescent="0.25">
      <c r="A349" s="6"/>
      <c r="B349" s="6"/>
      <c r="C349" s="22" t="s">
        <v>912</v>
      </c>
      <c r="D349" s="16"/>
      <c r="E349" s="53" t="s">
        <v>911</v>
      </c>
      <c r="F349" s="70">
        <v>2146.27</v>
      </c>
      <c r="G349" s="70">
        <f>G350</f>
        <v>1277.6300000000001</v>
      </c>
      <c r="H349" s="70">
        <f>H350</f>
        <v>3423.9</v>
      </c>
      <c r="I349" s="70">
        <v>0</v>
      </c>
      <c r="J349" s="70"/>
      <c r="K349" s="70">
        <v>0</v>
      </c>
      <c r="L349" s="70">
        <v>0</v>
      </c>
      <c r="M349" s="70"/>
      <c r="N349" s="70">
        <v>0</v>
      </c>
    </row>
    <row r="350" spans="1:14" ht="25.5" x14ac:dyDescent="0.25">
      <c r="A350" s="6"/>
      <c r="B350" s="6"/>
      <c r="C350" s="17"/>
      <c r="D350" s="6" t="s">
        <v>471</v>
      </c>
      <c r="E350" s="1" t="s">
        <v>472</v>
      </c>
      <c r="F350" s="70">
        <v>2146.27</v>
      </c>
      <c r="G350" s="70">
        <v>1277.6300000000001</v>
      </c>
      <c r="H350" s="70">
        <f>SUM(F350:G350)</f>
        <v>3423.9</v>
      </c>
      <c r="I350" s="70">
        <v>0</v>
      </c>
      <c r="J350" s="70"/>
      <c r="K350" s="70">
        <v>0</v>
      </c>
      <c r="L350" s="70">
        <v>0</v>
      </c>
      <c r="M350" s="70"/>
      <c r="N350" s="70">
        <v>0</v>
      </c>
    </row>
    <row r="351" spans="1:14" x14ac:dyDescent="0.25">
      <c r="A351" s="98"/>
      <c r="B351" s="17" t="s">
        <v>614</v>
      </c>
      <c r="C351" s="109"/>
      <c r="D351" s="108"/>
      <c r="E351" s="102" t="s">
        <v>615</v>
      </c>
      <c r="F351" s="130">
        <f t="shared" ref="F351:N351" si="70">F352</f>
        <v>39946.401880000005</v>
      </c>
      <c r="G351" s="130">
        <f>G352+G406</f>
        <v>-144.30000000000001</v>
      </c>
      <c r="H351" s="130">
        <f>H352+H406</f>
        <v>39802.101880000002</v>
      </c>
      <c r="I351" s="130">
        <f t="shared" si="70"/>
        <v>39508.505889999993</v>
      </c>
      <c r="J351" s="130">
        <f t="shared" si="70"/>
        <v>0</v>
      </c>
      <c r="K351" s="130">
        <f t="shared" si="70"/>
        <v>39508.50589</v>
      </c>
      <c r="L351" s="130">
        <f t="shared" si="70"/>
        <v>57821.087590000003</v>
      </c>
      <c r="M351" s="130">
        <f t="shared" si="70"/>
        <v>0</v>
      </c>
      <c r="N351" s="130">
        <f t="shared" si="70"/>
        <v>57821.087590000003</v>
      </c>
    </row>
    <row r="352" spans="1:14" x14ac:dyDescent="0.25">
      <c r="A352" s="98"/>
      <c r="B352" s="17"/>
      <c r="C352" s="109" t="s">
        <v>5</v>
      </c>
      <c r="D352" s="17"/>
      <c r="E352" s="129" t="s">
        <v>6</v>
      </c>
      <c r="F352" s="130">
        <f t="shared" ref="F352:N352" si="71">F353+F391</f>
        <v>39946.401880000005</v>
      </c>
      <c r="G352" s="130">
        <f>G353+G391</f>
        <v>-230.8</v>
      </c>
      <c r="H352" s="130">
        <f t="shared" si="71"/>
        <v>39715.601880000002</v>
      </c>
      <c r="I352" s="130">
        <f t="shared" si="71"/>
        <v>39508.505889999993</v>
      </c>
      <c r="J352" s="130">
        <f>J353+J391</f>
        <v>0</v>
      </c>
      <c r="K352" s="130">
        <f t="shared" si="71"/>
        <v>39508.50589</v>
      </c>
      <c r="L352" s="130">
        <f t="shared" si="71"/>
        <v>57821.087590000003</v>
      </c>
      <c r="M352" s="130">
        <f>M353+M391</f>
        <v>0</v>
      </c>
      <c r="N352" s="130">
        <f t="shared" si="71"/>
        <v>57821.087590000003</v>
      </c>
    </row>
    <row r="353" spans="1:14" ht="25.5" x14ac:dyDescent="0.25">
      <c r="A353" s="111"/>
      <c r="B353" s="112"/>
      <c r="C353" s="113" t="s">
        <v>290</v>
      </c>
      <c r="D353" s="112"/>
      <c r="E353" s="114" t="s">
        <v>291</v>
      </c>
      <c r="F353" s="115">
        <f t="shared" ref="F353:N353" si="72">F354+F360</f>
        <v>29764.33107</v>
      </c>
      <c r="G353" s="115">
        <f>G354+G360</f>
        <v>-167.5</v>
      </c>
      <c r="H353" s="115">
        <f t="shared" si="72"/>
        <v>29596.83107</v>
      </c>
      <c r="I353" s="115">
        <f t="shared" si="72"/>
        <v>37110.650409999995</v>
      </c>
      <c r="J353" s="115">
        <f>J354+J360</f>
        <v>0</v>
      </c>
      <c r="K353" s="115">
        <f t="shared" si="72"/>
        <v>37110.650410000002</v>
      </c>
      <c r="L353" s="115">
        <f t="shared" si="72"/>
        <v>55423.232110000004</v>
      </c>
      <c r="M353" s="115">
        <f>M354+M360</f>
        <v>0</v>
      </c>
      <c r="N353" s="115">
        <f t="shared" si="72"/>
        <v>55423.232110000004</v>
      </c>
    </row>
    <row r="354" spans="1:14" x14ac:dyDescent="0.25">
      <c r="A354" s="31"/>
      <c r="B354" s="31"/>
      <c r="C354" s="31" t="s">
        <v>292</v>
      </c>
      <c r="D354" s="31"/>
      <c r="E354" s="52" t="s">
        <v>293</v>
      </c>
      <c r="F354" s="75">
        <f>F355</f>
        <v>4104.9799899999998</v>
      </c>
      <c r="G354" s="75"/>
      <c r="H354" s="75">
        <f t="shared" ref="H354:N354" si="73">H355</f>
        <v>4104.9799899999998</v>
      </c>
      <c r="I354" s="75">
        <f t="shared" si="73"/>
        <v>18822.809589999997</v>
      </c>
      <c r="J354" s="75">
        <f t="shared" si="73"/>
        <v>0</v>
      </c>
      <c r="K354" s="75">
        <f t="shared" si="73"/>
        <v>18822.809590000001</v>
      </c>
      <c r="L354" s="75">
        <f t="shared" si="73"/>
        <v>35981.132110000006</v>
      </c>
      <c r="M354" s="75">
        <f t="shared" si="73"/>
        <v>0</v>
      </c>
      <c r="N354" s="75">
        <f t="shared" si="73"/>
        <v>35981.132110000006</v>
      </c>
    </row>
    <row r="355" spans="1:14" ht="26.25" x14ac:dyDescent="0.25">
      <c r="A355" s="22"/>
      <c r="B355" s="22"/>
      <c r="C355" s="22" t="s">
        <v>297</v>
      </c>
      <c r="D355" s="6"/>
      <c r="E355" s="3" t="s">
        <v>298</v>
      </c>
      <c r="F355" s="70">
        <f>F357+F358+F359</f>
        <v>4104.9799899999998</v>
      </c>
      <c r="G355" s="70"/>
      <c r="H355" s="70">
        <f t="shared" ref="H355:N355" si="74">H357+H358+H359</f>
        <v>4104.9799899999998</v>
      </c>
      <c r="I355" s="70">
        <f t="shared" si="74"/>
        <v>18822.809589999997</v>
      </c>
      <c r="J355" s="70">
        <f t="shared" si="74"/>
        <v>0</v>
      </c>
      <c r="K355" s="70">
        <f t="shared" si="74"/>
        <v>18822.809590000001</v>
      </c>
      <c r="L355" s="70">
        <f t="shared" si="74"/>
        <v>35981.132110000006</v>
      </c>
      <c r="M355" s="70">
        <f t="shared" si="74"/>
        <v>0</v>
      </c>
      <c r="N355" s="70">
        <f t="shared" si="74"/>
        <v>35981.132110000006</v>
      </c>
    </row>
    <row r="356" spans="1:14" x14ac:dyDescent="0.25">
      <c r="A356" s="22"/>
      <c r="B356" s="22"/>
      <c r="C356" s="22"/>
      <c r="D356" s="22" t="s">
        <v>281</v>
      </c>
      <c r="E356" s="54" t="s">
        <v>282</v>
      </c>
      <c r="F356" s="70">
        <f>F357+F358+F359</f>
        <v>4104.9799899999998</v>
      </c>
      <c r="G356" s="70"/>
      <c r="H356" s="70">
        <f t="shared" ref="H356:N356" si="75">H357+H358+H359</f>
        <v>4104.9799899999998</v>
      </c>
      <c r="I356" s="70">
        <f t="shared" si="75"/>
        <v>18822.809589999997</v>
      </c>
      <c r="J356" s="70">
        <f>J359</f>
        <v>0</v>
      </c>
      <c r="K356" s="70">
        <f t="shared" si="75"/>
        <v>18822.809590000001</v>
      </c>
      <c r="L356" s="70">
        <f t="shared" si="75"/>
        <v>35981.132110000006</v>
      </c>
      <c r="M356" s="70">
        <f t="shared" si="75"/>
        <v>0</v>
      </c>
      <c r="N356" s="70">
        <f t="shared" si="75"/>
        <v>35981.132110000006</v>
      </c>
    </row>
    <row r="357" spans="1:14" x14ac:dyDescent="0.25">
      <c r="A357" s="22"/>
      <c r="B357" s="22"/>
      <c r="C357" s="22"/>
      <c r="D357" s="6"/>
      <c r="E357" s="53" t="s">
        <v>152</v>
      </c>
      <c r="F357" s="70">
        <v>2729.81169</v>
      </c>
      <c r="G357" s="70"/>
      <c r="H357" s="70">
        <v>2729.81169</v>
      </c>
      <c r="I357" s="70">
        <v>12515.89741</v>
      </c>
      <c r="J357" s="70"/>
      <c r="K357" s="70">
        <v>12515.897410000001</v>
      </c>
      <c r="L357" s="70">
        <v>22547.57863</v>
      </c>
      <c r="M357" s="70"/>
      <c r="N357" s="70">
        <v>22547.57863</v>
      </c>
    </row>
    <row r="358" spans="1:14" x14ac:dyDescent="0.25">
      <c r="A358" s="22"/>
      <c r="B358" s="22"/>
      <c r="C358" s="22"/>
      <c r="D358" s="6"/>
      <c r="E358" s="53" t="s">
        <v>210</v>
      </c>
      <c r="F358" s="70">
        <v>143.67429999999999</v>
      </c>
      <c r="G358" s="70"/>
      <c r="H358" s="70">
        <v>143.67429999999999</v>
      </c>
      <c r="I358" s="70">
        <v>658.73144000000002</v>
      </c>
      <c r="J358" s="70"/>
      <c r="K358" s="70">
        <v>658.73144000000002</v>
      </c>
      <c r="L358" s="70">
        <v>1186.7146600000001</v>
      </c>
      <c r="M358" s="70"/>
      <c r="N358" s="70">
        <v>1186.7146599999999</v>
      </c>
    </row>
    <row r="359" spans="1:14" x14ac:dyDescent="0.25">
      <c r="A359" s="22"/>
      <c r="B359" s="22"/>
      <c r="C359" s="22"/>
      <c r="D359" s="6"/>
      <c r="E359" s="53" t="s">
        <v>296</v>
      </c>
      <c r="F359" s="70">
        <v>1231.4939999999999</v>
      </c>
      <c r="G359" s="70"/>
      <c r="H359" s="70">
        <v>1231.4939999999999</v>
      </c>
      <c r="I359" s="70">
        <v>5648.1807399999998</v>
      </c>
      <c r="J359" s="70"/>
      <c r="K359" s="70">
        <f>SUM(I359:J359)</f>
        <v>5648.1807399999998</v>
      </c>
      <c r="L359" s="70">
        <v>12246.838820000001</v>
      </c>
      <c r="M359" s="70"/>
      <c r="N359" s="70">
        <f>SUM(L359:M359)</f>
        <v>12246.838820000001</v>
      </c>
    </row>
    <row r="360" spans="1:14" ht="26.25" x14ac:dyDescent="0.25">
      <c r="A360" s="31"/>
      <c r="B360" s="31"/>
      <c r="C360" s="31" t="s">
        <v>301</v>
      </c>
      <c r="D360" s="31"/>
      <c r="E360" s="52" t="s">
        <v>302</v>
      </c>
      <c r="F360" s="75">
        <f>F361+F381+F388</f>
        <v>25659.35108</v>
      </c>
      <c r="G360" s="75">
        <f>G361+G381+G388</f>
        <v>-167.5</v>
      </c>
      <c r="H360" s="75">
        <f>H361+H381+H388</f>
        <v>25491.85108</v>
      </c>
      <c r="I360" s="75">
        <f>I361+I381+I388</f>
        <v>18287.840819999998</v>
      </c>
      <c r="J360" s="75">
        <f>J361</f>
        <v>0</v>
      </c>
      <c r="K360" s="75">
        <f>K361+K381+K388</f>
        <v>18287.840819999998</v>
      </c>
      <c r="L360" s="75">
        <f>L361+L381+L388</f>
        <v>19442.099999999999</v>
      </c>
      <c r="M360" s="75">
        <f>M361+M381+M388</f>
        <v>0</v>
      </c>
      <c r="N360" s="75">
        <f>N361+N381+N388</f>
        <v>19442.099999999999</v>
      </c>
    </row>
    <row r="361" spans="1:14" ht="26.25" x14ac:dyDescent="0.25">
      <c r="A361" s="33"/>
      <c r="B361" s="33"/>
      <c r="C361" s="33" t="s">
        <v>303</v>
      </c>
      <c r="D361" s="33"/>
      <c r="E361" s="20" t="s">
        <v>304</v>
      </c>
      <c r="F361" s="71">
        <f>F370+F372+F366+F362+F374+F376+F379</f>
        <v>6630.4510799999989</v>
      </c>
      <c r="G361" s="71">
        <f>G379+G376+G374+G372+G370</f>
        <v>12.5</v>
      </c>
      <c r="H361" s="71">
        <f>H370+H372+H366+H362+H374+H376+H379</f>
        <v>6642.9510799999989</v>
      </c>
      <c r="I361" s="71">
        <f>I370+I372+I366+I377</f>
        <v>627.34082000000001</v>
      </c>
      <c r="J361" s="71">
        <f>J377</f>
        <v>0</v>
      </c>
      <c r="K361" s="71">
        <f>K370+K372+K366+K377</f>
        <v>627.34082000000001</v>
      </c>
      <c r="L361" s="71">
        <f>L370+L372+L366</f>
        <v>0</v>
      </c>
      <c r="M361" s="71"/>
      <c r="N361" s="71">
        <f>N370+N372+N366</f>
        <v>0</v>
      </c>
    </row>
    <row r="362" spans="1:14" s="39" customFormat="1" x14ac:dyDescent="0.25">
      <c r="A362" s="12"/>
      <c r="B362" s="12"/>
      <c r="C362" s="22" t="s">
        <v>832</v>
      </c>
      <c r="D362" s="6"/>
      <c r="E362" s="19" t="s">
        <v>833</v>
      </c>
      <c r="F362" s="70">
        <f>F363</f>
        <v>462.50008000000003</v>
      </c>
      <c r="G362" s="70"/>
      <c r="H362" s="70">
        <f>H363</f>
        <v>462.50008000000003</v>
      </c>
      <c r="I362" s="74"/>
      <c r="J362" s="74"/>
      <c r="K362" s="74"/>
      <c r="L362" s="74"/>
      <c r="M362" s="74"/>
      <c r="N362" s="74"/>
    </row>
    <row r="363" spans="1:14" s="39" customFormat="1" x14ac:dyDescent="0.25">
      <c r="A363" s="12"/>
      <c r="B363" s="12"/>
      <c r="C363" s="6"/>
      <c r="D363" s="6" t="s">
        <v>281</v>
      </c>
      <c r="E363" s="3" t="s">
        <v>282</v>
      </c>
      <c r="F363" s="70">
        <f>F364+F365</f>
        <v>462.50008000000003</v>
      </c>
      <c r="G363" s="70"/>
      <c r="H363" s="70">
        <f>H364+H365</f>
        <v>462.50008000000003</v>
      </c>
      <c r="I363" s="74"/>
      <c r="J363" s="74"/>
      <c r="K363" s="74"/>
      <c r="L363" s="74"/>
      <c r="M363" s="74"/>
      <c r="N363" s="74"/>
    </row>
    <row r="364" spans="1:14" s="39" customFormat="1" x14ac:dyDescent="0.25">
      <c r="A364" s="12"/>
      <c r="B364" s="12"/>
      <c r="C364" s="6"/>
      <c r="D364" s="6"/>
      <c r="E364" s="53" t="s">
        <v>296</v>
      </c>
      <c r="F364" s="70">
        <v>246.251</v>
      </c>
      <c r="G364" s="80"/>
      <c r="H364" s="70">
        <v>246.251</v>
      </c>
      <c r="I364" s="74"/>
      <c r="J364" s="74"/>
      <c r="K364" s="74"/>
      <c r="L364" s="74"/>
      <c r="M364" s="74"/>
      <c r="N364" s="74"/>
    </row>
    <row r="365" spans="1:14" s="39" customFormat="1" x14ac:dyDescent="0.25">
      <c r="A365" s="12"/>
      <c r="B365" s="12"/>
      <c r="C365" s="6"/>
      <c r="D365" s="6"/>
      <c r="E365" s="53" t="s">
        <v>850</v>
      </c>
      <c r="F365" s="80">
        <f>91+125.24908</f>
        <v>216.24907999999999</v>
      </c>
      <c r="G365" s="80"/>
      <c r="H365" s="70">
        <f>91+125.24908</f>
        <v>216.24907999999999</v>
      </c>
      <c r="I365" s="74"/>
      <c r="J365" s="74"/>
      <c r="K365" s="74"/>
      <c r="L365" s="74"/>
      <c r="M365" s="74"/>
      <c r="N365" s="74"/>
    </row>
    <row r="366" spans="1:14" ht="51" x14ac:dyDescent="0.25">
      <c r="A366" s="12"/>
      <c r="B366" s="12"/>
      <c r="C366" s="6" t="s">
        <v>511</v>
      </c>
      <c r="D366" s="6"/>
      <c r="E366" s="1" t="s">
        <v>546</v>
      </c>
      <c r="F366" s="70">
        <f>F367</f>
        <v>3572.0699999999997</v>
      </c>
      <c r="G366" s="70"/>
      <c r="H366" s="70">
        <f>H367</f>
        <v>3572.0699999999997</v>
      </c>
      <c r="I366" s="70">
        <v>0</v>
      </c>
      <c r="J366" s="70"/>
      <c r="K366" s="70">
        <v>0</v>
      </c>
      <c r="L366" s="70">
        <v>0</v>
      </c>
      <c r="M366" s="70"/>
      <c r="N366" s="70">
        <v>0</v>
      </c>
    </row>
    <row r="367" spans="1:14" x14ac:dyDescent="0.25">
      <c r="A367" s="12"/>
      <c r="B367" s="12"/>
      <c r="C367" s="6"/>
      <c r="D367" s="6" t="s">
        <v>281</v>
      </c>
      <c r="E367" s="3" t="s">
        <v>282</v>
      </c>
      <c r="F367" s="70">
        <f>F368+F369</f>
        <v>3572.0699999999997</v>
      </c>
      <c r="G367" s="70"/>
      <c r="H367" s="70">
        <f>H368+H369</f>
        <v>3572.0699999999997</v>
      </c>
      <c r="I367" s="70">
        <v>0</v>
      </c>
      <c r="J367" s="70"/>
      <c r="K367" s="70">
        <v>0</v>
      </c>
      <c r="L367" s="70">
        <v>0</v>
      </c>
      <c r="M367" s="70"/>
      <c r="N367" s="70">
        <v>0</v>
      </c>
    </row>
    <row r="368" spans="1:14" x14ac:dyDescent="0.25">
      <c r="A368" s="12"/>
      <c r="B368" s="12"/>
      <c r="C368" s="6"/>
      <c r="D368" s="6"/>
      <c r="E368" s="53" t="s">
        <v>210</v>
      </c>
      <c r="F368" s="70">
        <v>3214.8629999999998</v>
      </c>
      <c r="G368" s="70"/>
      <c r="H368" s="70">
        <v>3214.8629999999998</v>
      </c>
      <c r="I368" s="70">
        <v>0</v>
      </c>
      <c r="J368" s="70"/>
      <c r="K368" s="70">
        <v>0</v>
      </c>
      <c r="L368" s="70">
        <v>0</v>
      </c>
      <c r="M368" s="70"/>
      <c r="N368" s="70">
        <v>0</v>
      </c>
    </row>
    <row r="369" spans="1:14" x14ac:dyDescent="0.25">
      <c r="A369" s="12"/>
      <c r="B369" s="12"/>
      <c r="C369" s="6"/>
      <c r="D369" s="6"/>
      <c r="E369" s="53" t="s">
        <v>296</v>
      </c>
      <c r="F369" s="70">
        <v>357.20699999999999</v>
      </c>
      <c r="G369" s="70"/>
      <c r="H369" s="70">
        <v>357.20699999999999</v>
      </c>
      <c r="I369" s="70">
        <v>0</v>
      </c>
      <c r="J369" s="70"/>
      <c r="K369" s="70">
        <v>0</v>
      </c>
      <c r="L369" s="70">
        <v>0</v>
      </c>
      <c r="M369" s="70"/>
      <c r="N369" s="70">
        <v>0</v>
      </c>
    </row>
    <row r="370" spans="1:14" ht="25.5" x14ac:dyDescent="0.25">
      <c r="A370" s="16"/>
      <c r="B370" s="16"/>
      <c r="C370" s="16" t="s">
        <v>305</v>
      </c>
      <c r="D370" s="16"/>
      <c r="E370" s="1" t="s">
        <v>459</v>
      </c>
      <c r="F370" s="80">
        <f>F371</f>
        <v>678.79999999999973</v>
      </c>
      <c r="G370" s="80">
        <f>G371</f>
        <v>12.5</v>
      </c>
      <c r="H370" s="80">
        <f t="shared" ref="H370:N370" si="76">H371</f>
        <v>691.29999999999973</v>
      </c>
      <c r="I370" s="80">
        <f t="shared" si="76"/>
        <v>0</v>
      </c>
      <c r="J370" s="80"/>
      <c r="K370" s="80">
        <f t="shared" si="76"/>
        <v>0</v>
      </c>
      <c r="L370" s="80">
        <f t="shared" si="76"/>
        <v>0</v>
      </c>
      <c r="M370" s="80"/>
      <c r="N370" s="80">
        <f t="shared" si="76"/>
        <v>0</v>
      </c>
    </row>
    <row r="371" spans="1:14" x14ac:dyDescent="0.25">
      <c r="A371" s="16"/>
      <c r="B371" s="16"/>
      <c r="C371" s="16"/>
      <c r="D371" s="6" t="s">
        <v>281</v>
      </c>
      <c r="E371" s="3" t="s">
        <v>282</v>
      </c>
      <c r="F371" s="80">
        <f>3394.1-2715.3</f>
        <v>678.79999999999973</v>
      </c>
      <c r="G371" s="80">
        <v>12.5</v>
      </c>
      <c r="H371" s="80">
        <f>SUM(F371:G371)</f>
        <v>691.29999999999973</v>
      </c>
      <c r="I371" s="80">
        <v>0</v>
      </c>
      <c r="J371" s="80"/>
      <c r="K371" s="80">
        <v>0</v>
      </c>
      <c r="L371" s="80">
        <v>0</v>
      </c>
      <c r="M371" s="80"/>
      <c r="N371" s="80">
        <v>0</v>
      </c>
    </row>
    <row r="372" spans="1:14" ht="25.5" x14ac:dyDescent="0.25">
      <c r="A372" s="16"/>
      <c r="B372" s="16"/>
      <c r="C372" s="16" t="s">
        <v>306</v>
      </c>
      <c r="D372" s="16"/>
      <c r="E372" s="1" t="s">
        <v>307</v>
      </c>
      <c r="F372" s="80">
        <f>F373</f>
        <v>452.79999999999995</v>
      </c>
      <c r="G372" s="80">
        <f>G373</f>
        <v>0</v>
      </c>
      <c r="H372" s="80">
        <f>H373</f>
        <v>452.79999999999995</v>
      </c>
      <c r="I372" s="80">
        <f>I373</f>
        <v>0</v>
      </c>
      <c r="J372" s="80"/>
      <c r="K372" s="80">
        <f>K373</f>
        <v>0</v>
      </c>
      <c r="L372" s="80">
        <f>L373</f>
        <v>0</v>
      </c>
      <c r="M372" s="80"/>
      <c r="N372" s="80">
        <f>N373</f>
        <v>0</v>
      </c>
    </row>
    <row r="373" spans="1:14" x14ac:dyDescent="0.25">
      <c r="A373" s="16"/>
      <c r="B373" s="16"/>
      <c r="C373" s="16"/>
      <c r="D373" s="6" t="s">
        <v>281</v>
      </c>
      <c r="E373" s="3" t="s">
        <v>282</v>
      </c>
      <c r="F373" s="80">
        <f>2264-1811.2</f>
        <v>452.79999999999995</v>
      </c>
      <c r="G373" s="80">
        <v>0</v>
      </c>
      <c r="H373" s="80">
        <f>SUM(F373:G373)</f>
        <v>452.79999999999995</v>
      </c>
      <c r="I373" s="80">
        <v>0</v>
      </c>
      <c r="J373" s="80"/>
      <c r="K373" s="80">
        <v>0</v>
      </c>
      <c r="L373" s="80">
        <v>0</v>
      </c>
      <c r="M373" s="80"/>
      <c r="N373" s="80">
        <v>0</v>
      </c>
    </row>
    <row r="374" spans="1:14" x14ac:dyDescent="0.25">
      <c r="A374" s="16"/>
      <c r="B374" s="16"/>
      <c r="C374" s="16" t="s">
        <v>877</v>
      </c>
      <c r="D374" s="6"/>
      <c r="E374" s="53" t="s">
        <v>876</v>
      </c>
      <c r="F374" s="80">
        <v>591.70000000000005</v>
      </c>
      <c r="G374" s="80"/>
      <c r="H374" s="80">
        <v>591.70000000000005</v>
      </c>
      <c r="I374" s="80"/>
      <c r="J374" s="80"/>
      <c r="K374" s="80"/>
      <c r="L374" s="80"/>
      <c r="M374" s="80"/>
      <c r="N374" s="80"/>
    </row>
    <row r="375" spans="1:14" x14ac:dyDescent="0.25">
      <c r="A375" s="16"/>
      <c r="B375" s="16"/>
      <c r="C375" s="16"/>
      <c r="D375" s="6" t="s">
        <v>471</v>
      </c>
      <c r="E375" s="3" t="s">
        <v>282</v>
      </c>
      <c r="F375" s="80">
        <v>591.70000000000005</v>
      </c>
      <c r="G375" s="80"/>
      <c r="H375" s="80">
        <v>591.70000000000005</v>
      </c>
      <c r="I375" s="80"/>
      <c r="J375" s="80"/>
      <c r="K375" s="80"/>
      <c r="L375" s="80"/>
      <c r="M375" s="80"/>
      <c r="N375" s="80"/>
    </row>
    <row r="376" spans="1:14" x14ac:dyDescent="0.25">
      <c r="A376" s="16"/>
      <c r="B376" s="16"/>
      <c r="C376" s="6" t="s">
        <v>886</v>
      </c>
      <c r="D376" s="6"/>
      <c r="E376" s="3" t="s">
        <v>880</v>
      </c>
      <c r="F376" s="80">
        <v>746.28099999999995</v>
      </c>
      <c r="G376" s="80"/>
      <c r="H376" s="80">
        <v>746.28099999999995</v>
      </c>
      <c r="I376" s="80"/>
      <c r="J376" s="80"/>
      <c r="K376" s="80"/>
      <c r="L376" s="80"/>
      <c r="M376" s="80"/>
      <c r="N376" s="80"/>
    </row>
    <row r="377" spans="1:14" x14ac:dyDescent="0.25">
      <c r="A377" s="16"/>
      <c r="B377" s="16"/>
      <c r="C377" s="16"/>
      <c r="D377" s="6" t="s">
        <v>281</v>
      </c>
      <c r="E377" s="3" t="s">
        <v>282</v>
      </c>
      <c r="F377" s="80">
        <v>746.28099999999995</v>
      </c>
      <c r="G377" s="80"/>
      <c r="H377" s="80">
        <v>746.28099999999995</v>
      </c>
      <c r="I377" s="80">
        <v>627.34082000000001</v>
      </c>
      <c r="J377" s="80"/>
      <c r="K377" s="80">
        <v>627.34082000000001</v>
      </c>
      <c r="L377" s="80"/>
      <c r="M377" s="80"/>
      <c r="N377" s="80"/>
    </row>
    <row r="378" spans="1:14" x14ac:dyDescent="0.25">
      <c r="A378" s="16"/>
      <c r="B378" s="16"/>
      <c r="C378" s="16"/>
      <c r="D378" s="6"/>
      <c r="E378" s="53" t="s">
        <v>296</v>
      </c>
      <c r="F378" s="80">
        <v>746.28099999999995</v>
      </c>
      <c r="G378" s="80"/>
      <c r="H378" s="80">
        <v>746.28099999999995</v>
      </c>
      <c r="I378" s="80">
        <v>627.34082000000001</v>
      </c>
      <c r="J378" s="80"/>
      <c r="K378" s="80">
        <v>627.34082000000001</v>
      </c>
      <c r="L378" s="80"/>
      <c r="M378" s="80"/>
      <c r="N378" s="80"/>
    </row>
    <row r="379" spans="1:14" ht="26.25" x14ac:dyDescent="0.25">
      <c r="A379" s="16"/>
      <c r="B379" s="16"/>
      <c r="C379" s="16" t="s">
        <v>890</v>
      </c>
      <c r="D379" s="6"/>
      <c r="E379" s="53" t="s">
        <v>891</v>
      </c>
      <c r="F379" s="80">
        <v>126.3</v>
      </c>
      <c r="G379" s="80"/>
      <c r="H379" s="80">
        <f>H380</f>
        <v>126.3</v>
      </c>
      <c r="I379" s="80"/>
      <c r="J379" s="80"/>
      <c r="K379" s="80"/>
      <c r="L379" s="80"/>
      <c r="M379" s="80"/>
      <c r="N379" s="80"/>
    </row>
    <row r="380" spans="1:14" x14ac:dyDescent="0.25">
      <c r="A380" s="16"/>
      <c r="B380" s="16"/>
      <c r="C380" s="16"/>
      <c r="D380" s="6" t="s">
        <v>281</v>
      </c>
      <c r="E380" s="3" t="s">
        <v>282</v>
      </c>
      <c r="F380" s="80">
        <v>126.3</v>
      </c>
      <c r="G380" s="80"/>
      <c r="H380" s="80">
        <v>126.3</v>
      </c>
      <c r="I380" s="80"/>
      <c r="J380" s="80"/>
      <c r="K380" s="80"/>
      <c r="L380" s="80"/>
      <c r="M380" s="80"/>
      <c r="N380" s="80"/>
    </row>
    <row r="381" spans="1:14" x14ac:dyDescent="0.25">
      <c r="A381" s="33"/>
      <c r="B381" s="33"/>
      <c r="C381" s="33" t="s">
        <v>308</v>
      </c>
      <c r="D381" s="36"/>
      <c r="E381" s="20" t="s">
        <v>309</v>
      </c>
      <c r="F381" s="71">
        <f>F382+F384+F386</f>
        <v>778.4</v>
      </c>
      <c r="G381" s="71">
        <f>G382+G384+G386</f>
        <v>-180</v>
      </c>
      <c r="H381" s="71">
        <f>H382+H384+H386</f>
        <v>598.4</v>
      </c>
      <c r="I381" s="71">
        <f>I382+I384</f>
        <v>431.4</v>
      </c>
      <c r="J381" s="71"/>
      <c r="K381" s="71">
        <f>K382+K384</f>
        <v>431.4</v>
      </c>
      <c r="L381" s="71">
        <f>L382+L384</f>
        <v>1191.5999999999999</v>
      </c>
      <c r="M381" s="71"/>
      <c r="N381" s="71">
        <f>N382+N384</f>
        <v>1191.5999999999999</v>
      </c>
    </row>
    <row r="382" spans="1:14" x14ac:dyDescent="0.25">
      <c r="A382" s="98"/>
      <c r="B382" s="98"/>
      <c r="C382" s="6" t="s">
        <v>310</v>
      </c>
      <c r="D382" s="55"/>
      <c r="E382" s="54" t="s">
        <v>547</v>
      </c>
      <c r="F382" s="80">
        <v>205.85623999999999</v>
      </c>
      <c r="G382" s="80"/>
      <c r="H382" s="80">
        <f>H383</f>
        <v>205.85623999999999</v>
      </c>
      <c r="I382" s="80">
        <f>I383</f>
        <v>431.4</v>
      </c>
      <c r="J382" s="80"/>
      <c r="K382" s="80">
        <f>K383</f>
        <v>431.4</v>
      </c>
      <c r="L382" s="80">
        <f>L383</f>
        <v>1191.5999999999999</v>
      </c>
      <c r="M382" s="80"/>
      <c r="N382" s="80">
        <f>N383</f>
        <v>1191.5999999999999</v>
      </c>
    </row>
    <row r="383" spans="1:14" x14ac:dyDescent="0.25">
      <c r="A383" s="98"/>
      <c r="B383" s="98"/>
      <c r="C383" s="12"/>
      <c r="D383" s="6" t="s">
        <v>281</v>
      </c>
      <c r="E383" s="3" t="s">
        <v>282</v>
      </c>
      <c r="F383" s="80">
        <v>205.85623999999999</v>
      </c>
      <c r="G383" s="80"/>
      <c r="H383" s="80">
        <f>SUM(F383:G383)</f>
        <v>205.85623999999999</v>
      </c>
      <c r="I383" s="80">
        <v>431.4</v>
      </c>
      <c r="J383" s="80"/>
      <c r="K383" s="80">
        <v>431.4</v>
      </c>
      <c r="L383" s="80">
        <v>1191.5999999999999</v>
      </c>
      <c r="M383" s="80"/>
      <c r="N383" s="80">
        <v>1191.5999999999999</v>
      </c>
    </row>
    <row r="384" spans="1:14" x14ac:dyDescent="0.25">
      <c r="A384" s="98"/>
      <c r="B384" s="98"/>
      <c r="C384" s="6" t="s">
        <v>315</v>
      </c>
      <c r="D384" s="22"/>
      <c r="E384" s="54" t="s">
        <v>316</v>
      </c>
      <c r="F384" s="80">
        <f>F385</f>
        <v>540.30000000000007</v>
      </c>
      <c r="G384" s="80">
        <f>G385</f>
        <v>-180</v>
      </c>
      <c r="H384" s="80">
        <f>H385</f>
        <v>360.30000000000007</v>
      </c>
      <c r="I384" s="80">
        <v>0</v>
      </c>
      <c r="J384" s="80"/>
      <c r="K384" s="80">
        <v>0</v>
      </c>
      <c r="L384" s="80">
        <v>0</v>
      </c>
      <c r="M384" s="80"/>
      <c r="N384" s="80">
        <v>0</v>
      </c>
    </row>
    <row r="385" spans="1:14" x14ac:dyDescent="0.25">
      <c r="A385" s="98"/>
      <c r="B385" s="98"/>
      <c r="C385" s="18"/>
      <c r="D385" s="6" t="s">
        <v>281</v>
      </c>
      <c r="E385" s="3" t="s">
        <v>282</v>
      </c>
      <c r="F385" s="80">
        <f>1080.7-540.4</f>
        <v>540.30000000000007</v>
      </c>
      <c r="G385" s="80">
        <v>-180</v>
      </c>
      <c r="H385" s="80">
        <f>SUM(F385:G385)</f>
        <v>360.30000000000007</v>
      </c>
      <c r="I385" s="80">
        <v>0</v>
      </c>
      <c r="J385" s="80"/>
      <c r="K385" s="80">
        <v>0</v>
      </c>
      <c r="L385" s="80">
        <v>0</v>
      </c>
      <c r="M385" s="80"/>
      <c r="N385" s="80">
        <v>0</v>
      </c>
    </row>
    <row r="386" spans="1:14" ht="26.25" x14ac:dyDescent="0.25">
      <c r="A386" s="98"/>
      <c r="B386" s="98"/>
      <c r="C386" s="6" t="s">
        <v>893</v>
      </c>
      <c r="D386" s="6"/>
      <c r="E386" s="3" t="s">
        <v>892</v>
      </c>
      <c r="F386" s="80">
        <v>32.243760000000002</v>
      </c>
      <c r="G386" s="80"/>
      <c r="H386" s="80">
        <f>H387</f>
        <v>32.243760000000002</v>
      </c>
      <c r="I386" s="80"/>
      <c r="J386" s="80"/>
      <c r="K386" s="80"/>
      <c r="L386" s="80"/>
      <c r="M386" s="80"/>
      <c r="N386" s="80"/>
    </row>
    <row r="387" spans="1:14" x14ac:dyDescent="0.25">
      <c r="A387" s="98"/>
      <c r="B387" s="98"/>
      <c r="C387" s="96"/>
      <c r="D387" s="6" t="s">
        <v>281</v>
      </c>
      <c r="E387" s="3" t="s">
        <v>282</v>
      </c>
      <c r="F387" s="80">
        <v>32.243760000000002</v>
      </c>
      <c r="G387" s="80"/>
      <c r="H387" s="80">
        <v>32.243760000000002</v>
      </c>
      <c r="I387" s="80"/>
      <c r="J387" s="80"/>
      <c r="K387" s="80"/>
      <c r="L387" s="80"/>
      <c r="M387" s="80"/>
      <c r="N387" s="80"/>
    </row>
    <row r="388" spans="1:14" x14ac:dyDescent="0.25">
      <c r="A388" s="33"/>
      <c r="B388" s="33"/>
      <c r="C388" s="33" t="s">
        <v>549</v>
      </c>
      <c r="D388" s="33"/>
      <c r="E388" s="20" t="s">
        <v>550</v>
      </c>
      <c r="F388" s="71">
        <f t="shared" ref="F388:I389" si="77">F389</f>
        <v>18250.5</v>
      </c>
      <c r="G388" s="71">
        <f t="shared" si="77"/>
        <v>0</v>
      </c>
      <c r="H388" s="71">
        <f t="shared" si="77"/>
        <v>18250.5</v>
      </c>
      <c r="I388" s="71">
        <f t="shared" si="77"/>
        <v>17229.099999999999</v>
      </c>
      <c r="J388" s="71"/>
      <c r="K388" s="71">
        <f>K389</f>
        <v>17229.099999999999</v>
      </c>
      <c r="L388" s="71">
        <f>L389</f>
        <v>18250.5</v>
      </c>
      <c r="M388" s="71"/>
      <c r="N388" s="71">
        <f>N389</f>
        <v>18250.5</v>
      </c>
    </row>
    <row r="389" spans="1:14" x14ac:dyDescent="0.25">
      <c r="A389" s="98"/>
      <c r="B389" s="98"/>
      <c r="C389" s="6" t="s">
        <v>551</v>
      </c>
      <c r="D389" s="6"/>
      <c r="E389" s="21" t="s">
        <v>674</v>
      </c>
      <c r="F389" s="70">
        <f t="shared" si="77"/>
        <v>18250.5</v>
      </c>
      <c r="G389" s="70">
        <f t="shared" si="77"/>
        <v>0</v>
      </c>
      <c r="H389" s="70">
        <f t="shared" si="77"/>
        <v>18250.5</v>
      </c>
      <c r="I389" s="70">
        <f t="shared" si="77"/>
        <v>17229.099999999999</v>
      </c>
      <c r="J389" s="70"/>
      <c r="K389" s="70">
        <f>K390</f>
        <v>17229.099999999999</v>
      </c>
      <c r="L389" s="70">
        <f>L390</f>
        <v>18250.5</v>
      </c>
      <c r="M389" s="70"/>
      <c r="N389" s="70">
        <f>N390</f>
        <v>18250.5</v>
      </c>
    </row>
    <row r="390" spans="1:14" ht="25.5" x14ac:dyDescent="0.25">
      <c r="A390" s="98"/>
      <c r="B390" s="98"/>
      <c r="C390" s="6"/>
      <c r="D390" s="6" t="s">
        <v>471</v>
      </c>
      <c r="E390" s="1" t="s">
        <v>472</v>
      </c>
      <c r="F390" s="70">
        <v>18250.5</v>
      </c>
      <c r="G390" s="70"/>
      <c r="H390" s="70">
        <f>F390+G390</f>
        <v>18250.5</v>
      </c>
      <c r="I390" s="70">
        <v>17229.099999999999</v>
      </c>
      <c r="J390" s="70"/>
      <c r="K390" s="70">
        <v>17229.099999999999</v>
      </c>
      <c r="L390" s="80">
        <v>18250.5</v>
      </c>
      <c r="M390" s="80"/>
      <c r="N390" s="80">
        <v>18250.5</v>
      </c>
    </row>
    <row r="391" spans="1:14" ht="25.5" x14ac:dyDescent="0.25">
      <c r="A391" s="111"/>
      <c r="B391" s="112"/>
      <c r="C391" s="113" t="s">
        <v>352</v>
      </c>
      <c r="D391" s="112"/>
      <c r="E391" s="114" t="s">
        <v>391</v>
      </c>
      <c r="F391" s="115">
        <f>F392+F395+F401</f>
        <v>10182.070810000001</v>
      </c>
      <c r="G391" s="115">
        <f>G392</f>
        <v>-63.3</v>
      </c>
      <c r="H391" s="115">
        <f t="shared" ref="H391:N391" si="78">H392+H395+H401</f>
        <v>10118.77081</v>
      </c>
      <c r="I391" s="115">
        <f t="shared" si="78"/>
        <v>2397.8554800000002</v>
      </c>
      <c r="J391" s="115">
        <f>J395</f>
        <v>0</v>
      </c>
      <c r="K391" s="115">
        <f>K392+K395+K401</f>
        <v>2397.8554800000002</v>
      </c>
      <c r="L391" s="115">
        <f t="shared" si="78"/>
        <v>2397.8554800000002</v>
      </c>
      <c r="M391" s="115">
        <f>M395</f>
        <v>0</v>
      </c>
      <c r="N391" s="115">
        <f t="shared" si="78"/>
        <v>2397.8554800000002</v>
      </c>
    </row>
    <row r="392" spans="1:14" ht="26.25" x14ac:dyDescent="0.25">
      <c r="A392" s="33"/>
      <c r="B392" s="33"/>
      <c r="C392" s="33" t="s">
        <v>462</v>
      </c>
      <c r="D392" s="36"/>
      <c r="E392" s="34" t="s">
        <v>557</v>
      </c>
      <c r="F392" s="71">
        <f>F393</f>
        <v>237.1</v>
      </c>
      <c r="G392" s="71">
        <f>G393</f>
        <v>-63.3</v>
      </c>
      <c r="H392" s="71">
        <f>H393</f>
        <v>173.8</v>
      </c>
      <c r="I392" s="71">
        <f>I393</f>
        <v>0</v>
      </c>
      <c r="J392" s="71"/>
      <c r="K392" s="71">
        <f>K393</f>
        <v>0</v>
      </c>
      <c r="L392" s="71">
        <f>L393</f>
        <v>0</v>
      </c>
      <c r="M392" s="71"/>
      <c r="N392" s="71">
        <f>N393</f>
        <v>0</v>
      </c>
    </row>
    <row r="393" spans="1:14" x14ac:dyDescent="0.25">
      <c r="A393" s="4"/>
      <c r="B393" s="4"/>
      <c r="C393" s="4" t="s">
        <v>463</v>
      </c>
      <c r="D393" s="16"/>
      <c r="E393" s="1" t="s">
        <v>392</v>
      </c>
      <c r="F393" s="70">
        <f>F394</f>
        <v>237.1</v>
      </c>
      <c r="G393" s="70">
        <f>G394</f>
        <v>-63.3</v>
      </c>
      <c r="H393" s="70">
        <f>H394</f>
        <v>173.8</v>
      </c>
      <c r="I393" s="70">
        <v>0</v>
      </c>
      <c r="J393" s="70"/>
      <c r="K393" s="70">
        <v>0</v>
      </c>
      <c r="L393" s="70">
        <v>0</v>
      </c>
      <c r="M393" s="70"/>
      <c r="N393" s="70">
        <v>0</v>
      </c>
    </row>
    <row r="394" spans="1:14" x14ac:dyDescent="0.25">
      <c r="A394" s="4"/>
      <c r="B394" s="4"/>
      <c r="C394" s="4"/>
      <c r="D394" s="6" t="s">
        <v>281</v>
      </c>
      <c r="E394" s="3" t="s">
        <v>282</v>
      </c>
      <c r="F394" s="70">
        <v>237.1</v>
      </c>
      <c r="G394" s="70">
        <v>-63.3</v>
      </c>
      <c r="H394" s="70">
        <f>SUM(F394:G394)</f>
        <v>173.8</v>
      </c>
      <c r="I394" s="70">
        <v>0</v>
      </c>
      <c r="J394" s="70"/>
      <c r="K394" s="70">
        <v>0</v>
      </c>
      <c r="L394" s="70">
        <v>0</v>
      </c>
      <c r="M394" s="70"/>
      <c r="N394" s="70">
        <v>0</v>
      </c>
    </row>
    <row r="395" spans="1:14" ht="26.25" x14ac:dyDescent="0.25">
      <c r="A395" s="33"/>
      <c r="B395" s="33"/>
      <c r="C395" s="33" t="s">
        <v>464</v>
      </c>
      <c r="D395" s="36"/>
      <c r="E395" s="34" t="s">
        <v>722</v>
      </c>
      <c r="F395" s="71">
        <f>F396</f>
        <v>7528.3618699999997</v>
      </c>
      <c r="G395" s="71"/>
      <c r="H395" s="71">
        <f t="shared" ref="H395:N395" si="79">H396</f>
        <v>7528.3618699999997</v>
      </c>
      <c r="I395" s="71">
        <f t="shared" si="79"/>
        <v>0</v>
      </c>
      <c r="J395" s="71">
        <f t="shared" si="79"/>
        <v>0</v>
      </c>
      <c r="K395" s="71">
        <f t="shared" si="79"/>
        <v>0</v>
      </c>
      <c r="L395" s="71">
        <f t="shared" si="79"/>
        <v>0</v>
      </c>
      <c r="M395" s="71">
        <f t="shared" si="79"/>
        <v>0</v>
      </c>
      <c r="N395" s="71">
        <f t="shared" si="79"/>
        <v>0</v>
      </c>
    </row>
    <row r="396" spans="1:14" ht="25.5" x14ac:dyDescent="0.25">
      <c r="A396" s="4"/>
      <c r="B396" s="4"/>
      <c r="C396" s="4" t="s">
        <v>465</v>
      </c>
      <c r="D396" s="16"/>
      <c r="E396" s="1" t="s">
        <v>393</v>
      </c>
      <c r="F396" s="70">
        <f>F398+F399+F400</f>
        <v>7528.3618699999997</v>
      </c>
      <c r="G396" s="70"/>
      <c r="H396" s="70">
        <f>H398+H399+H400</f>
        <v>7528.3618699999997</v>
      </c>
      <c r="I396" s="70">
        <f>I398+I399+I400</f>
        <v>0</v>
      </c>
      <c r="J396" s="70"/>
      <c r="K396" s="70">
        <f>K397</f>
        <v>0</v>
      </c>
      <c r="L396" s="70">
        <f>L398+L399+L400</f>
        <v>0</v>
      </c>
      <c r="M396" s="70"/>
      <c r="N396" s="70">
        <f>N398+N399+N400</f>
        <v>0</v>
      </c>
    </row>
    <row r="397" spans="1:14" x14ac:dyDescent="0.25">
      <c r="A397" s="4"/>
      <c r="B397" s="4"/>
      <c r="C397" s="4"/>
      <c r="D397" s="6" t="s">
        <v>281</v>
      </c>
      <c r="E397" s="3" t="s">
        <v>282</v>
      </c>
      <c r="F397" s="70">
        <f>F398+F400+F399</f>
        <v>7528.3618699999997</v>
      </c>
      <c r="G397" s="70"/>
      <c r="H397" s="70">
        <f>H398+H400+H399</f>
        <v>7528.3618699999997</v>
      </c>
      <c r="I397" s="70">
        <f>I398+I400+I399</f>
        <v>0</v>
      </c>
      <c r="J397" s="70"/>
      <c r="K397" s="70">
        <f>K400</f>
        <v>0</v>
      </c>
      <c r="L397" s="70">
        <f>L398+L400+L399</f>
        <v>0</v>
      </c>
      <c r="M397" s="70"/>
      <c r="N397" s="70">
        <f>N398+N400+N399</f>
        <v>0</v>
      </c>
    </row>
    <row r="398" spans="1:14" x14ac:dyDescent="0.25">
      <c r="A398" s="4"/>
      <c r="B398" s="4"/>
      <c r="C398" s="4"/>
      <c r="D398" s="6"/>
      <c r="E398" s="3" t="s">
        <v>188</v>
      </c>
      <c r="F398" s="70">
        <v>6436.7493999999997</v>
      </c>
      <c r="G398" s="70"/>
      <c r="H398" s="70">
        <v>6436.7493999999997</v>
      </c>
      <c r="I398" s="70">
        <v>0</v>
      </c>
      <c r="J398" s="70"/>
      <c r="K398" s="70"/>
      <c r="L398" s="70">
        <v>0</v>
      </c>
      <c r="M398" s="70"/>
      <c r="N398" s="70">
        <v>0</v>
      </c>
    </row>
    <row r="399" spans="1:14" x14ac:dyDescent="0.25">
      <c r="A399" s="4"/>
      <c r="B399" s="4"/>
      <c r="C399" s="4"/>
      <c r="D399" s="6"/>
      <c r="E399" s="3" t="s">
        <v>186</v>
      </c>
      <c r="F399" s="70">
        <v>338.77627999999999</v>
      </c>
      <c r="G399" s="70"/>
      <c r="H399" s="70">
        <v>338.77627999999999</v>
      </c>
      <c r="I399" s="70">
        <v>0</v>
      </c>
      <c r="J399" s="70"/>
      <c r="K399" s="70"/>
      <c r="L399" s="70">
        <v>0</v>
      </c>
      <c r="M399" s="70"/>
      <c r="N399" s="70">
        <v>0</v>
      </c>
    </row>
    <row r="400" spans="1:14" x14ac:dyDescent="0.25">
      <c r="A400" s="4"/>
      <c r="B400" s="4"/>
      <c r="C400" s="4"/>
      <c r="D400" s="6"/>
      <c r="E400" s="3" t="s">
        <v>150</v>
      </c>
      <c r="F400" s="70">
        <v>752.83618999999999</v>
      </c>
      <c r="G400" s="70"/>
      <c r="H400" s="70">
        <v>752.83618999999999</v>
      </c>
      <c r="I400" s="70">
        <v>0</v>
      </c>
      <c r="J400" s="70"/>
      <c r="K400" s="70">
        <v>0</v>
      </c>
      <c r="L400" s="70">
        <v>0</v>
      </c>
      <c r="M400" s="70"/>
      <c r="N400" s="70">
        <v>0</v>
      </c>
    </row>
    <row r="401" spans="1:14" ht="26.25" x14ac:dyDescent="0.25">
      <c r="A401" s="33"/>
      <c r="B401" s="33"/>
      <c r="C401" s="33" t="s">
        <v>466</v>
      </c>
      <c r="D401" s="36"/>
      <c r="E401" s="34" t="s">
        <v>723</v>
      </c>
      <c r="F401" s="71">
        <f>F402</f>
        <v>2416.6089400000001</v>
      </c>
      <c r="G401" s="71"/>
      <c r="H401" s="71">
        <f t="shared" ref="H401:N401" si="80">H402</f>
        <v>2416.6089400000001</v>
      </c>
      <c r="I401" s="71">
        <f t="shared" si="80"/>
        <v>2397.8554800000002</v>
      </c>
      <c r="J401" s="71"/>
      <c r="K401" s="71">
        <f t="shared" si="80"/>
        <v>2397.8554800000002</v>
      </c>
      <c r="L401" s="71">
        <f t="shared" si="80"/>
        <v>2397.8554800000002</v>
      </c>
      <c r="M401" s="71"/>
      <c r="N401" s="71">
        <f t="shared" si="80"/>
        <v>2397.8554800000002</v>
      </c>
    </row>
    <row r="402" spans="1:14" ht="25.5" x14ac:dyDescent="0.25">
      <c r="A402" s="98"/>
      <c r="B402" s="98"/>
      <c r="C402" s="4" t="s">
        <v>467</v>
      </c>
      <c r="D402" s="16"/>
      <c r="E402" s="1" t="s">
        <v>558</v>
      </c>
      <c r="F402" s="70">
        <f>F404+F405</f>
        <v>2416.6089400000001</v>
      </c>
      <c r="G402" s="70"/>
      <c r="H402" s="70">
        <f>H404+H405</f>
        <v>2416.6089400000001</v>
      </c>
      <c r="I402" s="70">
        <f>I404+I405</f>
        <v>2397.8554800000002</v>
      </c>
      <c r="J402" s="70"/>
      <c r="K402" s="70">
        <f>K404+K405</f>
        <v>2397.8554800000002</v>
      </c>
      <c r="L402" s="70">
        <f>L404+L405</f>
        <v>2397.8554800000002</v>
      </c>
      <c r="M402" s="70"/>
      <c r="N402" s="70">
        <f>N404+N405</f>
        <v>2397.8554800000002</v>
      </c>
    </row>
    <row r="403" spans="1:14" x14ac:dyDescent="0.25">
      <c r="A403" s="98"/>
      <c r="B403" s="98"/>
      <c r="C403" s="4"/>
      <c r="D403" s="6" t="s">
        <v>281</v>
      </c>
      <c r="E403" s="3" t="s">
        <v>282</v>
      </c>
      <c r="F403" s="70">
        <f>F404+F405</f>
        <v>2416.6089400000001</v>
      </c>
      <c r="G403" s="70"/>
      <c r="H403" s="70">
        <f t="shared" ref="H403:N403" si="81">H404+H405</f>
        <v>2416.6089400000001</v>
      </c>
      <c r="I403" s="70">
        <f t="shared" si="81"/>
        <v>2397.8554800000002</v>
      </c>
      <c r="J403" s="70"/>
      <c r="K403" s="70">
        <f t="shared" si="81"/>
        <v>2397.8554800000002</v>
      </c>
      <c r="L403" s="70">
        <f t="shared" si="81"/>
        <v>2397.8554800000002</v>
      </c>
      <c r="M403" s="70"/>
      <c r="N403" s="70">
        <f t="shared" si="81"/>
        <v>2397.8554800000002</v>
      </c>
    </row>
    <row r="404" spans="1:14" x14ac:dyDescent="0.25">
      <c r="A404" s="98"/>
      <c r="B404" s="98"/>
      <c r="C404" s="4"/>
      <c r="D404" s="6"/>
      <c r="E404" s="3" t="s">
        <v>186</v>
      </c>
      <c r="F404" s="70">
        <v>2174.94805</v>
      </c>
      <c r="G404" s="70"/>
      <c r="H404" s="70">
        <v>2174.94805</v>
      </c>
      <c r="I404" s="70">
        <v>2158.0699300000001</v>
      </c>
      <c r="J404" s="70"/>
      <c r="K404" s="70">
        <v>2158.0699300000001</v>
      </c>
      <c r="L404" s="70">
        <v>2158.0699300000001</v>
      </c>
      <c r="M404" s="70"/>
      <c r="N404" s="70">
        <v>2158.0699300000001</v>
      </c>
    </row>
    <row r="405" spans="1:14" x14ac:dyDescent="0.25">
      <c r="A405" s="98"/>
      <c r="B405" s="98"/>
      <c r="C405" s="4"/>
      <c r="D405" s="6"/>
      <c r="E405" s="3" t="s">
        <v>150</v>
      </c>
      <c r="F405" s="70">
        <v>241.66088999999999</v>
      </c>
      <c r="G405" s="70"/>
      <c r="H405" s="70">
        <v>241.66088999999999</v>
      </c>
      <c r="I405" s="70">
        <v>239.78555</v>
      </c>
      <c r="J405" s="70"/>
      <c r="K405" s="70">
        <v>239.78555</v>
      </c>
      <c r="L405" s="70">
        <v>239.78555</v>
      </c>
      <c r="M405" s="70"/>
      <c r="N405" s="70">
        <v>239.78555</v>
      </c>
    </row>
    <row r="406" spans="1:14" x14ac:dyDescent="0.25">
      <c r="A406" s="171"/>
      <c r="B406" s="171"/>
      <c r="C406" s="59" t="s">
        <v>394</v>
      </c>
      <c r="D406" s="59"/>
      <c r="E406" s="60" t="s">
        <v>395</v>
      </c>
      <c r="F406" s="83">
        <f t="shared" ref="F406:N408" si="82">F407</f>
        <v>0</v>
      </c>
      <c r="G406" s="83">
        <f t="shared" si="82"/>
        <v>86.5</v>
      </c>
      <c r="H406" s="83">
        <f t="shared" si="82"/>
        <v>86.5</v>
      </c>
      <c r="I406" s="83">
        <f t="shared" si="82"/>
        <v>0</v>
      </c>
      <c r="J406" s="83"/>
      <c r="K406" s="83">
        <f t="shared" si="82"/>
        <v>0</v>
      </c>
      <c r="L406" s="83">
        <f t="shared" si="82"/>
        <v>0</v>
      </c>
      <c r="M406" s="83"/>
      <c r="N406" s="83">
        <f t="shared" si="82"/>
        <v>0</v>
      </c>
    </row>
    <row r="407" spans="1:14" ht="26.25" x14ac:dyDescent="0.25">
      <c r="A407" s="297"/>
      <c r="B407" s="297"/>
      <c r="C407" s="298" t="s">
        <v>402</v>
      </c>
      <c r="D407" s="298"/>
      <c r="E407" s="299" t="s">
        <v>403</v>
      </c>
      <c r="F407" s="300">
        <f t="shared" si="82"/>
        <v>0</v>
      </c>
      <c r="G407" s="300">
        <f t="shared" si="82"/>
        <v>86.5</v>
      </c>
      <c r="H407" s="300">
        <f t="shared" si="82"/>
        <v>86.5</v>
      </c>
      <c r="I407" s="300">
        <f t="shared" si="82"/>
        <v>0</v>
      </c>
      <c r="J407" s="300"/>
      <c r="K407" s="300">
        <f t="shared" si="82"/>
        <v>0</v>
      </c>
      <c r="L407" s="300">
        <f t="shared" si="82"/>
        <v>0</v>
      </c>
      <c r="M407" s="300"/>
      <c r="N407" s="300">
        <f t="shared" si="82"/>
        <v>0</v>
      </c>
    </row>
    <row r="408" spans="1:14" ht="25.5" x14ac:dyDescent="0.25">
      <c r="A408" s="98"/>
      <c r="B408" s="98"/>
      <c r="C408" s="22" t="s">
        <v>936</v>
      </c>
      <c r="D408" s="16"/>
      <c r="E408" s="21" t="s">
        <v>937</v>
      </c>
      <c r="F408" s="70">
        <f>F409</f>
        <v>0</v>
      </c>
      <c r="G408" s="70">
        <f t="shared" si="82"/>
        <v>86.5</v>
      </c>
      <c r="H408" s="70">
        <f t="shared" si="82"/>
        <v>86.5</v>
      </c>
      <c r="I408" s="70">
        <v>0</v>
      </c>
      <c r="J408" s="70"/>
      <c r="K408" s="70">
        <v>0</v>
      </c>
      <c r="L408" s="70">
        <v>0</v>
      </c>
      <c r="M408" s="70"/>
      <c r="N408" s="70">
        <v>0</v>
      </c>
    </row>
    <row r="409" spans="1:14" ht="25.5" x14ac:dyDescent="0.25">
      <c r="A409" s="98"/>
      <c r="B409" s="98"/>
      <c r="C409" s="17"/>
      <c r="D409" s="6" t="s">
        <v>471</v>
      </c>
      <c r="E409" s="1" t="s">
        <v>472</v>
      </c>
      <c r="F409" s="70">
        <v>0</v>
      </c>
      <c r="G409" s="70">
        <v>86.5</v>
      </c>
      <c r="H409" s="70">
        <v>86.5</v>
      </c>
      <c r="I409" s="70">
        <v>0</v>
      </c>
      <c r="J409" s="70"/>
      <c r="K409" s="70">
        <v>0</v>
      </c>
      <c r="L409" s="70">
        <v>0</v>
      </c>
      <c r="M409" s="70"/>
      <c r="N409" s="70">
        <v>0</v>
      </c>
    </row>
    <row r="410" spans="1:14" x14ac:dyDescent="0.25">
      <c r="A410" s="98"/>
      <c r="B410" s="17" t="s">
        <v>669</v>
      </c>
      <c r="C410" s="109"/>
      <c r="D410" s="108"/>
      <c r="E410" s="102" t="s">
        <v>671</v>
      </c>
      <c r="F410" s="74">
        <f t="shared" ref="F410:H416" si="83">F411</f>
        <v>22.5</v>
      </c>
      <c r="G410" s="74"/>
      <c r="H410" s="74">
        <f t="shared" si="83"/>
        <v>22.5</v>
      </c>
      <c r="I410" s="74">
        <v>0</v>
      </c>
      <c r="J410" s="74"/>
      <c r="K410" s="74">
        <v>0</v>
      </c>
      <c r="L410" s="74">
        <v>0</v>
      </c>
      <c r="M410" s="74"/>
      <c r="N410" s="74">
        <v>0</v>
      </c>
    </row>
    <row r="411" spans="1:14" x14ac:dyDescent="0.25">
      <c r="A411" s="98"/>
      <c r="B411" s="17" t="s">
        <v>670</v>
      </c>
      <c r="C411" s="109"/>
      <c r="D411" s="108"/>
      <c r="E411" s="102" t="s">
        <v>672</v>
      </c>
      <c r="F411" s="74">
        <f t="shared" si="83"/>
        <v>22.5</v>
      </c>
      <c r="G411" s="74"/>
      <c r="H411" s="74">
        <f t="shared" si="83"/>
        <v>22.5</v>
      </c>
      <c r="I411" s="74">
        <v>0</v>
      </c>
      <c r="J411" s="74"/>
      <c r="K411" s="74">
        <v>0</v>
      </c>
      <c r="L411" s="74">
        <v>0</v>
      </c>
      <c r="M411" s="74"/>
      <c r="N411" s="74">
        <v>0</v>
      </c>
    </row>
    <row r="412" spans="1:14" x14ac:dyDescent="0.25">
      <c r="A412" s="98"/>
      <c r="B412" s="17"/>
      <c r="C412" s="109" t="s">
        <v>5</v>
      </c>
      <c r="D412" s="108"/>
      <c r="E412" s="129" t="s">
        <v>6</v>
      </c>
      <c r="F412" s="74">
        <f t="shared" si="83"/>
        <v>22.5</v>
      </c>
      <c r="G412" s="74"/>
      <c r="H412" s="74">
        <f t="shared" si="83"/>
        <v>22.5</v>
      </c>
      <c r="I412" s="74">
        <v>0</v>
      </c>
      <c r="J412" s="74"/>
      <c r="K412" s="74">
        <v>0</v>
      </c>
      <c r="L412" s="74">
        <v>0</v>
      </c>
      <c r="M412" s="74"/>
      <c r="N412" s="74">
        <v>0</v>
      </c>
    </row>
    <row r="413" spans="1:14" ht="25.5" x14ac:dyDescent="0.25">
      <c r="A413" s="167"/>
      <c r="B413" s="112"/>
      <c r="C413" s="113" t="s">
        <v>290</v>
      </c>
      <c r="D413" s="112"/>
      <c r="E413" s="114" t="s">
        <v>291</v>
      </c>
      <c r="F413" s="169">
        <f t="shared" si="83"/>
        <v>22.5</v>
      </c>
      <c r="G413" s="169"/>
      <c r="H413" s="169">
        <f t="shared" si="83"/>
        <v>22.5</v>
      </c>
      <c r="I413" s="169">
        <v>0</v>
      </c>
      <c r="J413" s="169"/>
      <c r="K413" s="169">
        <v>0</v>
      </c>
      <c r="L413" s="169">
        <v>0</v>
      </c>
      <c r="M413" s="169"/>
      <c r="N413" s="169">
        <v>0</v>
      </c>
    </row>
    <row r="414" spans="1:14" ht="25.5" x14ac:dyDescent="0.25">
      <c r="A414" s="168"/>
      <c r="B414" s="133"/>
      <c r="C414" s="134" t="s">
        <v>301</v>
      </c>
      <c r="D414" s="133"/>
      <c r="E414" s="164" t="s">
        <v>302</v>
      </c>
      <c r="F414" s="170">
        <f t="shared" si="83"/>
        <v>22.5</v>
      </c>
      <c r="G414" s="170"/>
      <c r="H414" s="170">
        <f t="shared" si="83"/>
        <v>22.5</v>
      </c>
      <c r="I414" s="170">
        <v>0</v>
      </c>
      <c r="J414" s="170"/>
      <c r="K414" s="170">
        <v>0</v>
      </c>
      <c r="L414" s="170">
        <v>0</v>
      </c>
      <c r="M414" s="170"/>
      <c r="N414" s="170">
        <v>0</v>
      </c>
    </row>
    <row r="415" spans="1:14" x14ac:dyDescent="0.25">
      <c r="A415" s="98"/>
      <c r="B415" s="17"/>
      <c r="C415" s="109" t="s">
        <v>308</v>
      </c>
      <c r="D415" s="17"/>
      <c r="E415" s="165" t="s">
        <v>309</v>
      </c>
      <c r="F415" s="74">
        <f t="shared" si="83"/>
        <v>22.5</v>
      </c>
      <c r="G415" s="74"/>
      <c r="H415" s="74">
        <f t="shared" si="83"/>
        <v>22.5</v>
      </c>
      <c r="I415" s="74">
        <v>0</v>
      </c>
      <c r="J415" s="74"/>
      <c r="K415" s="74">
        <v>0</v>
      </c>
      <c r="L415" s="74">
        <v>0</v>
      </c>
      <c r="M415" s="74"/>
      <c r="N415" s="74">
        <v>0</v>
      </c>
    </row>
    <row r="416" spans="1:14" ht="25.5" x14ac:dyDescent="0.25">
      <c r="A416" s="98"/>
      <c r="B416" s="16"/>
      <c r="C416" s="166" t="s">
        <v>313</v>
      </c>
      <c r="D416" s="17"/>
      <c r="E416" s="1" t="s">
        <v>314</v>
      </c>
      <c r="F416" s="70">
        <f t="shared" si="83"/>
        <v>22.5</v>
      </c>
      <c r="G416" s="70"/>
      <c r="H416" s="70">
        <f t="shared" si="83"/>
        <v>22.5</v>
      </c>
      <c r="I416" s="70">
        <v>0</v>
      </c>
      <c r="J416" s="70"/>
      <c r="K416" s="70">
        <v>0</v>
      </c>
      <c r="L416" s="70">
        <v>0</v>
      </c>
      <c r="M416" s="70"/>
      <c r="N416" s="70">
        <v>0</v>
      </c>
    </row>
    <row r="417" spans="1:14" x14ac:dyDescent="0.25">
      <c r="A417" s="98"/>
      <c r="B417" s="17"/>
      <c r="C417" s="128"/>
      <c r="D417" s="6" t="s">
        <v>281</v>
      </c>
      <c r="E417" s="3" t="s">
        <v>282</v>
      </c>
      <c r="F417" s="70">
        <v>22.5</v>
      </c>
      <c r="G417" s="70"/>
      <c r="H417" s="70">
        <v>22.5</v>
      </c>
      <c r="I417" s="70">
        <v>0</v>
      </c>
      <c r="J417" s="70"/>
      <c r="K417" s="70">
        <v>0</v>
      </c>
      <c r="L417" s="70">
        <v>0</v>
      </c>
      <c r="M417" s="70"/>
      <c r="N417" s="70">
        <v>0</v>
      </c>
    </row>
    <row r="418" spans="1:14" x14ac:dyDescent="0.25">
      <c r="A418" s="98"/>
      <c r="B418" s="17" t="s">
        <v>616</v>
      </c>
      <c r="C418" s="109"/>
      <c r="D418" s="108"/>
      <c r="E418" s="102" t="s">
        <v>617</v>
      </c>
      <c r="F418" s="74">
        <f t="shared" ref="F418:N422" si="84">F419</f>
        <v>40899.493090000004</v>
      </c>
      <c r="G418" s="74"/>
      <c r="H418" s="74">
        <f t="shared" si="84"/>
        <v>40899.493090000004</v>
      </c>
      <c r="I418" s="74">
        <f t="shared" si="84"/>
        <v>11701.9</v>
      </c>
      <c r="J418" s="74">
        <f t="shared" si="84"/>
        <v>0</v>
      </c>
      <c r="K418" s="74">
        <f t="shared" si="84"/>
        <v>11701.9</v>
      </c>
      <c r="L418" s="74">
        <f t="shared" si="84"/>
        <v>44338.189059999997</v>
      </c>
      <c r="M418" s="74"/>
      <c r="N418" s="74">
        <f t="shared" si="84"/>
        <v>44338.189059999997</v>
      </c>
    </row>
    <row r="419" spans="1:14" x14ac:dyDescent="0.25">
      <c r="A419" s="98"/>
      <c r="B419" s="17" t="s">
        <v>618</v>
      </c>
      <c r="C419" s="109"/>
      <c r="D419" s="108"/>
      <c r="E419" s="102" t="s">
        <v>619</v>
      </c>
      <c r="F419" s="74">
        <f>F420+F435</f>
        <v>40899.493090000004</v>
      </c>
      <c r="G419" s="74"/>
      <c r="H419" s="74">
        <f t="shared" ref="H419:N419" si="85">H420+H435</f>
        <v>40899.493090000004</v>
      </c>
      <c r="I419" s="74">
        <f t="shared" si="85"/>
        <v>11701.9</v>
      </c>
      <c r="J419" s="74">
        <f t="shared" si="85"/>
        <v>0</v>
      </c>
      <c r="K419" s="74">
        <f t="shared" si="85"/>
        <v>11701.9</v>
      </c>
      <c r="L419" s="74">
        <f t="shared" si="85"/>
        <v>44338.189059999997</v>
      </c>
      <c r="M419" s="74"/>
      <c r="N419" s="74">
        <f t="shared" si="85"/>
        <v>44338.189059999997</v>
      </c>
    </row>
    <row r="420" spans="1:14" x14ac:dyDescent="0.25">
      <c r="A420" s="98"/>
      <c r="B420" s="17"/>
      <c r="C420" s="109" t="s">
        <v>5</v>
      </c>
      <c r="D420" s="108"/>
      <c r="E420" s="129" t="s">
        <v>6</v>
      </c>
      <c r="F420" s="74">
        <f t="shared" si="84"/>
        <v>40669.593090000002</v>
      </c>
      <c r="G420" s="74"/>
      <c r="H420" s="74">
        <f t="shared" si="84"/>
        <v>40669.593090000002</v>
      </c>
      <c r="I420" s="74">
        <f t="shared" si="84"/>
        <v>11701.9</v>
      </c>
      <c r="J420" s="74">
        <f t="shared" si="84"/>
        <v>0</v>
      </c>
      <c r="K420" s="74">
        <f t="shared" si="84"/>
        <v>11701.9</v>
      </c>
      <c r="L420" s="74">
        <f t="shared" si="84"/>
        <v>44338.189059999997</v>
      </c>
      <c r="M420" s="74"/>
      <c r="N420" s="74">
        <f t="shared" si="84"/>
        <v>44338.189059999997</v>
      </c>
    </row>
    <row r="421" spans="1:14" ht="25.5" x14ac:dyDescent="0.25">
      <c r="A421" s="111"/>
      <c r="B421" s="112"/>
      <c r="C421" s="113" t="s">
        <v>57</v>
      </c>
      <c r="D421" s="112"/>
      <c r="E421" s="114" t="s">
        <v>532</v>
      </c>
      <c r="F421" s="115">
        <f t="shared" si="84"/>
        <v>40669.593090000002</v>
      </c>
      <c r="G421" s="115"/>
      <c r="H421" s="115">
        <f t="shared" si="84"/>
        <v>40669.593090000002</v>
      </c>
      <c r="I421" s="115">
        <f t="shared" si="84"/>
        <v>11701.9</v>
      </c>
      <c r="J421" s="115">
        <f t="shared" si="84"/>
        <v>0</v>
      </c>
      <c r="K421" s="115">
        <f t="shared" si="84"/>
        <v>11701.9</v>
      </c>
      <c r="L421" s="115">
        <f t="shared" si="84"/>
        <v>44338.189059999997</v>
      </c>
      <c r="M421" s="115"/>
      <c r="N421" s="115">
        <f t="shared" si="84"/>
        <v>44338.189059999997</v>
      </c>
    </row>
    <row r="422" spans="1:14" x14ac:dyDescent="0.25">
      <c r="A422" s="31"/>
      <c r="B422" s="31"/>
      <c r="C422" s="31" t="s">
        <v>73</v>
      </c>
      <c r="D422" s="31"/>
      <c r="E422" s="52" t="s">
        <v>74</v>
      </c>
      <c r="F422" s="75">
        <f t="shared" si="84"/>
        <v>40669.593090000002</v>
      </c>
      <c r="G422" s="75"/>
      <c r="H422" s="75">
        <f t="shared" si="84"/>
        <v>40669.593090000002</v>
      </c>
      <c r="I422" s="75">
        <f t="shared" si="84"/>
        <v>11701.9</v>
      </c>
      <c r="J422" s="75">
        <f t="shared" si="84"/>
        <v>0</v>
      </c>
      <c r="K422" s="75">
        <f t="shared" si="84"/>
        <v>11701.9</v>
      </c>
      <c r="L422" s="75">
        <f t="shared" si="84"/>
        <v>44338.189059999997</v>
      </c>
      <c r="M422" s="75"/>
      <c r="N422" s="75">
        <f t="shared" si="84"/>
        <v>44338.189059999997</v>
      </c>
    </row>
    <row r="423" spans="1:14" s="39" customFormat="1" ht="39" x14ac:dyDescent="0.25">
      <c r="A423" s="33"/>
      <c r="B423" s="33"/>
      <c r="C423" s="33" t="s">
        <v>99</v>
      </c>
      <c r="D423" s="33"/>
      <c r="E423" s="34" t="s">
        <v>100</v>
      </c>
      <c r="F423" s="71">
        <f>F424+F431</f>
        <v>40669.593090000002</v>
      </c>
      <c r="G423" s="71"/>
      <c r="H423" s="71">
        <f>H424+H431</f>
        <v>40669.593090000002</v>
      </c>
      <c r="I423" s="71">
        <f t="shared" ref="I423:N423" si="86">I424+I431+I429</f>
        <v>11701.9</v>
      </c>
      <c r="J423" s="71">
        <f t="shared" si="86"/>
        <v>0</v>
      </c>
      <c r="K423" s="71">
        <f t="shared" si="86"/>
        <v>11701.9</v>
      </c>
      <c r="L423" s="71">
        <f t="shared" si="86"/>
        <v>44338.189059999997</v>
      </c>
      <c r="M423" s="71"/>
      <c r="N423" s="71">
        <f t="shared" si="86"/>
        <v>44338.189059999997</v>
      </c>
    </row>
    <row r="424" spans="1:14" s="39" customFormat="1" ht="25.5" x14ac:dyDescent="0.25">
      <c r="A424" s="99"/>
      <c r="B424" s="99"/>
      <c r="C424" s="6" t="s">
        <v>101</v>
      </c>
      <c r="D424" s="6"/>
      <c r="E424" s="2" t="s">
        <v>102</v>
      </c>
      <c r="F424" s="80">
        <f>F426+F427+F428</f>
        <v>40669.593090000002</v>
      </c>
      <c r="G424" s="80"/>
      <c r="H424" s="80">
        <f>H426+H427+H428</f>
        <v>40669.593090000002</v>
      </c>
      <c r="I424" s="80">
        <f>I426+I427+I428</f>
        <v>0</v>
      </c>
      <c r="J424" s="80"/>
      <c r="K424" s="80">
        <f>K426+K427+K428</f>
        <v>0</v>
      </c>
      <c r="L424" s="80">
        <v>0</v>
      </c>
      <c r="M424" s="80"/>
      <c r="N424" s="80">
        <v>0</v>
      </c>
    </row>
    <row r="425" spans="1:14" s="39" customFormat="1" ht="26.25" x14ac:dyDescent="0.25">
      <c r="A425" s="99"/>
      <c r="B425" s="99"/>
      <c r="C425" s="6"/>
      <c r="D425" s="6" t="s">
        <v>299</v>
      </c>
      <c r="E425" s="3" t="s">
        <v>300</v>
      </c>
      <c r="F425" s="80">
        <f>F426+F427+F428</f>
        <v>40669.593090000002</v>
      </c>
      <c r="G425" s="80"/>
      <c r="H425" s="80">
        <f>H426+H427+H428</f>
        <v>40669.593090000002</v>
      </c>
      <c r="I425" s="80">
        <f>I427+I428</f>
        <v>0</v>
      </c>
      <c r="J425" s="80"/>
      <c r="K425" s="80">
        <f>K427+K428</f>
        <v>0</v>
      </c>
      <c r="L425" s="80">
        <v>0</v>
      </c>
      <c r="M425" s="80"/>
      <c r="N425" s="80">
        <v>0</v>
      </c>
    </row>
    <row r="426" spans="1:14" x14ac:dyDescent="0.25">
      <c r="A426" s="98"/>
      <c r="B426" s="98"/>
      <c r="C426" s="6"/>
      <c r="D426" s="6"/>
      <c r="E426" s="3" t="s">
        <v>103</v>
      </c>
      <c r="F426" s="80">
        <v>0</v>
      </c>
      <c r="G426" s="80"/>
      <c r="H426" s="80">
        <v>0</v>
      </c>
      <c r="I426" s="80">
        <v>0</v>
      </c>
      <c r="J426" s="80"/>
      <c r="K426" s="80">
        <v>0</v>
      </c>
      <c r="L426" s="80">
        <v>0</v>
      </c>
      <c r="M426" s="80"/>
      <c r="N426" s="80">
        <v>0</v>
      </c>
    </row>
    <row r="427" spans="1:14" x14ac:dyDescent="0.25">
      <c r="A427" s="98"/>
      <c r="B427" s="98"/>
      <c r="C427" s="6"/>
      <c r="D427" s="6"/>
      <c r="E427" s="3" t="s">
        <v>104</v>
      </c>
      <c r="F427" s="80">
        <v>30121.14</v>
      </c>
      <c r="G427" s="80"/>
      <c r="H427" s="80">
        <v>30121.14</v>
      </c>
      <c r="I427" s="80">
        <v>0</v>
      </c>
      <c r="J427" s="80"/>
      <c r="K427" s="80">
        <v>0</v>
      </c>
      <c r="L427" s="80">
        <v>0</v>
      </c>
      <c r="M427" s="80"/>
      <c r="N427" s="80">
        <v>0</v>
      </c>
    </row>
    <row r="428" spans="1:14" x14ac:dyDescent="0.25">
      <c r="A428" s="98"/>
      <c r="B428" s="98"/>
      <c r="C428" s="6"/>
      <c r="D428" s="6"/>
      <c r="E428" s="3" t="s">
        <v>105</v>
      </c>
      <c r="F428" s="80">
        <v>10548.453090000001</v>
      </c>
      <c r="G428" s="80"/>
      <c r="H428" s="80">
        <f>10478.86+69.59309</f>
        <v>10548.453090000001</v>
      </c>
      <c r="I428" s="80">
        <v>0</v>
      </c>
      <c r="J428" s="80"/>
      <c r="K428" s="80">
        <v>0</v>
      </c>
      <c r="L428" s="80">
        <v>0</v>
      </c>
      <c r="M428" s="80"/>
      <c r="N428" s="80">
        <v>0</v>
      </c>
    </row>
    <row r="429" spans="1:14" ht="25.5" x14ac:dyDescent="0.25">
      <c r="A429" s="98"/>
      <c r="B429" s="98"/>
      <c r="C429" s="6" t="s">
        <v>490</v>
      </c>
      <c r="D429" s="6"/>
      <c r="E429" s="65" t="s">
        <v>678</v>
      </c>
      <c r="F429" s="80">
        <v>0</v>
      </c>
      <c r="G429" s="80"/>
      <c r="H429" s="80">
        <v>0</v>
      </c>
      <c r="I429" s="80">
        <f>I430</f>
        <v>11701.9</v>
      </c>
      <c r="J429" s="80">
        <f>J430</f>
        <v>0</v>
      </c>
      <c r="K429" s="80">
        <f>K430</f>
        <v>11701.9</v>
      </c>
      <c r="L429" s="80">
        <v>0</v>
      </c>
      <c r="M429" s="80"/>
      <c r="N429" s="80">
        <v>0</v>
      </c>
    </row>
    <row r="430" spans="1:14" x14ac:dyDescent="0.25">
      <c r="A430" s="98"/>
      <c r="B430" s="98"/>
      <c r="C430" s="6"/>
      <c r="D430" s="6" t="s">
        <v>281</v>
      </c>
      <c r="E430" s="3" t="s">
        <v>282</v>
      </c>
      <c r="F430" s="80">
        <v>0</v>
      </c>
      <c r="G430" s="80"/>
      <c r="H430" s="80">
        <v>0</v>
      </c>
      <c r="I430" s="80">
        <v>11701.9</v>
      </c>
      <c r="J430" s="80"/>
      <c r="K430" s="80">
        <f>SUM(I430:J430)</f>
        <v>11701.9</v>
      </c>
      <c r="L430" s="80">
        <v>0</v>
      </c>
      <c r="M430" s="80"/>
      <c r="N430" s="80">
        <v>0</v>
      </c>
    </row>
    <row r="431" spans="1:14" s="39" customFormat="1" x14ac:dyDescent="0.25">
      <c r="A431" s="99"/>
      <c r="B431" s="99"/>
      <c r="C431" s="6" t="s">
        <v>433</v>
      </c>
      <c r="D431" s="6"/>
      <c r="E431" s="2" t="s">
        <v>106</v>
      </c>
      <c r="F431" s="80">
        <v>0</v>
      </c>
      <c r="G431" s="80"/>
      <c r="H431" s="80">
        <v>0</v>
      </c>
      <c r="I431" s="80">
        <v>0</v>
      </c>
      <c r="J431" s="80"/>
      <c r="K431" s="80">
        <v>0</v>
      </c>
      <c r="L431" s="80">
        <f>L433+L434</f>
        <v>44338.189059999997</v>
      </c>
      <c r="M431" s="80"/>
      <c r="N431" s="80">
        <f>N433+N434</f>
        <v>44338.189059999997</v>
      </c>
    </row>
    <row r="432" spans="1:14" s="39" customFormat="1" ht="26.25" x14ac:dyDescent="0.25">
      <c r="A432" s="99"/>
      <c r="B432" s="99"/>
      <c r="C432" s="6"/>
      <c r="D432" s="6" t="s">
        <v>299</v>
      </c>
      <c r="E432" s="3" t="s">
        <v>300</v>
      </c>
      <c r="F432" s="80">
        <v>0</v>
      </c>
      <c r="G432" s="80"/>
      <c r="H432" s="80">
        <v>0</v>
      </c>
      <c r="I432" s="80">
        <v>0</v>
      </c>
      <c r="J432" s="80"/>
      <c r="K432" s="80">
        <v>0</v>
      </c>
      <c r="L432" s="80">
        <f>L433+L434</f>
        <v>44338.189059999997</v>
      </c>
      <c r="M432" s="80"/>
      <c r="N432" s="80">
        <f>N433+N434</f>
        <v>44338.189059999997</v>
      </c>
    </row>
    <row r="433" spans="1:14" x14ac:dyDescent="0.25">
      <c r="A433" s="98"/>
      <c r="B433" s="98"/>
      <c r="C433" s="6"/>
      <c r="D433" s="6"/>
      <c r="E433" s="3" t="s">
        <v>153</v>
      </c>
      <c r="F433" s="70">
        <v>0</v>
      </c>
      <c r="G433" s="70"/>
      <c r="H433" s="70">
        <v>0</v>
      </c>
      <c r="I433" s="70">
        <v>0</v>
      </c>
      <c r="J433" s="70"/>
      <c r="K433" s="70">
        <v>0</v>
      </c>
      <c r="L433" s="70">
        <v>38559.189059999997</v>
      </c>
      <c r="M433" s="70"/>
      <c r="N433" s="70">
        <v>38559.189059999997</v>
      </c>
    </row>
    <row r="434" spans="1:14" x14ac:dyDescent="0.25">
      <c r="A434" s="98"/>
      <c r="B434" s="98"/>
      <c r="C434" s="6"/>
      <c r="D434" s="6"/>
      <c r="E434" s="3" t="s">
        <v>105</v>
      </c>
      <c r="F434" s="70">
        <v>0</v>
      </c>
      <c r="G434" s="70"/>
      <c r="H434" s="70">
        <v>0</v>
      </c>
      <c r="I434" s="70">
        <v>0</v>
      </c>
      <c r="J434" s="70"/>
      <c r="K434" s="70">
        <v>0</v>
      </c>
      <c r="L434" s="70">
        <v>5779</v>
      </c>
      <c r="M434" s="70"/>
      <c r="N434" s="70">
        <v>5779</v>
      </c>
    </row>
    <row r="435" spans="1:14" x14ac:dyDescent="0.25">
      <c r="A435" s="260"/>
      <c r="B435" s="260"/>
      <c r="C435" s="261" t="s">
        <v>575</v>
      </c>
      <c r="D435" s="261"/>
      <c r="E435" s="262" t="s">
        <v>576</v>
      </c>
      <c r="F435" s="263">
        <f>F436</f>
        <v>229.9</v>
      </c>
      <c r="G435" s="263"/>
      <c r="H435" s="263">
        <f t="shared" ref="H435:N435" si="87">H436</f>
        <v>229.9</v>
      </c>
      <c r="I435" s="263">
        <f t="shared" si="87"/>
        <v>0</v>
      </c>
      <c r="J435" s="263"/>
      <c r="K435" s="263">
        <f t="shared" si="87"/>
        <v>0</v>
      </c>
      <c r="L435" s="263">
        <f t="shared" si="87"/>
        <v>0</v>
      </c>
      <c r="M435" s="263"/>
      <c r="N435" s="263">
        <f t="shared" si="87"/>
        <v>0</v>
      </c>
    </row>
    <row r="436" spans="1:14" ht="25.5" x14ac:dyDescent="0.25">
      <c r="A436" s="150"/>
      <c r="B436" s="150"/>
      <c r="C436" s="144" t="s">
        <v>402</v>
      </c>
      <c r="D436" s="145"/>
      <c r="E436" s="146" t="s">
        <v>842</v>
      </c>
      <c r="F436" s="84">
        <f>F437</f>
        <v>229.9</v>
      </c>
      <c r="G436" s="84"/>
      <c r="H436" s="84">
        <f t="shared" ref="H436:N436" si="88">H437</f>
        <v>229.9</v>
      </c>
      <c r="I436" s="84">
        <f t="shared" si="88"/>
        <v>0</v>
      </c>
      <c r="J436" s="84"/>
      <c r="K436" s="84">
        <f t="shared" si="88"/>
        <v>0</v>
      </c>
      <c r="L436" s="84">
        <f t="shared" si="88"/>
        <v>0</v>
      </c>
      <c r="M436" s="84"/>
      <c r="N436" s="84">
        <f t="shared" si="88"/>
        <v>0</v>
      </c>
    </row>
    <row r="437" spans="1:14" ht="38.25" x14ac:dyDescent="0.25">
      <c r="A437" s="98"/>
      <c r="B437" s="98"/>
      <c r="C437" s="22" t="s">
        <v>840</v>
      </c>
      <c r="D437" s="16"/>
      <c r="E437" s="1" t="s">
        <v>843</v>
      </c>
      <c r="F437" s="70">
        <f>F438</f>
        <v>229.9</v>
      </c>
      <c r="G437" s="70"/>
      <c r="H437" s="70">
        <f>H438</f>
        <v>229.9</v>
      </c>
      <c r="I437" s="70"/>
      <c r="J437" s="70"/>
      <c r="K437" s="70"/>
      <c r="L437" s="70"/>
      <c r="M437" s="70"/>
      <c r="N437" s="70"/>
    </row>
    <row r="438" spans="1:14" x14ac:dyDescent="0.25">
      <c r="A438" s="98"/>
      <c r="B438" s="98"/>
      <c r="C438" s="17"/>
      <c r="D438" s="16" t="s">
        <v>281</v>
      </c>
      <c r="E438" s="1" t="s">
        <v>282</v>
      </c>
      <c r="F438" s="70">
        <v>229.9</v>
      </c>
      <c r="G438" s="70"/>
      <c r="H438" s="70">
        <v>229.9</v>
      </c>
      <c r="I438" s="70"/>
      <c r="J438" s="70"/>
      <c r="K438" s="70"/>
      <c r="L438" s="70"/>
      <c r="M438" s="70"/>
      <c r="N438" s="70"/>
    </row>
    <row r="439" spans="1:14" x14ac:dyDescent="0.25">
      <c r="A439" s="151"/>
      <c r="B439" s="49" t="s">
        <v>620</v>
      </c>
      <c r="C439" s="49"/>
      <c r="D439" s="18"/>
      <c r="E439" s="152" t="s">
        <v>621</v>
      </c>
      <c r="F439" s="110">
        <f t="shared" ref="F439:N443" si="89">F440</f>
        <v>47356.907379999997</v>
      </c>
      <c r="G439" s="110">
        <f t="shared" si="89"/>
        <v>0</v>
      </c>
      <c r="H439" s="110">
        <f t="shared" si="89"/>
        <v>47356.907379999997</v>
      </c>
      <c r="I439" s="110">
        <f t="shared" si="89"/>
        <v>4087.5370699999999</v>
      </c>
      <c r="J439" s="110"/>
      <c r="K439" s="110">
        <f t="shared" si="89"/>
        <v>4087.5370699999999</v>
      </c>
      <c r="L439" s="110">
        <f t="shared" si="89"/>
        <v>0</v>
      </c>
      <c r="M439" s="110"/>
      <c r="N439" s="110">
        <f t="shared" si="89"/>
        <v>0</v>
      </c>
    </row>
    <row r="440" spans="1:14" x14ac:dyDescent="0.25">
      <c r="A440" s="151"/>
      <c r="B440" s="49" t="s">
        <v>650</v>
      </c>
      <c r="C440" s="49"/>
      <c r="D440" s="18"/>
      <c r="E440" s="152" t="s">
        <v>622</v>
      </c>
      <c r="F440" s="110">
        <f t="shared" ref="F440:L440" si="90">F441</f>
        <v>47356.907379999997</v>
      </c>
      <c r="G440" s="110">
        <f t="shared" si="90"/>
        <v>0</v>
      </c>
      <c r="H440" s="110">
        <f t="shared" si="90"/>
        <v>47356.907379999997</v>
      </c>
      <c r="I440" s="110">
        <f t="shared" si="90"/>
        <v>4087.5370699999999</v>
      </c>
      <c r="J440" s="110"/>
      <c r="K440" s="110">
        <f t="shared" si="90"/>
        <v>4087.5370699999999</v>
      </c>
      <c r="L440" s="110">
        <f t="shared" si="90"/>
        <v>0</v>
      </c>
      <c r="M440" s="110"/>
      <c r="N440" s="110">
        <f>N441</f>
        <v>0</v>
      </c>
    </row>
    <row r="441" spans="1:14" x14ac:dyDescent="0.25">
      <c r="A441" s="108"/>
      <c r="B441" s="17"/>
      <c r="C441" s="109" t="s">
        <v>5</v>
      </c>
      <c r="D441" s="17"/>
      <c r="E441" s="129" t="s">
        <v>6</v>
      </c>
      <c r="F441" s="74">
        <f t="shared" si="89"/>
        <v>47356.907379999997</v>
      </c>
      <c r="G441" s="74">
        <f t="shared" si="89"/>
        <v>0</v>
      </c>
      <c r="H441" s="74">
        <f t="shared" si="89"/>
        <v>47356.907379999997</v>
      </c>
      <c r="I441" s="74">
        <f t="shared" si="89"/>
        <v>4087.5370699999999</v>
      </c>
      <c r="J441" s="74"/>
      <c r="K441" s="74">
        <f t="shared" si="89"/>
        <v>4087.5370699999999</v>
      </c>
      <c r="L441" s="74">
        <f t="shared" si="89"/>
        <v>0</v>
      </c>
      <c r="M441" s="74"/>
      <c r="N441" s="74">
        <f t="shared" si="89"/>
        <v>0</v>
      </c>
    </row>
    <row r="442" spans="1:14" ht="25.5" x14ac:dyDescent="0.25">
      <c r="A442" s="111"/>
      <c r="B442" s="112"/>
      <c r="C442" s="113" t="s">
        <v>623</v>
      </c>
      <c r="D442" s="112"/>
      <c r="E442" s="114" t="s">
        <v>624</v>
      </c>
      <c r="F442" s="115">
        <f t="shared" si="89"/>
        <v>47356.907379999997</v>
      </c>
      <c r="G442" s="115">
        <f t="shared" si="89"/>
        <v>0</v>
      </c>
      <c r="H442" s="115">
        <f t="shared" si="89"/>
        <v>47356.907379999997</v>
      </c>
      <c r="I442" s="115">
        <f t="shared" si="89"/>
        <v>4087.5370699999999</v>
      </c>
      <c r="J442" s="115"/>
      <c r="K442" s="115">
        <f t="shared" si="89"/>
        <v>4087.5370699999999</v>
      </c>
      <c r="L442" s="115">
        <f t="shared" si="89"/>
        <v>0</v>
      </c>
      <c r="M442" s="115"/>
      <c r="N442" s="115">
        <f t="shared" si="89"/>
        <v>0</v>
      </c>
    </row>
    <row r="443" spans="1:14" ht="26.25" x14ac:dyDescent="0.25">
      <c r="A443" s="31"/>
      <c r="B443" s="31"/>
      <c r="C443" s="31" t="s">
        <v>625</v>
      </c>
      <c r="D443" s="31"/>
      <c r="E443" s="52" t="s">
        <v>214</v>
      </c>
      <c r="F443" s="75">
        <f t="shared" si="89"/>
        <v>47356.907379999997</v>
      </c>
      <c r="G443" s="75">
        <f t="shared" si="89"/>
        <v>0</v>
      </c>
      <c r="H443" s="75">
        <f t="shared" si="89"/>
        <v>47356.907379999997</v>
      </c>
      <c r="I443" s="75">
        <f t="shared" si="89"/>
        <v>4087.5370699999999</v>
      </c>
      <c r="J443" s="75"/>
      <c r="K443" s="75">
        <f t="shared" si="89"/>
        <v>4087.5370699999999</v>
      </c>
      <c r="L443" s="75">
        <f t="shared" si="89"/>
        <v>0</v>
      </c>
      <c r="M443" s="75"/>
      <c r="N443" s="75">
        <f t="shared" si="89"/>
        <v>0</v>
      </c>
    </row>
    <row r="444" spans="1:14" ht="39" x14ac:dyDescent="0.25">
      <c r="A444" s="33"/>
      <c r="B444" s="33"/>
      <c r="C444" s="33" t="s">
        <v>626</v>
      </c>
      <c r="D444" s="33"/>
      <c r="E444" s="34" t="s">
        <v>238</v>
      </c>
      <c r="F444" s="71">
        <f t="shared" ref="F444:L444" si="91">F446</f>
        <v>47356.907379999997</v>
      </c>
      <c r="G444" s="71">
        <f t="shared" si="91"/>
        <v>0</v>
      </c>
      <c r="H444" s="71">
        <f t="shared" si="91"/>
        <v>47356.907379999997</v>
      </c>
      <c r="I444" s="71">
        <f>I446</f>
        <v>4087.5370699999999</v>
      </c>
      <c r="J444" s="71"/>
      <c r="K444" s="71">
        <f>K446</f>
        <v>4087.5370699999999</v>
      </c>
      <c r="L444" s="71">
        <f t="shared" si="91"/>
        <v>0</v>
      </c>
      <c r="M444" s="71"/>
      <c r="N444" s="71">
        <f>N446</f>
        <v>0</v>
      </c>
    </row>
    <row r="445" spans="1:14" s="39" customFormat="1" x14ac:dyDescent="0.25">
      <c r="A445" s="12"/>
      <c r="B445" s="12"/>
      <c r="C445" s="68" t="s">
        <v>889</v>
      </c>
      <c r="D445" s="1"/>
      <c r="E445" s="1" t="s">
        <v>684</v>
      </c>
      <c r="F445" s="70">
        <f t="shared" ref="F445:H446" si="92">F446</f>
        <v>47356.907379999997</v>
      </c>
      <c r="G445" s="70">
        <f t="shared" si="92"/>
        <v>0</v>
      </c>
      <c r="H445" s="70">
        <f t="shared" si="92"/>
        <v>47356.907379999997</v>
      </c>
      <c r="I445" s="70">
        <f>I446</f>
        <v>4087.5370699999999</v>
      </c>
      <c r="J445" s="70"/>
      <c r="K445" s="70">
        <f>K446</f>
        <v>4087.5370699999999</v>
      </c>
      <c r="L445" s="70">
        <v>0</v>
      </c>
      <c r="M445" s="70"/>
      <c r="N445" s="70">
        <v>0</v>
      </c>
    </row>
    <row r="446" spans="1:14" x14ac:dyDescent="0.25">
      <c r="A446" s="55"/>
      <c r="B446" s="55"/>
      <c r="C446" s="12"/>
      <c r="D446" s="55"/>
      <c r="E446" s="13" t="s">
        <v>493</v>
      </c>
      <c r="F446" s="80">
        <f t="shared" si="92"/>
        <v>47356.907379999997</v>
      </c>
      <c r="G446" s="80">
        <f t="shared" si="92"/>
        <v>0</v>
      </c>
      <c r="H446" s="80">
        <f t="shared" si="92"/>
        <v>47356.907379999997</v>
      </c>
      <c r="I446" s="80">
        <f>I447</f>
        <v>4087.5370699999999</v>
      </c>
      <c r="J446" s="80"/>
      <c r="K446" s="80">
        <f>K447</f>
        <v>4087.5370699999999</v>
      </c>
      <c r="L446" s="80">
        <v>0</v>
      </c>
      <c r="M446" s="80"/>
      <c r="N446" s="80">
        <v>0</v>
      </c>
    </row>
    <row r="447" spans="1:14" ht="26.25" x14ac:dyDescent="0.25">
      <c r="A447" s="55"/>
      <c r="B447" s="55"/>
      <c r="C447" s="55"/>
      <c r="D447" s="22" t="s">
        <v>299</v>
      </c>
      <c r="E447" s="3" t="s">
        <v>300</v>
      </c>
      <c r="F447" s="80">
        <f>F448+F449</f>
        <v>47356.907379999997</v>
      </c>
      <c r="G447" s="80">
        <f>G448+G449</f>
        <v>0</v>
      </c>
      <c r="H447" s="80">
        <f>H448+H449</f>
        <v>47356.907379999997</v>
      </c>
      <c r="I447" s="80">
        <f>I448+I449</f>
        <v>4087.5370699999999</v>
      </c>
      <c r="J447" s="80"/>
      <c r="K447" s="80">
        <f>K448+K449</f>
        <v>4087.5370699999999</v>
      </c>
      <c r="L447" s="80">
        <v>0</v>
      </c>
      <c r="M447" s="80"/>
      <c r="N447" s="80">
        <v>0</v>
      </c>
    </row>
    <row r="448" spans="1:14" x14ac:dyDescent="0.25">
      <c r="A448" s="55"/>
      <c r="B448" s="55"/>
      <c r="C448" s="55"/>
      <c r="D448" s="22"/>
      <c r="E448" s="3" t="s">
        <v>153</v>
      </c>
      <c r="F448" s="80">
        <v>45000</v>
      </c>
      <c r="G448" s="80"/>
      <c r="H448" s="80">
        <v>45000</v>
      </c>
      <c r="I448" s="80"/>
      <c r="J448" s="80"/>
      <c r="K448" s="80"/>
      <c r="L448" s="80">
        <v>50</v>
      </c>
      <c r="M448" s="80"/>
      <c r="N448" s="80">
        <v>50</v>
      </c>
    </row>
    <row r="449" spans="1:14" x14ac:dyDescent="0.25">
      <c r="A449" s="55"/>
      <c r="B449" s="55"/>
      <c r="C449" s="55"/>
      <c r="D449" s="22"/>
      <c r="E449" s="3" t="s">
        <v>105</v>
      </c>
      <c r="F449" s="80">
        <v>2356.9073800000001</v>
      </c>
      <c r="G449" s="73"/>
      <c r="H449" s="80">
        <f>SUM(F449:G449)</f>
        <v>2356.9073800000001</v>
      </c>
      <c r="I449" s="73">
        <v>4087.5370699999999</v>
      </c>
      <c r="J449" s="73"/>
      <c r="K449" s="73">
        <v>4087.5370699999999</v>
      </c>
      <c r="L449" s="80">
        <v>0</v>
      </c>
      <c r="M449" s="80"/>
      <c r="N449" s="80">
        <v>0</v>
      </c>
    </row>
    <row r="450" spans="1:14" x14ac:dyDescent="0.25">
      <c r="A450" s="108"/>
      <c r="B450" s="17">
        <v>1000</v>
      </c>
      <c r="C450" s="109"/>
      <c r="D450" s="108"/>
      <c r="E450" s="102" t="s">
        <v>627</v>
      </c>
      <c r="F450" s="74">
        <f t="shared" ref="F450:N450" si="93">F451+F458+F468+F482</f>
        <v>20813.31179</v>
      </c>
      <c r="G450" s="74">
        <f t="shared" si="93"/>
        <v>-123.2</v>
      </c>
      <c r="H450" s="74">
        <f t="shared" si="93"/>
        <v>20690.111789999999</v>
      </c>
      <c r="I450" s="74">
        <f t="shared" si="93"/>
        <v>18795.155569999999</v>
      </c>
      <c r="J450" s="74"/>
      <c r="K450" s="74">
        <f t="shared" si="93"/>
        <v>18795.155569999999</v>
      </c>
      <c r="L450" s="74">
        <f t="shared" si="93"/>
        <v>9069.9736600000015</v>
      </c>
      <c r="M450" s="74"/>
      <c r="N450" s="74">
        <f t="shared" si="93"/>
        <v>9069.9736600000015</v>
      </c>
    </row>
    <row r="451" spans="1:14" x14ac:dyDescent="0.25">
      <c r="A451" s="108"/>
      <c r="B451" s="17" t="s">
        <v>628</v>
      </c>
      <c r="C451" s="109"/>
      <c r="D451" s="108"/>
      <c r="E451" s="129" t="s">
        <v>629</v>
      </c>
      <c r="F451" s="74">
        <f t="shared" ref="F451:N456" si="94">F452</f>
        <v>7690.3</v>
      </c>
      <c r="G451" s="74">
        <f t="shared" si="94"/>
        <v>-123.2</v>
      </c>
      <c r="H451" s="74">
        <f t="shared" si="94"/>
        <v>7567.1</v>
      </c>
      <c r="I451" s="74">
        <f t="shared" si="94"/>
        <v>7969.5</v>
      </c>
      <c r="J451" s="74"/>
      <c r="K451" s="74">
        <f t="shared" si="94"/>
        <v>7969.5</v>
      </c>
      <c r="L451" s="74">
        <f t="shared" si="94"/>
        <v>7969.5</v>
      </c>
      <c r="M451" s="74"/>
      <c r="N451" s="74">
        <f t="shared" si="94"/>
        <v>7969.5</v>
      </c>
    </row>
    <row r="452" spans="1:14" x14ac:dyDescent="0.25">
      <c r="A452" s="108"/>
      <c r="B452" s="17"/>
      <c r="C452" s="109" t="s">
        <v>5</v>
      </c>
      <c r="D452" s="17"/>
      <c r="E452" s="129" t="s">
        <v>6</v>
      </c>
      <c r="F452" s="74">
        <f t="shared" si="94"/>
        <v>7690.3</v>
      </c>
      <c r="G452" s="74">
        <f t="shared" si="94"/>
        <v>-123.2</v>
      </c>
      <c r="H452" s="74">
        <f t="shared" si="94"/>
        <v>7567.1</v>
      </c>
      <c r="I452" s="74">
        <f t="shared" si="94"/>
        <v>7969.5</v>
      </c>
      <c r="J452" s="74"/>
      <c r="K452" s="74">
        <f t="shared" si="94"/>
        <v>7969.5</v>
      </c>
      <c r="L452" s="74">
        <f t="shared" si="94"/>
        <v>7969.5</v>
      </c>
      <c r="M452" s="74"/>
      <c r="N452" s="74">
        <f t="shared" si="94"/>
        <v>7969.5</v>
      </c>
    </row>
    <row r="453" spans="1:14" ht="25.5" x14ac:dyDescent="0.25">
      <c r="A453" s="111"/>
      <c r="B453" s="112"/>
      <c r="C453" s="113" t="s">
        <v>7</v>
      </c>
      <c r="D453" s="112"/>
      <c r="E453" s="114" t="s">
        <v>8</v>
      </c>
      <c r="F453" s="115">
        <f t="shared" si="94"/>
        <v>7690.3</v>
      </c>
      <c r="G453" s="115">
        <f t="shared" si="94"/>
        <v>-123.2</v>
      </c>
      <c r="H453" s="115">
        <f t="shared" si="94"/>
        <v>7567.1</v>
      </c>
      <c r="I453" s="115">
        <f t="shared" si="94"/>
        <v>7969.5</v>
      </c>
      <c r="J453" s="115"/>
      <c r="K453" s="115">
        <f t="shared" si="94"/>
        <v>7969.5</v>
      </c>
      <c r="L453" s="115">
        <f t="shared" si="94"/>
        <v>7969.5</v>
      </c>
      <c r="M453" s="115"/>
      <c r="N453" s="115">
        <f t="shared" si="94"/>
        <v>7969.5</v>
      </c>
    </row>
    <row r="454" spans="1:14" ht="26.25" x14ac:dyDescent="0.25">
      <c r="A454" s="31"/>
      <c r="B454" s="31"/>
      <c r="C454" s="31" t="s">
        <v>20</v>
      </c>
      <c r="D454" s="31"/>
      <c r="E454" s="52" t="s">
        <v>21</v>
      </c>
      <c r="F454" s="75">
        <f t="shared" si="94"/>
        <v>7690.3</v>
      </c>
      <c r="G454" s="75">
        <f t="shared" si="94"/>
        <v>-123.2</v>
      </c>
      <c r="H454" s="75">
        <f t="shared" si="94"/>
        <v>7567.1</v>
      </c>
      <c r="I454" s="75">
        <f t="shared" si="94"/>
        <v>7969.5</v>
      </c>
      <c r="J454" s="75"/>
      <c r="K454" s="75">
        <f t="shared" si="94"/>
        <v>7969.5</v>
      </c>
      <c r="L454" s="75">
        <f t="shared" si="94"/>
        <v>7969.5</v>
      </c>
      <c r="M454" s="75"/>
      <c r="N454" s="75">
        <f t="shared" si="94"/>
        <v>7969.5</v>
      </c>
    </row>
    <row r="455" spans="1:14" ht="39" x14ac:dyDescent="0.25">
      <c r="A455" s="33"/>
      <c r="B455" s="33"/>
      <c r="C455" s="33" t="s">
        <v>22</v>
      </c>
      <c r="D455" s="33"/>
      <c r="E455" s="34" t="s">
        <v>23</v>
      </c>
      <c r="F455" s="71">
        <f t="shared" si="94"/>
        <v>7690.3</v>
      </c>
      <c r="G455" s="71">
        <f t="shared" si="94"/>
        <v>-123.2</v>
      </c>
      <c r="H455" s="71">
        <f t="shared" si="94"/>
        <v>7567.1</v>
      </c>
      <c r="I455" s="71">
        <f t="shared" si="94"/>
        <v>7969.5</v>
      </c>
      <c r="J455" s="71"/>
      <c r="K455" s="71">
        <f t="shared" si="94"/>
        <v>7969.5</v>
      </c>
      <c r="L455" s="71">
        <f t="shared" si="94"/>
        <v>7969.5</v>
      </c>
      <c r="M455" s="71"/>
      <c r="N455" s="71">
        <f t="shared" si="94"/>
        <v>7969.5</v>
      </c>
    </row>
    <row r="456" spans="1:14" ht="26.25" x14ac:dyDescent="0.25">
      <c r="A456" s="98"/>
      <c r="B456" s="98"/>
      <c r="C456" s="6" t="s">
        <v>28</v>
      </c>
      <c r="D456" s="6"/>
      <c r="E456" s="8" t="s">
        <v>29</v>
      </c>
      <c r="F456" s="70">
        <f>F457</f>
        <v>7690.3</v>
      </c>
      <c r="G456" s="70">
        <f>G457</f>
        <v>-123.2</v>
      </c>
      <c r="H456" s="70">
        <f>H457</f>
        <v>7567.1</v>
      </c>
      <c r="I456" s="70">
        <f t="shared" si="94"/>
        <v>7969.5</v>
      </c>
      <c r="J456" s="70"/>
      <c r="K456" s="70">
        <f t="shared" si="94"/>
        <v>7969.5</v>
      </c>
      <c r="L456" s="70">
        <f t="shared" si="94"/>
        <v>7969.5</v>
      </c>
      <c r="M456" s="70"/>
      <c r="N456" s="70">
        <f t="shared" si="94"/>
        <v>7969.5</v>
      </c>
    </row>
    <row r="457" spans="1:14" x14ac:dyDescent="0.25">
      <c r="A457" s="98"/>
      <c r="B457" s="98"/>
      <c r="C457" s="6"/>
      <c r="D457" s="6" t="s">
        <v>424</v>
      </c>
      <c r="E457" s="3" t="s">
        <v>425</v>
      </c>
      <c r="F457" s="70">
        <v>7690.3</v>
      </c>
      <c r="G457" s="70">
        <v>-123.2</v>
      </c>
      <c r="H457" s="70">
        <f>SUM(F457:G457)</f>
        <v>7567.1</v>
      </c>
      <c r="I457" s="70">
        <v>7969.5</v>
      </c>
      <c r="J457" s="70"/>
      <c r="K457" s="70">
        <v>7969.5</v>
      </c>
      <c r="L457" s="70">
        <v>7969.5</v>
      </c>
      <c r="M457" s="70"/>
      <c r="N457" s="70">
        <v>7969.5</v>
      </c>
    </row>
    <row r="458" spans="1:14" x14ac:dyDescent="0.25">
      <c r="A458" s="108"/>
      <c r="B458" s="17" t="s">
        <v>630</v>
      </c>
      <c r="C458" s="109"/>
      <c r="D458" s="108"/>
      <c r="E458" s="102" t="s">
        <v>631</v>
      </c>
      <c r="F458" s="74">
        <f>F459</f>
        <v>1340.3</v>
      </c>
      <c r="G458" s="74"/>
      <c r="H458" s="74">
        <f>H459</f>
        <v>1340.3</v>
      </c>
      <c r="I458" s="74">
        <f>I459</f>
        <v>0</v>
      </c>
      <c r="J458" s="74"/>
      <c r="K458" s="74">
        <f>K459</f>
        <v>0</v>
      </c>
      <c r="L458" s="74">
        <f>L459</f>
        <v>0</v>
      </c>
      <c r="M458" s="74"/>
      <c r="N458" s="74">
        <f>N459</f>
        <v>0</v>
      </c>
    </row>
    <row r="459" spans="1:14" x14ac:dyDescent="0.25">
      <c r="A459" s="108"/>
      <c r="B459" s="17"/>
      <c r="C459" s="109" t="s">
        <v>5</v>
      </c>
      <c r="D459" s="17"/>
      <c r="E459" s="129" t="s">
        <v>6</v>
      </c>
      <c r="F459" s="74">
        <f>F460+F464</f>
        <v>1340.3</v>
      </c>
      <c r="G459" s="74"/>
      <c r="H459" s="74">
        <f>H460+H464</f>
        <v>1340.3</v>
      </c>
      <c r="I459" s="74">
        <f>I460+I464</f>
        <v>0</v>
      </c>
      <c r="J459" s="74"/>
      <c r="K459" s="74">
        <f>K460+K464</f>
        <v>0</v>
      </c>
      <c r="L459" s="74">
        <f>L460+L464</f>
        <v>0</v>
      </c>
      <c r="M459" s="74"/>
      <c r="N459" s="74">
        <f>N460+N464</f>
        <v>0</v>
      </c>
    </row>
    <row r="460" spans="1:14" ht="25.5" x14ac:dyDescent="0.25">
      <c r="A460" s="111"/>
      <c r="B460" s="112"/>
      <c r="C460" s="113" t="s">
        <v>181</v>
      </c>
      <c r="D460" s="112"/>
      <c r="E460" s="114" t="s">
        <v>632</v>
      </c>
      <c r="F460" s="115">
        <f t="shared" ref="F460:N461" si="95">F461</f>
        <v>0</v>
      </c>
      <c r="G460" s="115"/>
      <c r="H460" s="115">
        <f t="shared" si="95"/>
        <v>0</v>
      </c>
      <c r="I460" s="115">
        <f t="shared" si="95"/>
        <v>0</v>
      </c>
      <c r="J460" s="115"/>
      <c r="K460" s="115">
        <f t="shared" si="95"/>
        <v>0</v>
      </c>
      <c r="L460" s="115">
        <f t="shared" si="95"/>
        <v>0</v>
      </c>
      <c r="M460" s="115"/>
      <c r="N460" s="115">
        <f t="shared" si="95"/>
        <v>0</v>
      </c>
    </row>
    <row r="461" spans="1:14" ht="26.25" x14ac:dyDescent="0.25">
      <c r="A461" s="33"/>
      <c r="B461" s="33"/>
      <c r="C461" s="33" t="s">
        <v>189</v>
      </c>
      <c r="D461" s="33"/>
      <c r="E461" s="34" t="s">
        <v>190</v>
      </c>
      <c r="F461" s="71">
        <f t="shared" si="95"/>
        <v>0</v>
      </c>
      <c r="G461" s="71"/>
      <c r="H461" s="71">
        <f t="shared" si="95"/>
        <v>0</v>
      </c>
      <c r="I461" s="71">
        <f t="shared" si="95"/>
        <v>0</v>
      </c>
      <c r="J461" s="71"/>
      <c r="K461" s="71">
        <f t="shared" si="95"/>
        <v>0</v>
      </c>
      <c r="L461" s="71">
        <f t="shared" si="95"/>
        <v>0</v>
      </c>
      <c r="M461" s="71"/>
      <c r="N461" s="71">
        <f t="shared" si="95"/>
        <v>0</v>
      </c>
    </row>
    <row r="462" spans="1:14" ht="26.25" x14ac:dyDescent="0.25">
      <c r="A462" s="98"/>
      <c r="B462" s="98"/>
      <c r="C462" s="6" t="s">
        <v>191</v>
      </c>
      <c r="D462" s="6"/>
      <c r="E462" s="3" t="s">
        <v>192</v>
      </c>
      <c r="F462" s="70">
        <v>0</v>
      </c>
      <c r="G462" s="70"/>
      <c r="H462" s="70">
        <v>0</v>
      </c>
      <c r="I462" s="70">
        <v>0</v>
      </c>
      <c r="J462" s="70"/>
      <c r="K462" s="70">
        <v>0</v>
      </c>
      <c r="L462" s="70">
        <v>0</v>
      </c>
      <c r="M462" s="70"/>
      <c r="N462" s="70">
        <v>0</v>
      </c>
    </row>
    <row r="463" spans="1:14" x14ac:dyDescent="0.25">
      <c r="A463" s="98"/>
      <c r="B463" s="98"/>
      <c r="C463" s="6"/>
      <c r="D463" s="6" t="s">
        <v>424</v>
      </c>
      <c r="E463" s="3" t="s">
        <v>425</v>
      </c>
      <c r="F463" s="70">
        <v>0</v>
      </c>
      <c r="G463" s="70"/>
      <c r="H463" s="70">
        <v>0</v>
      </c>
      <c r="I463" s="70">
        <v>0</v>
      </c>
      <c r="J463" s="70"/>
      <c r="K463" s="70">
        <v>0</v>
      </c>
      <c r="L463" s="70">
        <v>0</v>
      </c>
      <c r="M463" s="70"/>
      <c r="N463" s="70">
        <v>0</v>
      </c>
    </row>
    <row r="464" spans="1:14" ht="25.5" x14ac:dyDescent="0.25">
      <c r="A464" s="111"/>
      <c r="B464" s="112"/>
      <c r="C464" s="113" t="s">
        <v>201</v>
      </c>
      <c r="D464" s="112"/>
      <c r="E464" s="114" t="s">
        <v>202</v>
      </c>
      <c r="F464" s="115">
        <f>F465</f>
        <v>1340.3</v>
      </c>
      <c r="G464" s="115"/>
      <c r="H464" s="115">
        <f>H465</f>
        <v>1340.3</v>
      </c>
      <c r="I464" s="115">
        <f t="shared" ref="I464:N466" si="96">I465</f>
        <v>0</v>
      </c>
      <c r="J464" s="115"/>
      <c r="K464" s="115">
        <f t="shared" si="96"/>
        <v>0</v>
      </c>
      <c r="L464" s="115">
        <f t="shared" si="96"/>
        <v>0</v>
      </c>
      <c r="M464" s="115"/>
      <c r="N464" s="115">
        <f t="shared" si="96"/>
        <v>0</v>
      </c>
    </row>
    <row r="465" spans="1:14" ht="26.25" x14ac:dyDescent="0.25">
      <c r="A465" s="33"/>
      <c r="B465" s="33"/>
      <c r="C465" s="33" t="s">
        <v>203</v>
      </c>
      <c r="D465" s="33"/>
      <c r="E465" s="34" t="s">
        <v>868</v>
      </c>
      <c r="F465" s="71">
        <f>F466</f>
        <v>1340.3</v>
      </c>
      <c r="G465" s="71"/>
      <c r="H465" s="71">
        <f>H466</f>
        <v>1340.3</v>
      </c>
      <c r="I465" s="71">
        <f t="shared" si="96"/>
        <v>0</v>
      </c>
      <c r="J465" s="71"/>
      <c r="K465" s="71">
        <f t="shared" si="96"/>
        <v>0</v>
      </c>
      <c r="L465" s="71">
        <f t="shared" si="96"/>
        <v>0</v>
      </c>
      <c r="M465" s="71"/>
      <c r="N465" s="71">
        <f t="shared" si="96"/>
        <v>0</v>
      </c>
    </row>
    <row r="466" spans="1:14" ht="26.25" x14ac:dyDescent="0.25">
      <c r="A466" s="98"/>
      <c r="B466" s="98"/>
      <c r="C466" s="6" t="s">
        <v>207</v>
      </c>
      <c r="D466" s="6"/>
      <c r="E466" s="13" t="s">
        <v>208</v>
      </c>
      <c r="F466" s="70">
        <f>F467</f>
        <v>1340.3</v>
      </c>
      <c r="G466" s="70"/>
      <c r="H466" s="70">
        <f>H467</f>
        <v>1340.3</v>
      </c>
      <c r="I466" s="70">
        <f t="shared" si="96"/>
        <v>0</v>
      </c>
      <c r="J466" s="70"/>
      <c r="K466" s="70">
        <f t="shared" si="96"/>
        <v>0</v>
      </c>
      <c r="L466" s="70">
        <f t="shared" si="96"/>
        <v>0</v>
      </c>
      <c r="M466" s="70"/>
      <c r="N466" s="70">
        <f t="shared" si="96"/>
        <v>0</v>
      </c>
    </row>
    <row r="467" spans="1:14" x14ac:dyDescent="0.25">
      <c r="A467" s="98"/>
      <c r="B467" s="98"/>
      <c r="C467" s="6"/>
      <c r="D467" s="6" t="s">
        <v>424</v>
      </c>
      <c r="E467" s="3" t="s">
        <v>425</v>
      </c>
      <c r="F467" s="70">
        <v>1340.3</v>
      </c>
      <c r="G467" s="70"/>
      <c r="H467" s="70">
        <v>1340.3</v>
      </c>
      <c r="I467" s="70">
        <v>0</v>
      </c>
      <c r="J467" s="70"/>
      <c r="K467" s="70">
        <v>0</v>
      </c>
      <c r="L467" s="70">
        <v>0</v>
      </c>
      <c r="M467" s="70"/>
      <c r="N467" s="70">
        <v>0</v>
      </c>
    </row>
    <row r="468" spans="1:14" x14ac:dyDescent="0.25">
      <c r="A468" s="98"/>
      <c r="B468" s="17">
        <v>1004</v>
      </c>
      <c r="C468" s="109"/>
      <c r="D468" s="108"/>
      <c r="E468" s="102" t="s">
        <v>633</v>
      </c>
      <c r="F468" s="74">
        <f t="shared" ref="F468:N469" si="97">F469</f>
        <v>11683.954</v>
      </c>
      <c r="G468" s="74">
        <f t="shared" si="97"/>
        <v>0</v>
      </c>
      <c r="H468" s="74">
        <f t="shared" si="97"/>
        <v>11683.954</v>
      </c>
      <c r="I468" s="74">
        <f t="shared" si="97"/>
        <v>10718.589</v>
      </c>
      <c r="J468" s="74"/>
      <c r="K468" s="74">
        <f t="shared" si="97"/>
        <v>10718.589</v>
      </c>
      <c r="L468" s="74">
        <f>L469</f>
        <v>992.88800000000003</v>
      </c>
      <c r="M468" s="74"/>
      <c r="N468" s="74">
        <f t="shared" si="97"/>
        <v>992.88800000000003</v>
      </c>
    </row>
    <row r="469" spans="1:14" x14ac:dyDescent="0.25">
      <c r="A469" s="98"/>
      <c r="B469" s="17"/>
      <c r="C469" s="109" t="s">
        <v>5</v>
      </c>
      <c r="D469" s="17"/>
      <c r="E469" s="129" t="s">
        <v>594</v>
      </c>
      <c r="F469" s="74">
        <f t="shared" si="97"/>
        <v>11683.954</v>
      </c>
      <c r="G469" s="74">
        <f t="shared" si="97"/>
        <v>0</v>
      </c>
      <c r="H469" s="74">
        <f t="shared" si="97"/>
        <v>11683.954</v>
      </c>
      <c r="I469" s="74">
        <f t="shared" si="97"/>
        <v>10718.589</v>
      </c>
      <c r="J469" s="74"/>
      <c r="K469" s="74">
        <f t="shared" si="97"/>
        <v>10718.589</v>
      </c>
      <c r="L469" s="74">
        <f>L470</f>
        <v>992.88800000000003</v>
      </c>
      <c r="M469" s="74"/>
      <c r="N469" s="74">
        <f t="shared" si="97"/>
        <v>992.88800000000003</v>
      </c>
    </row>
    <row r="470" spans="1:14" ht="25.5" x14ac:dyDescent="0.25">
      <c r="A470" s="111"/>
      <c r="B470" s="112"/>
      <c r="C470" s="113" t="s">
        <v>181</v>
      </c>
      <c r="D470" s="112"/>
      <c r="E470" s="114" t="s">
        <v>182</v>
      </c>
      <c r="F470" s="115">
        <f t="shared" ref="F470:L470" si="98">F471+F479</f>
        <v>11683.954</v>
      </c>
      <c r="G470" s="115">
        <f t="shared" si="98"/>
        <v>0</v>
      </c>
      <c r="H470" s="115">
        <f t="shared" si="98"/>
        <v>11683.954</v>
      </c>
      <c r="I470" s="115">
        <f t="shared" si="98"/>
        <v>10718.589</v>
      </c>
      <c r="J470" s="115"/>
      <c r="K470" s="115">
        <f t="shared" si="98"/>
        <v>10718.589</v>
      </c>
      <c r="L470" s="115">
        <f t="shared" si="98"/>
        <v>992.88800000000003</v>
      </c>
      <c r="M470" s="115"/>
      <c r="N470" s="115">
        <f>N471+N479</f>
        <v>992.88800000000003</v>
      </c>
    </row>
    <row r="471" spans="1:14" x14ac:dyDescent="0.25">
      <c r="A471" s="33"/>
      <c r="B471" s="33"/>
      <c r="C471" s="33" t="s">
        <v>183</v>
      </c>
      <c r="D471" s="33"/>
      <c r="E471" s="34" t="s">
        <v>184</v>
      </c>
      <c r="F471" s="71">
        <f>F474+F472</f>
        <v>8569.2489999999998</v>
      </c>
      <c r="G471" s="71">
        <f>G474+G472</f>
        <v>0</v>
      </c>
      <c r="H471" s="71">
        <f>H474+H472</f>
        <v>8569.2489999999998</v>
      </c>
      <c r="I471" s="71">
        <f>I474+I472</f>
        <v>7603.884</v>
      </c>
      <c r="J471" s="71"/>
      <c r="K471" s="71">
        <f>K474+K472</f>
        <v>7603.884</v>
      </c>
      <c r="L471" s="71">
        <f>L474+L472</f>
        <v>992.88800000000003</v>
      </c>
      <c r="M471" s="71"/>
      <c r="N471" s="71">
        <f>N474+N472</f>
        <v>992.88800000000003</v>
      </c>
    </row>
    <row r="472" spans="1:14" s="39" customFormat="1" ht="51.75" x14ac:dyDescent="0.25">
      <c r="A472" s="12"/>
      <c r="B472" s="12"/>
      <c r="C472" s="6" t="s">
        <v>185</v>
      </c>
      <c r="D472" s="6"/>
      <c r="E472" s="3" t="s">
        <v>536</v>
      </c>
      <c r="F472" s="70">
        <f>F473</f>
        <v>7398.1419999999998</v>
      </c>
      <c r="G472" s="70"/>
      <c r="H472" s="70">
        <f>H473</f>
        <v>7398.1419999999998</v>
      </c>
      <c r="I472" s="70">
        <f>I473</f>
        <v>7603.884</v>
      </c>
      <c r="J472" s="70"/>
      <c r="K472" s="70">
        <f>K473</f>
        <v>7603.884</v>
      </c>
      <c r="L472" s="70">
        <f>L473</f>
        <v>0</v>
      </c>
      <c r="M472" s="70"/>
      <c r="N472" s="70">
        <f>N473</f>
        <v>0</v>
      </c>
    </row>
    <row r="473" spans="1:14" s="39" customFormat="1" x14ac:dyDescent="0.25">
      <c r="A473" s="12"/>
      <c r="B473" s="12"/>
      <c r="C473" s="6"/>
      <c r="D473" s="6" t="s">
        <v>424</v>
      </c>
      <c r="E473" s="3" t="s">
        <v>425</v>
      </c>
      <c r="F473" s="70">
        <v>7398.1419999999998</v>
      </c>
      <c r="G473" s="70"/>
      <c r="H473" s="70">
        <v>7398.1419999999998</v>
      </c>
      <c r="I473" s="70">
        <v>7603.884</v>
      </c>
      <c r="J473" s="70"/>
      <c r="K473" s="70">
        <v>7603.884</v>
      </c>
      <c r="L473" s="70">
        <v>0</v>
      </c>
      <c r="M473" s="70"/>
      <c r="N473" s="70">
        <v>0</v>
      </c>
    </row>
    <row r="474" spans="1:14" ht="39" x14ac:dyDescent="0.25">
      <c r="A474" s="6"/>
      <c r="B474" s="6"/>
      <c r="C474" s="6" t="s">
        <v>187</v>
      </c>
      <c r="D474" s="6"/>
      <c r="E474" s="54" t="s">
        <v>795</v>
      </c>
      <c r="F474" s="70">
        <f>F475</f>
        <v>1171.107</v>
      </c>
      <c r="G474" s="70">
        <f>G475</f>
        <v>0</v>
      </c>
      <c r="H474" s="70">
        <f>H475</f>
        <v>1171.107</v>
      </c>
      <c r="I474" s="70">
        <v>0</v>
      </c>
      <c r="J474" s="70"/>
      <c r="K474" s="70">
        <v>0</v>
      </c>
      <c r="L474" s="70">
        <f>L475</f>
        <v>992.88800000000003</v>
      </c>
      <c r="M474" s="70"/>
      <c r="N474" s="70">
        <f>N475</f>
        <v>992.88800000000003</v>
      </c>
    </row>
    <row r="475" spans="1:14" x14ac:dyDescent="0.25">
      <c r="A475" s="6"/>
      <c r="B475" s="6"/>
      <c r="C475" s="6"/>
      <c r="D475" s="6" t="s">
        <v>424</v>
      </c>
      <c r="E475" s="3" t="s">
        <v>425</v>
      </c>
      <c r="F475" s="70">
        <f>F478</f>
        <v>1171.107</v>
      </c>
      <c r="G475" s="70">
        <f>G478</f>
        <v>0</v>
      </c>
      <c r="H475" s="70">
        <f>H478</f>
        <v>1171.107</v>
      </c>
      <c r="I475" s="70">
        <v>0</v>
      </c>
      <c r="J475" s="70"/>
      <c r="K475" s="70">
        <v>0</v>
      </c>
      <c r="L475" s="70">
        <f>L478</f>
        <v>992.88800000000003</v>
      </c>
      <c r="M475" s="70"/>
      <c r="N475" s="70">
        <f>N478</f>
        <v>992.88800000000003</v>
      </c>
    </row>
    <row r="476" spans="1:14" x14ac:dyDescent="0.25">
      <c r="A476" s="6"/>
      <c r="B476" s="6"/>
      <c r="C476" s="6"/>
      <c r="D476" s="6"/>
      <c r="E476" s="3" t="s">
        <v>188</v>
      </c>
      <c r="F476" s="70">
        <v>0</v>
      </c>
      <c r="G476" s="70"/>
      <c r="H476" s="70">
        <v>0</v>
      </c>
      <c r="I476" s="70">
        <v>0</v>
      </c>
      <c r="J476" s="70"/>
      <c r="K476" s="70">
        <v>0</v>
      </c>
      <c r="L476" s="70">
        <v>0</v>
      </c>
      <c r="M476" s="70"/>
      <c r="N476" s="70">
        <v>0</v>
      </c>
    </row>
    <row r="477" spans="1:14" x14ac:dyDescent="0.25">
      <c r="A477" s="6"/>
      <c r="B477" s="6"/>
      <c r="C477" s="6"/>
      <c r="D477" s="6"/>
      <c r="E477" s="3" t="s">
        <v>186</v>
      </c>
      <c r="F477" s="70">
        <v>0</v>
      </c>
      <c r="G477" s="70"/>
      <c r="H477" s="70">
        <v>0</v>
      </c>
      <c r="I477" s="70">
        <v>0</v>
      </c>
      <c r="J477" s="70"/>
      <c r="K477" s="70">
        <v>0</v>
      </c>
      <c r="L477" s="70">
        <v>0</v>
      </c>
      <c r="M477" s="70"/>
      <c r="N477" s="70">
        <v>0</v>
      </c>
    </row>
    <row r="478" spans="1:14" x14ac:dyDescent="0.25">
      <c r="A478" s="6"/>
      <c r="B478" s="6"/>
      <c r="C478" s="6"/>
      <c r="D478" s="6"/>
      <c r="E478" s="3" t="s">
        <v>150</v>
      </c>
      <c r="F478" s="70">
        <v>1171.107</v>
      </c>
      <c r="G478" s="70"/>
      <c r="H478" s="70">
        <v>1171.107</v>
      </c>
      <c r="I478" s="70">
        <v>0</v>
      </c>
      <c r="J478" s="70"/>
      <c r="K478" s="70">
        <v>0</v>
      </c>
      <c r="L478" s="70">
        <v>992.88800000000003</v>
      </c>
      <c r="M478" s="70"/>
      <c r="N478" s="70">
        <v>992.88800000000003</v>
      </c>
    </row>
    <row r="479" spans="1:14" ht="39" x14ac:dyDescent="0.25">
      <c r="A479" s="33"/>
      <c r="B479" s="33"/>
      <c r="C479" s="33" t="s">
        <v>193</v>
      </c>
      <c r="D479" s="33"/>
      <c r="E479" s="34" t="s">
        <v>194</v>
      </c>
      <c r="F479" s="71">
        <f t="shared" ref="F479:N480" si="99">F480</f>
        <v>3114.7049999999999</v>
      </c>
      <c r="G479" s="71"/>
      <c r="H479" s="71">
        <f t="shared" si="99"/>
        <v>3114.7049999999999</v>
      </c>
      <c r="I479" s="71">
        <f t="shared" si="99"/>
        <v>3114.7049999999999</v>
      </c>
      <c r="J479" s="71"/>
      <c r="K479" s="71">
        <f t="shared" si="99"/>
        <v>3114.7049999999999</v>
      </c>
      <c r="L479" s="71">
        <f t="shared" si="99"/>
        <v>0</v>
      </c>
      <c r="M479" s="71"/>
      <c r="N479" s="71">
        <f t="shared" si="99"/>
        <v>0</v>
      </c>
    </row>
    <row r="480" spans="1:14" ht="64.5" x14ac:dyDescent="0.25">
      <c r="A480" s="98"/>
      <c r="B480" s="98"/>
      <c r="C480" s="6" t="s">
        <v>197</v>
      </c>
      <c r="D480" s="6"/>
      <c r="E480" s="46" t="s">
        <v>198</v>
      </c>
      <c r="F480" s="70">
        <f t="shared" si="99"/>
        <v>3114.7049999999999</v>
      </c>
      <c r="G480" s="70"/>
      <c r="H480" s="70">
        <f t="shared" si="99"/>
        <v>3114.7049999999999</v>
      </c>
      <c r="I480" s="70">
        <f t="shared" si="99"/>
        <v>3114.7049999999999</v>
      </c>
      <c r="J480" s="70"/>
      <c r="K480" s="70">
        <f t="shared" si="99"/>
        <v>3114.7049999999999</v>
      </c>
      <c r="L480" s="70">
        <f t="shared" si="99"/>
        <v>0</v>
      </c>
      <c r="M480" s="70"/>
      <c r="N480" s="70">
        <f t="shared" si="99"/>
        <v>0</v>
      </c>
    </row>
    <row r="481" spans="1:14" ht="26.25" x14ac:dyDescent="0.25">
      <c r="A481" s="98"/>
      <c r="B481" s="98"/>
      <c r="C481" s="6"/>
      <c r="D481" s="6" t="s">
        <v>299</v>
      </c>
      <c r="E481" s="3" t="s">
        <v>300</v>
      </c>
      <c r="F481" s="80">
        <v>3114.7049999999999</v>
      </c>
      <c r="G481" s="80"/>
      <c r="H481" s="80">
        <v>3114.7049999999999</v>
      </c>
      <c r="I481" s="80">
        <v>3114.7049999999999</v>
      </c>
      <c r="J481" s="80"/>
      <c r="K481" s="80">
        <v>3114.7049999999999</v>
      </c>
      <c r="L481" s="80">
        <v>0</v>
      </c>
      <c r="M481" s="80"/>
      <c r="N481" s="80">
        <v>0</v>
      </c>
    </row>
    <row r="482" spans="1:14" x14ac:dyDescent="0.25">
      <c r="A482" s="98"/>
      <c r="B482" s="17" t="s">
        <v>634</v>
      </c>
      <c r="C482" s="109"/>
      <c r="D482" s="108"/>
      <c r="E482" s="102" t="s">
        <v>635</v>
      </c>
      <c r="F482" s="74">
        <f t="shared" ref="F482:N486" si="100">F483</f>
        <v>98.75779</v>
      </c>
      <c r="G482" s="74"/>
      <c r="H482" s="74">
        <f t="shared" si="100"/>
        <v>98.75779</v>
      </c>
      <c r="I482" s="74">
        <f t="shared" si="100"/>
        <v>107.06657</v>
      </c>
      <c r="J482" s="74"/>
      <c r="K482" s="74">
        <f t="shared" si="100"/>
        <v>107.06657</v>
      </c>
      <c r="L482" s="74">
        <f t="shared" si="100"/>
        <v>107.58566</v>
      </c>
      <c r="M482" s="74"/>
      <c r="N482" s="74">
        <f t="shared" si="100"/>
        <v>107.58566</v>
      </c>
    </row>
    <row r="483" spans="1:14" x14ac:dyDescent="0.25">
      <c r="A483" s="98"/>
      <c r="B483" s="17"/>
      <c r="C483" s="109" t="s">
        <v>5</v>
      </c>
      <c r="D483" s="17"/>
      <c r="E483" s="129" t="s">
        <v>594</v>
      </c>
      <c r="F483" s="74">
        <f t="shared" si="100"/>
        <v>98.75779</v>
      </c>
      <c r="G483" s="74"/>
      <c r="H483" s="74">
        <f t="shared" si="100"/>
        <v>98.75779</v>
      </c>
      <c r="I483" s="74">
        <f t="shared" si="100"/>
        <v>107.06657</v>
      </c>
      <c r="J483" s="74"/>
      <c r="K483" s="74">
        <f t="shared" si="100"/>
        <v>107.06657</v>
      </c>
      <c r="L483" s="74">
        <f t="shared" si="100"/>
        <v>107.58566</v>
      </c>
      <c r="M483" s="74"/>
      <c r="N483" s="74">
        <f t="shared" si="100"/>
        <v>107.58566</v>
      </c>
    </row>
    <row r="484" spans="1:14" ht="25.5" x14ac:dyDescent="0.25">
      <c r="A484" s="111"/>
      <c r="B484" s="112"/>
      <c r="C484" s="113" t="s">
        <v>181</v>
      </c>
      <c r="D484" s="112"/>
      <c r="E484" s="114" t="s">
        <v>182</v>
      </c>
      <c r="F484" s="115">
        <f t="shared" si="100"/>
        <v>98.75779</v>
      </c>
      <c r="G484" s="115"/>
      <c r="H484" s="115">
        <f t="shared" si="100"/>
        <v>98.75779</v>
      </c>
      <c r="I484" s="115">
        <f t="shared" si="100"/>
        <v>107.06657</v>
      </c>
      <c r="J484" s="115"/>
      <c r="K484" s="115">
        <f t="shared" si="100"/>
        <v>107.06657</v>
      </c>
      <c r="L484" s="115">
        <f t="shared" si="100"/>
        <v>107.58566</v>
      </c>
      <c r="M484" s="115"/>
      <c r="N484" s="115">
        <f t="shared" si="100"/>
        <v>107.58566</v>
      </c>
    </row>
    <row r="485" spans="1:14" ht="39" x14ac:dyDescent="0.25">
      <c r="A485" s="33"/>
      <c r="B485" s="33"/>
      <c r="C485" s="33" t="s">
        <v>193</v>
      </c>
      <c r="D485" s="33"/>
      <c r="E485" s="34" t="s">
        <v>194</v>
      </c>
      <c r="F485" s="71">
        <f t="shared" si="100"/>
        <v>98.75779</v>
      </c>
      <c r="G485" s="71"/>
      <c r="H485" s="71">
        <f t="shared" si="100"/>
        <v>98.75779</v>
      </c>
      <c r="I485" s="71">
        <f t="shared" si="100"/>
        <v>107.06657</v>
      </c>
      <c r="J485" s="71"/>
      <c r="K485" s="71">
        <f t="shared" si="100"/>
        <v>107.06657</v>
      </c>
      <c r="L485" s="71">
        <f t="shared" si="100"/>
        <v>107.58566</v>
      </c>
      <c r="M485" s="71"/>
      <c r="N485" s="71">
        <f t="shared" si="100"/>
        <v>107.58566</v>
      </c>
    </row>
    <row r="486" spans="1:14" ht="26.25" x14ac:dyDescent="0.25">
      <c r="A486" s="98"/>
      <c r="B486" s="98"/>
      <c r="C486" s="6" t="s">
        <v>195</v>
      </c>
      <c r="D486" s="6"/>
      <c r="E486" s="3" t="s">
        <v>196</v>
      </c>
      <c r="F486" s="70">
        <f>F487</f>
        <v>98.75779</v>
      </c>
      <c r="G486" s="70"/>
      <c r="H486" s="70">
        <f>H487</f>
        <v>98.75779</v>
      </c>
      <c r="I486" s="70">
        <f t="shared" si="100"/>
        <v>107.06657</v>
      </c>
      <c r="J486" s="70"/>
      <c r="K486" s="70">
        <f t="shared" si="100"/>
        <v>107.06657</v>
      </c>
      <c r="L486" s="70">
        <f t="shared" si="100"/>
        <v>107.58566</v>
      </c>
      <c r="M486" s="70"/>
      <c r="N486" s="70">
        <f t="shared" si="100"/>
        <v>107.58566</v>
      </c>
    </row>
    <row r="487" spans="1:14" x14ac:dyDescent="0.25">
      <c r="A487" s="98"/>
      <c r="B487" s="98"/>
      <c r="C487" s="6"/>
      <c r="D487" s="6" t="s">
        <v>281</v>
      </c>
      <c r="E487" s="3" t="s">
        <v>282</v>
      </c>
      <c r="F487" s="70">
        <v>98.75779</v>
      </c>
      <c r="G487" s="70"/>
      <c r="H487" s="70">
        <f>SUM(F487:G487)</f>
        <v>98.75779</v>
      </c>
      <c r="I487" s="70">
        <v>107.06657</v>
      </c>
      <c r="J487" s="70"/>
      <c r="K487" s="70">
        <f>SUM(I487:J487)</f>
        <v>107.06657</v>
      </c>
      <c r="L487" s="70">
        <v>107.58566</v>
      </c>
      <c r="M487" s="70"/>
      <c r="N487" s="70">
        <f>SUM(L487:M487)</f>
        <v>107.58566</v>
      </c>
    </row>
    <row r="488" spans="1:14" ht="25.5" x14ac:dyDescent="0.25">
      <c r="A488" s="106">
        <v>611</v>
      </c>
      <c r="B488" s="153"/>
      <c r="C488" s="154"/>
      <c r="D488" s="106"/>
      <c r="E488" s="107" t="s">
        <v>636</v>
      </c>
      <c r="F488" s="155">
        <f t="shared" ref="F488:M488" si="101">F489+F497+F617+F650</f>
        <v>489799.34706000006</v>
      </c>
      <c r="G488" s="155">
        <f t="shared" si="101"/>
        <v>-1485.4300000000003</v>
      </c>
      <c r="H488" s="155">
        <f t="shared" si="101"/>
        <v>488313.91706000001</v>
      </c>
      <c r="I488" s="155">
        <f t="shared" si="101"/>
        <v>479837.54299000005</v>
      </c>
      <c r="J488" s="155">
        <f t="shared" si="101"/>
        <v>116.3</v>
      </c>
      <c r="K488" s="155">
        <f t="shared" si="101"/>
        <v>479953.84299000009</v>
      </c>
      <c r="L488" s="155">
        <f t="shared" si="101"/>
        <v>448472.15338999999</v>
      </c>
      <c r="M488" s="155">
        <f t="shared" si="101"/>
        <v>116.3</v>
      </c>
      <c r="N488" s="155">
        <f>N489+N497+N617+N650</f>
        <v>448588.45338999998</v>
      </c>
    </row>
    <row r="489" spans="1:14" x14ac:dyDescent="0.25">
      <c r="A489" s="108"/>
      <c r="B489" s="17" t="s">
        <v>565</v>
      </c>
      <c r="C489" s="109"/>
      <c r="D489" s="108"/>
      <c r="E489" s="102" t="s">
        <v>573</v>
      </c>
      <c r="F489" s="74">
        <f t="shared" ref="F489:N494" si="102">F490</f>
        <v>9</v>
      </c>
      <c r="G489" s="74"/>
      <c r="H489" s="74">
        <f t="shared" si="102"/>
        <v>9</v>
      </c>
      <c r="I489" s="74">
        <f t="shared" si="102"/>
        <v>9.3000000000000007</v>
      </c>
      <c r="J489" s="74"/>
      <c r="K489" s="74">
        <f t="shared" si="102"/>
        <v>9.3000000000000007</v>
      </c>
      <c r="L489" s="74">
        <f t="shared" si="102"/>
        <v>9.6999999999999993</v>
      </c>
      <c r="M489" s="74"/>
      <c r="N489" s="74">
        <f t="shared" si="102"/>
        <v>9.6999999999999993</v>
      </c>
    </row>
    <row r="490" spans="1:14" x14ac:dyDescent="0.25">
      <c r="A490" s="108"/>
      <c r="B490" s="17" t="s">
        <v>570</v>
      </c>
      <c r="C490" s="109"/>
      <c r="D490" s="108"/>
      <c r="E490" s="102" t="s">
        <v>581</v>
      </c>
      <c r="F490" s="74">
        <f t="shared" si="102"/>
        <v>9</v>
      </c>
      <c r="G490" s="74"/>
      <c r="H490" s="74">
        <f t="shared" si="102"/>
        <v>9</v>
      </c>
      <c r="I490" s="74">
        <f t="shared" si="102"/>
        <v>9.3000000000000007</v>
      </c>
      <c r="J490" s="74"/>
      <c r="K490" s="74">
        <f t="shared" si="102"/>
        <v>9.3000000000000007</v>
      </c>
      <c r="L490" s="74">
        <f t="shared" si="102"/>
        <v>9.6999999999999993</v>
      </c>
      <c r="M490" s="74"/>
      <c r="N490" s="74">
        <f t="shared" si="102"/>
        <v>9.6999999999999993</v>
      </c>
    </row>
    <row r="491" spans="1:14" x14ac:dyDescent="0.25">
      <c r="A491" s="108"/>
      <c r="B491" s="17"/>
      <c r="C491" s="109" t="s">
        <v>5</v>
      </c>
      <c r="D491" s="108"/>
      <c r="E491" s="129" t="s">
        <v>6</v>
      </c>
      <c r="F491" s="130">
        <f t="shared" si="102"/>
        <v>9</v>
      </c>
      <c r="G491" s="130"/>
      <c r="H491" s="130">
        <f t="shared" si="102"/>
        <v>9</v>
      </c>
      <c r="I491" s="130">
        <f t="shared" si="102"/>
        <v>9.3000000000000007</v>
      </c>
      <c r="J491" s="130"/>
      <c r="K491" s="130">
        <f t="shared" si="102"/>
        <v>9.3000000000000007</v>
      </c>
      <c r="L491" s="130">
        <f t="shared" si="102"/>
        <v>9.6999999999999993</v>
      </c>
      <c r="M491" s="130"/>
      <c r="N491" s="130">
        <f t="shared" si="102"/>
        <v>9.6999999999999993</v>
      </c>
    </row>
    <row r="492" spans="1:14" ht="25.5" x14ac:dyDescent="0.25">
      <c r="A492" s="111"/>
      <c r="B492" s="112"/>
      <c r="C492" s="113" t="s">
        <v>160</v>
      </c>
      <c r="D492" s="112"/>
      <c r="E492" s="114" t="s">
        <v>161</v>
      </c>
      <c r="F492" s="115">
        <f t="shared" si="102"/>
        <v>9</v>
      </c>
      <c r="G492" s="115"/>
      <c r="H492" s="115">
        <f t="shared" si="102"/>
        <v>9</v>
      </c>
      <c r="I492" s="115">
        <f t="shared" si="102"/>
        <v>9.3000000000000007</v>
      </c>
      <c r="J492" s="115"/>
      <c r="K492" s="115">
        <f t="shared" si="102"/>
        <v>9.3000000000000007</v>
      </c>
      <c r="L492" s="115">
        <f t="shared" si="102"/>
        <v>9.6999999999999993</v>
      </c>
      <c r="M492" s="115"/>
      <c r="N492" s="115">
        <f t="shared" si="102"/>
        <v>9.6999999999999993</v>
      </c>
    </row>
    <row r="493" spans="1:14" ht="26.25" x14ac:dyDescent="0.25">
      <c r="A493" s="31"/>
      <c r="B493" s="31"/>
      <c r="C493" s="31" t="s">
        <v>168</v>
      </c>
      <c r="D493" s="31"/>
      <c r="E493" s="32" t="s">
        <v>169</v>
      </c>
      <c r="F493" s="75">
        <f t="shared" si="102"/>
        <v>9</v>
      </c>
      <c r="G493" s="75"/>
      <c r="H493" s="75">
        <f t="shared" si="102"/>
        <v>9</v>
      </c>
      <c r="I493" s="75">
        <f t="shared" si="102"/>
        <v>9.3000000000000007</v>
      </c>
      <c r="J493" s="75"/>
      <c r="K493" s="75">
        <f t="shared" si="102"/>
        <v>9.3000000000000007</v>
      </c>
      <c r="L493" s="75">
        <f t="shared" si="102"/>
        <v>9.6999999999999993</v>
      </c>
      <c r="M493" s="75"/>
      <c r="N493" s="75">
        <f t="shared" si="102"/>
        <v>9.6999999999999993</v>
      </c>
    </row>
    <row r="494" spans="1:14" ht="26.25" x14ac:dyDescent="0.25">
      <c r="A494" s="33"/>
      <c r="B494" s="33"/>
      <c r="C494" s="33" t="s">
        <v>170</v>
      </c>
      <c r="D494" s="33"/>
      <c r="E494" s="34" t="s">
        <v>171</v>
      </c>
      <c r="F494" s="71">
        <f t="shared" si="102"/>
        <v>9</v>
      </c>
      <c r="G494" s="71"/>
      <c r="H494" s="71">
        <f t="shared" si="102"/>
        <v>9</v>
      </c>
      <c r="I494" s="71">
        <f t="shared" si="102"/>
        <v>9.3000000000000007</v>
      </c>
      <c r="J494" s="71"/>
      <c r="K494" s="71">
        <f t="shared" si="102"/>
        <v>9.3000000000000007</v>
      </c>
      <c r="L494" s="71">
        <f t="shared" si="102"/>
        <v>9.6999999999999993</v>
      </c>
      <c r="M494" s="71"/>
      <c r="N494" s="71">
        <f t="shared" si="102"/>
        <v>9.6999999999999993</v>
      </c>
    </row>
    <row r="495" spans="1:14" x14ac:dyDescent="0.25">
      <c r="A495" s="98"/>
      <c r="B495" s="98"/>
      <c r="C495" s="6" t="s">
        <v>172</v>
      </c>
      <c r="D495" s="6"/>
      <c r="E495" s="3" t="s">
        <v>534</v>
      </c>
      <c r="F495" s="70">
        <v>9</v>
      </c>
      <c r="G495" s="70"/>
      <c r="H495" s="70">
        <v>9</v>
      </c>
      <c r="I495" s="70">
        <f>I496</f>
        <v>9.3000000000000007</v>
      </c>
      <c r="J495" s="70"/>
      <c r="K495" s="70">
        <f>K496</f>
        <v>9.3000000000000007</v>
      </c>
      <c r="L495" s="70">
        <v>9.6999999999999993</v>
      </c>
      <c r="M495" s="70"/>
      <c r="N495" s="70">
        <v>9.6999999999999993</v>
      </c>
    </row>
    <row r="496" spans="1:14" ht="26.25" x14ac:dyDescent="0.25">
      <c r="A496" s="98"/>
      <c r="B496" s="98"/>
      <c r="C496" s="6"/>
      <c r="D496" s="6" t="s">
        <v>471</v>
      </c>
      <c r="E496" s="3" t="s">
        <v>472</v>
      </c>
      <c r="F496" s="70">
        <v>9</v>
      </c>
      <c r="G496" s="70"/>
      <c r="H496" s="70">
        <v>9</v>
      </c>
      <c r="I496" s="70">
        <v>9.3000000000000007</v>
      </c>
      <c r="J496" s="70"/>
      <c r="K496" s="70">
        <v>9.3000000000000007</v>
      </c>
      <c r="L496" s="70">
        <v>9.6999999999999993</v>
      </c>
      <c r="M496" s="70"/>
      <c r="N496" s="70">
        <v>9.6999999999999993</v>
      </c>
    </row>
    <row r="497" spans="1:14" x14ac:dyDescent="0.25">
      <c r="A497" s="68"/>
      <c r="B497" s="17" t="s">
        <v>616</v>
      </c>
      <c r="C497" s="109"/>
      <c r="D497" s="108"/>
      <c r="E497" s="102" t="s">
        <v>617</v>
      </c>
      <c r="F497" s="74">
        <f t="shared" ref="F497:N497" si="103">F498+F518+F563+F576</f>
        <v>456091.25333000004</v>
      </c>
      <c r="G497" s="74">
        <f t="shared" si="103"/>
        <v>-1447.1000000000004</v>
      </c>
      <c r="H497" s="74">
        <f t="shared" si="103"/>
        <v>454644.15333</v>
      </c>
      <c r="I497" s="74">
        <f t="shared" si="103"/>
        <v>451633.45720000006</v>
      </c>
      <c r="J497" s="74">
        <f t="shared" si="103"/>
        <v>116.3</v>
      </c>
      <c r="K497" s="74">
        <f t="shared" si="103"/>
        <v>451749.75720000011</v>
      </c>
      <c r="L497" s="74">
        <f t="shared" si="103"/>
        <v>420538.8676</v>
      </c>
      <c r="M497" s="74">
        <f t="shared" si="103"/>
        <v>116.3</v>
      </c>
      <c r="N497" s="74">
        <f t="shared" si="103"/>
        <v>420655.16759999999</v>
      </c>
    </row>
    <row r="498" spans="1:14" x14ac:dyDescent="0.25">
      <c r="A498" s="68"/>
      <c r="B498" s="17" t="s">
        <v>637</v>
      </c>
      <c r="C498" s="109"/>
      <c r="D498" s="108"/>
      <c r="E498" s="102" t="s">
        <v>638</v>
      </c>
      <c r="F498" s="74">
        <f t="shared" ref="F498:H499" si="104">F499</f>
        <v>108808.099</v>
      </c>
      <c r="G498" s="74">
        <f t="shared" si="104"/>
        <v>-1194.2000000000003</v>
      </c>
      <c r="H498" s="74">
        <f t="shared" si="104"/>
        <v>107613.899</v>
      </c>
      <c r="I498" s="74">
        <f t="shared" ref="I498:N499" si="105">I499</f>
        <v>105664.37220000001</v>
      </c>
      <c r="J498" s="74"/>
      <c r="K498" s="74">
        <f t="shared" si="105"/>
        <v>105664.37220000001</v>
      </c>
      <c r="L498" s="74">
        <f t="shared" si="105"/>
        <v>101701.8808</v>
      </c>
      <c r="M498" s="74"/>
      <c r="N498" s="74">
        <f t="shared" si="105"/>
        <v>101701.8808</v>
      </c>
    </row>
    <row r="499" spans="1:14" s="42" customFormat="1" x14ac:dyDescent="0.25">
      <c r="A499" s="108"/>
      <c r="B499" s="17"/>
      <c r="C499" s="109" t="s">
        <v>5</v>
      </c>
      <c r="D499" s="108"/>
      <c r="E499" s="129" t="s">
        <v>594</v>
      </c>
      <c r="F499" s="74">
        <f t="shared" si="104"/>
        <v>108808.099</v>
      </c>
      <c r="G499" s="74">
        <f t="shared" si="104"/>
        <v>-1194.2000000000003</v>
      </c>
      <c r="H499" s="74">
        <f t="shared" si="104"/>
        <v>107613.899</v>
      </c>
      <c r="I499" s="74">
        <f t="shared" si="105"/>
        <v>105664.37220000001</v>
      </c>
      <c r="J499" s="74"/>
      <c r="K499" s="74">
        <f t="shared" si="105"/>
        <v>105664.37220000001</v>
      </c>
      <c r="L499" s="74">
        <f t="shared" si="105"/>
        <v>101701.8808</v>
      </c>
      <c r="M499" s="74"/>
      <c r="N499" s="74">
        <f t="shared" si="105"/>
        <v>101701.8808</v>
      </c>
    </row>
    <row r="500" spans="1:14" ht="25.5" x14ac:dyDescent="0.25">
      <c r="A500" s="111"/>
      <c r="B500" s="112"/>
      <c r="C500" s="113" t="s">
        <v>57</v>
      </c>
      <c r="D500" s="112"/>
      <c r="E500" s="114" t="s">
        <v>532</v>
      </c>
      <c r="F500" s="115">
        <f>F501+F510+F514</f>
        <v>108808.099</v>
      </c>
      <c r="G500" s="115">
        <f t="shared" ref="G500:H500" si="106">G501+G510+G514</f>
        <v>-1194.2000000000003</v>
      </c>
      <c r="H500" s="115">
        <f t="shared" si="106"/>
        <v>107613.899</v>
      </c>
      <c r="I500" s="115">
        <f t="shared" ref="I500:N500" si="107">I501+I510</f>
        <v>105664.37220000001</v>
      </c>
      <c r="J500" s="115"/>
      <c r="K500" s="115">
        <f t="shared" si="107"/>
        <v>105664.37220000001</v>
      </c>
      <c r="L500" s="115">
        <f t="shared" si="107"/>
        <v>101701.8808</v>
      </c>
      <c r="M500" s="115"/>
      <c r="N500" s="115">
        <f t="shared" si="107"/>
        <v>101701.8808</v>
      </c>
    </row>
    <row r="501" spans="1:14" x14ac:dyDescent="0.25">
      <c r="A501" s="31"/>
      <c r="B501" s="31"/>
      <c r="C501" s="31" t="s">
        <v>59</v>
      </c>
      <c r="D501" s="31"/>
      <c r="E501" s="32" t="s">
        <v>60</v>
      </c>
      <c r="F501" s="75">
        <f t="shared" ref="F501:N501" si="108">F502</f>
        <v>107804.299</v>
      </c>
      <c r="G501" s="75">
        <f t="shared" si="108"/>
        <v>-2373.3000000000002</v>
      </c>
      <c r="H501" s="75">
        <f t="shared" si="108"/>
        <v>105430.999</v>
      </c>
      <c r="I501" s="75">
        <f t="shared" si="108"/>
        <v>104623.97220000002</v>
      </c>
      <c r="J501" s="75"/>
      <c r="K501" s="75">
        <f t="shared" si="108"/>
        <v>104623.97220000002</v>
      </c>
      <c r="L501" s="75">
        <f t="shared" si="108"/>
        <v>100622.4808</v>
      </c>
      <c r="M501" s="75"/>
      <c r="N501" s="75">
        <f t="shared" si="108"/>
        <v>100622.4808</v>
      </c>
    </row>
    <row r="502" spans="1:14" ht="26.25" x14ac:dyDescent="0.25">
      <c r="A502" s="33"/>
      <c r="B502" s="33"/>
      <c r="C502" s="33" t="s">
        <v>61</v>
      </c>
      <c r="D502" s="33"/>
      <c r="E502" s="34" t="s">
        <v>62</v>
      </c>
      <c r="F502" s="71">
        <f t="shared" ref="F502:N502" si="109">F503+F505+F508</f>
        <v>107804.299</v>
      </c>
      <c r="G502" s="71">
        <f t="shared" si="109"/>
        <v>-2373.3000000000002</v>
      </c>
      <c r="H502" s="71">
        <f t="shared" si="109"/>
        <v>105430.999</v>
      </c>
      <c r="I502" s="71">
        <f t="shared" si="109"/>
        <v>104623.97220000002</v>
      </c>
      <c r="J502" s="71"/>
      <c r="K502" s="71">
        <f t="shared" si="109"/>
        <v>104623.97220000002</v>
      </c>
      <c r="L502" s="71">
        <f t="shared" si="109"/>
        <v>100622.4808</v>
      </c>
      <c r="M502" s="71"/>
      <c r="N502" s="71">
        <f t="shared" si="109"/>
        <v>100622.4808</v>
      </c>
    </row>
    <row r="503" spans="1:14" ht="26.25" x14ac:dyDescent="0.25">
      <c r="A503" s="98"/>
      <c r="B503" s="98"/>
      <c r="C503" s="6" t="s">
        <v>63</v>
      </c>
      <c r="D503" s="12"/>
      <c r="E503" s="3" t="s">
        <v>64</v>
      </c>
      <c r="F503" s="70">
        <f>F504</f>
        <v>27674</v>
      </c>
      <c r="G503" s="70">
        <f>G504</f>
        <v>-2373.3000000000002</v>
      </c>
      <c r="H503" s="70">
        <f>H504</f>
        <v>25300.7</v>
      </c>
      <c r="I503" s="70">
        <f>I504</f>
        <v>27939.599999999999</v>
      </c>
      <c r="J503" s="70"/>
      <c r="K503" s="70">
        <f>K504</f>
        <v>27939.599999999999</v>
      </c>
      <c r="L503" s="70">
        <f>L504</f>
        <v>27939.599999999999</v>
      </c>
      <c r="M503" s="70"/>
      <c r="N503" s="70">
        <f>N504</f>
        <v>27939.599999999999</v>
      </c>
    </row>
    <row r="504" spans="1:14" ht="26.25" x14ac:dyDescent="0.25">
      <c r="A504" s="98"/>
      <c r="B504" s="98"/>
      <c r="C504" s="6"/>
      <c r="D504" s="6" t="s">
        <v>471</v>
      </c>
      <c r="E504" s="3" t="s">
        <v>472</v>
      </c>
      <c r="F504" s="70">
        <f>27939.6-265.6</f>
        <v>27674</v>
      </c>
      <c r="G504" s="70">
        <v>-2373.3000000000002</v>
      </c>
      <c r="H504" s="70">
        <f>27939.6-265.6-2373.3</f>
        <v>25300.7</v>
      </c>
      <c r="I504" s="70">
        <f>29308.1-1368.5</f>
        <v>27939.599999999999</v>
      </c>
      <c r="J504" s="70"/>
      <c r="K504" s="70">
        <f>29308.1-1368.5</f>
        <v>27939.599999999999</v>
      </c>
      <c r="L504" s="70">
        <f>30541-2601.4</f>
        <v>27939.599999999999</v>
      </c>
      <c r="M504" s="70"/>
      <c r="N504" s="70">
        <f>30541-2601.4</f>
        <v>27939.599999999999</v>
      </c>
    </row>
    <row r="505" spans="1:14" ht="39" x14ac:dyDescent="0.25">
      <c r="A505" s="98"/>
      <c r="B505" s="98"/>
      <c r="C505" s="6" t="s">
        <v>65</v>
      </c>
      <c r="D505" s="6"/>
      <c r="E505" s="3" t="s">
        <v>66</v>
      </c>
      <c r="F505" s="70">
        <f t="shared" ref="F505:N505" si="110">F506+F507</f>
        <v>79091.349000000002</v>
      </c>
      <c r="G505" s="70"/>
      <c r="H505" s="70">
        <f t="shared" si="110"/>
        <v>79091.349000000002</v>
      </c>
      <c r="I505" s="70">
        <f t="shared" si="110"/>
        <v>75467.272200000007</v>
      </c>
      <c r="J505" s="70"/>
      <c r="K505" s="70">
        <f t="shared" si="110"/>
        <v>75467.272200000007</v>
      </c>
      <c r="L505" s="70">
        <f t="shared" si="110"/>
        <v>71417.080799999996</v>
      </c>
      <c r="M505" s="70"/>
      <c r="N505" s="70">
        <f t="shared" si="110"/>
        <v>71417.080799999996</v>
      </c>
    </row>
    <row r="506" spans="1:14" x14ac:dyDescent="0.25">
      <c r="A506" s="98"/>
      <c r="B506" s="98"/>
      <c r="C506" s="6"/>
      <c r="D506" s="6" t="s">
        <v>424</v>
      </c>
      <c r="E506" s="3" t="s">
        <v>425</v>
      </c>
      <c r="F506" s="70">
        <v>0</v>
      </c>
      <c r="G506" s="70"/>
      <c r="H506" s="70">
        <v>0</v>
      </c>
      <c r="I506" s="70">
        <v>0</v>
      </c>
      <c r="J506" s="70"/>
      <c r="K506" s="70">
        <v>0</v>
      </c>
      <c r="L506" s="70">
        <v>0</v>
      </c>
      <c r="M506" s="70"/>
      <c r="N506" s="70">
        <v>0</v>
      </c>
    </row>
    <row r="507" spans="1:14" ht="26.25" x14ac:dyDescent="0.25">
      <c r="A507" s="98"/>
      <c r="B507" s="98"/>
      <c r="C507" s="6"/>
      <c r="D507" s="6" t="s">
        <v>471</v>
      </c>
      <c r="E507" s="3" t="s">
        <v>472</v>
      </c>
      <c r="F507" s="70">
        <v>79091.349000000002</v>
      </c>
      <c r="G507" s="80"/>
      <c r="H507" s="80">
        <f>F507+G507</f>
        <v>79091.349000000002</v>
      </c>
      <c r="I507" s="80">
        <v>75467.272200000007</v>
      </c>
      <c r="J507" s="80"/>
      <c r="K507" s="80">
        <f>I507+J507</f>
        <v>75467.272200000007</v>
      </c>
      <c r="L507" s="80">
        <v>71417.080799999996</v>
      </c>
      <c r="M507" s="80"/>
      <c r="N507" s="70">
        <f>L507+M507</f>
        <v>71417.080799999996</v>
      </c>
    </row>
    <row r="508" spans="1:14" x14ac:dyDescent="0.25">
      <c r="A508" s="98"/>
      <c r="B508" s="98"/>
      <c r="C508" s="6" t="s">
        <v>69</v>
      </c>
      <c r="D508" s="6"/>
      <c r="E508" s="3" t="s">
        <v>70</v>
      </c>
      <c r="F508" s="70">
        <f>F509</f>
        <v>1038.95</v>
      </c>
      <c r="G508" s="70"/>
      <c r="H508" s="70">
        <f>H509</f>
        <v>1038.95</v>
      </c>
      <c r="I508" s="70">
        <f>I509</f>
        <v>1217.0999999999999</v>
      </c>
      <c r="J508" s="70"/>
      <c r="K508" s="70">
        <f>K509</f>
        <v>1217.0999999999999</v>
      </c>
      <c r="L508" s="70">
        <f>L509</f>
        <v>1265.8</v>
      </c>
      <c r="M508" s="70"/>
      <c r="N508" s="70">
        <f>N509</f>
        <v>1265.8</v>
      </c>
    </row>
    <row r="509" spans="1:14" ht="26.25" x14ac:dyDescent="0.25">
      <c r="A509" s="98"/>
      <c r="B509" s="98"/>
      <c r="C509" s="6"/>
      <c r="D509" s="6" t="s">
        <v>471</v>
      </c>
      <c r="E509" s="3" t="s">
        <v>472</v>
      </c>
      <c r="F509" s="70">
        <v>1038.95</v>
      </c>
      <c r="G509" s="70"/>
      <c r="H509" s="70">
        <f>1170.3-131.35</f>
        <v>1038.95</v>
      </c>
      <c r="I509" s="70">
        <v>1217.0999999999999</v>
      </c>
      <c r="J509" s="70"/>
      <c r="K509" s="70">
        <v>1217.0999999999999</v>
      </c>
      <c r="L509" s="70">
        <v>1265.8</v>
      </c>
      <c r="M509" s="70"/>
      <c r="N509" s="70">
        <v>1265.8</v>
      </c>
    </row>
    <row r="510" spans="1:14" x14ac:dyDescent="0.25">
      <c r="A510" s="31"/>
      <c r="B510" s="31"/>
      <c r="C510" s="31" t="s">
        <v>132</v>
      </c>
      <c r="D510" s="31"/>
      <c r="E510" s="32" t="s">
        <v>133</v>
      </c>
      <c r="F510" s="75">
        <f t="shared" ref="F510:N512" si="111">F511</f>
        <v>1003.8</v>
      </c>
      <c r="G510" s="75"/>
      <c r="H510" s="75">
        <f t="shared" si="111"/>
        <v>1003.8</v>
      </c>
      <c r="I510" s="75">
        <f t="shared" si="111"/>
        <v>1040.4000000000001</v>
      </c>
      <c r="J510" s="75"/>
      <c r="K510" s="75">
        <f t="shared" si="111"/>
        <v>1040.4000000000001</v>
      </c>
      <c r="L510" s="75">
        <f t="shared" si="111"/>
        <v>1079.4000000000001</v>
      </c>
      <c r="M510" s="75"/>
      <c r="N510" s="75">
        <f t="shared" si="111"/>
        <v>1079.4000000000001</v>
      </c>
    </row>
    <row r="511" spans="1:14" ht="26.25" x14ac:dyDescent="0.25">
      <c r="A511" s="33"/>
      <c r="B511" s="33"/>
      <c r="C511" s="33" t="s">
        <v>140</v>
      </c>
      <c r="D511" s="33"/>
      <c r="E511" s="34" t="s">
        <v>141</v>
      </c>
      <c r="F511" s="71">
        <f t="shared" si="111"/>
        <v>1003.8</v>
      </c>
      <c r="G511" s="71"/>
      <c r="H511" s="71">
        <f t="shared" si="111"/>
        <v>1003.8</v>
      </c>
      <c r="I511" s="71">
        <f t="shared" si="111"/>
        <v>1040.4000000000001</v>
      </c>
      <c r="J511" s="71"/>
      <c r="K511" s="71">
        <f t="shared" si="111"/>
        <v>1040.4000000000001</v>
      </c>
      <c r="L511" s="71">
        <f t="shared" si="111"/>
        <v>1079.4000000000001</v>
      </c>
      <c r="M511" s="71"/>
      <c r="N511" s="71">
        <f t="shared" si="111"/>
        <v>1079.4000000000001</v>
      </c>
    </row>
    <row r="512" spans="1:14" ht="26.25" x14ac:dyDescent="0.25">
      <c r="A512" s="6"/>
      <c r="B512" s="6"/>
      <c r="C512" s="6" t="s">
        <v>142</v>
      </c>
      <c r="D512" s="6"/>
      <c r="E512" s="3" t="s">
        <v>143</v>
      </c>
      <c r="F512" s="70">
        <f t="shared" si="111"/>
        <v>1003.8</v>
      </c>
      <c r="G512" s="70"/>
      <c r="H512" s="70">
        <f t="shared" si="111"/>
        <v>1003.8</v>
      </c>
      <c r="I512" s="70">
        <f t="shared" si="111"/>
        <v>1040.4000000000001</v>
      </c>
      <c r="J512" s="70"/>
      <c r="K512" s="70">
        <f t="shared" si="111"/>
        <v>1040.4000000000001</v>
      </c>
      <c r="L512" s="70">
        <f t="shared" si="111"/>
        <v>1079.4000000000001</v>
      </c>
      <c r="M512" s="70"/>
      <c r="N512" s="70">
        <f t="shared" si="111"/>
        <v>1079.4000000000001</v>
      </c>
    </row>
    <row r="513" spans="1:14" ht="26.25" x14ac:dyDescent="0.25">
      <c r="A513" s="6"/>
      <c r="B513" s="6"/>
      <c r="C513" s="6"/>
      <c r="D513" s="40" t="s">
        <v>471</v>
      </c>
      <c r="E513" s="41" t="s">
        <v>472</v>
      </c>
      <c r="F513" s="70">
        <v>1003.8</v>
      </c>
      <c r="G513" s="70"/>
      <c r="H513" s="70">
        <v>1003.8</v>
      </c>
      <c r="I513" s="70">
        <v>1040.4000000000001</v>
      </c>
      <c r="J513" s="70"/>
      <c r="K513" s="70">
        <v>1040.4000000000001</v>
      </c>
      <c r="L513" s="70">
        <v>1079.4000000000001</v>
      </c>
      <c r="M513" s="70"/>
      <c r="N513" s="70">
        <v>1079.4000000000001</v>
      </c>
    </row>
    <row r="514" spans="1:14" ht="24.75" customHeight="1" x14ac:dyDescent="0.25">
      <c r="A514" s="31"/>
      <c r="B514" s="31"/>
      <c r="C514" s="31" t="s">
        <v>146</v>
      </c>
      <c r="D514" s="31"/>
      <c r="E514" s="32" t="s">
        <v>147</v>
      </c>
      <c r="F514" s="75">
        <f t="shared" ref="F514:L515" si="112">F515</f>
        <v>0</v>
      </c>
      <c r="G514" s="75">
        <f t="shared" si="112"/>
        <v>1179.0999999999999</v>
      </c>
      <c r="H514" s="75">
        <f t="shared" si="112"/>
        <v>1179.0999999999999</v>
      </c>
      <c r="I514" s="75">
        <f t="shared" si="112"/>
        <v>295325.18500000006</v>
      </c>
      <c r="J514" s="75"/>
      <c r="K514" s="75">
        <f t="shared" si="112"/>
        <v>295441.48500000004</v>
      </c>
      <c r="L514" s="75">
        <f t="shared" si="112"/>
        <v>0</v>
      </c>
      <c r="M514" s="75"/>
      <c r="N514" s="75">
        <f>N515</f>
        <v>0</v>
      </c>
    </row>
    <row r="515" spans="1:14" ht="26.25" x14ac:dyDescent="0.25">
      <c r="A515" s="36"/>
      <c r="B515" s="36"/>
      <c r="C515" s="36" t="s">
        <v>148</v>
      </c>
      <c r="D515" s="36"/>
      <c r="E515" s="34" t="s">
        <v>149</v>
      </c>
      <c r="F515" s="71">
        <f t="shared" si="112"/>
        <v>0</v>
      </c>
      <c r="G515" s="71">
        <f t="shared" si="112"/>
        <v>1179.0999999999999</v>
      </c>
      <c r="H515" s="71">
        <f t="shared" si="112"/>
        <v>1179.0999999999999</v>
      </c>
      <c r="I515" s="71">
        <f>+I516+I520</f>
        <v>295325.18500000006</v>
      </c>
      <c r="J515" s="71"/>
      <c r="K515" s="71">
        <f>+K516+K520</f>
        <v>295441.48500000004</v>
      </c>
      <c r="L515" s="71">
        <f>+L516</f>
        <v>0</v>
      </c>
      <c r="M515" s="71"/>
      <c r="N515" s="71">
        <f>+N516</f>
        <v>0</v>
      </c>
    </row>
    <row r="516" spans="1:14" ht="51" x14ac:dyDescent="0.25">
      <c r="A516" s="98"/>
      <c r="B516" s="98"/>
      <c r="C516" s="4" t="s">
        <v>915</v>
      </c>
      <c r="D516" s="4"/>
      <c r="E516" s="5" t="s">
        <v>914</v>
      </c>
      <c r="F516" s="70">
        <f t="shared" ref="F516:H516" si="113">F517</f>
        <v>0</v>
      </c>
      <c r="G516" s="70">
        <f t="shared" si="113"/>
        <v>1179.0999999999999</v>
      </c>
      <c r="H516" s="70">
        <f t="shared" si="113"/>
        <v>1179.0999999999999</v>
      </c>
      <c r="I516" s="80">
        <v>0</v>
      </c>
      <c r="J516" s="70"/>
      <c r="K516" s="70">
        <v>0</v>
      </c>
      <c r="L516" s="80">
        <v>0</v>
      </c>
      <c r="M516" s="80"/>
      <c r="N516" s="80">
        <v>0</v>
      </c>
    </row>
    <row r="517" spans="1:14" ht="26.25" x14ac:dyDescent="0.25">
      <c r="A517" s="98"/>
      <c r="B517" s="98"/>
      <c r="C517" s="6"/>
      <c r="D517" s="6" t="s">
        <v>471</v>
      </c>
      <c r="E517" s="3" t="s">
        <v>472</v>
      </c>
      <c r="F517" s="70">
        <v>0</v>
      </c>
      <c r="G517" s="70">
        <v>1179.0999999999999</v>
      </c>
      <c r="H517" s="70">
        <v>1179.0999999999999</v>
      </c>
      <c r="I517" s="80">
        <v>0</v>
      </c>
      <c r="J517" s="70"/>
      <c r="K517" s="70">
        <v>0</v>
      </c>
      <c r="L517" s="80">
        <v>0</v>
      </c>
      <c r="M517" s="80"/>
      <c r="N517" s="80">
        <v>0</v>
      </c>
    </row>
    <row r="518" spans="1:14" x14ac:dyDescent="0.25">
      <c r="A518" s="68"/>
      <c r="B518" s="17" t="s">
        <v>618</v>
      </c>
      <c r="C518" s="109"/>
      <c r="D518" s="108"/>
      <c r="E518" s="102" t="s">
        <v>619</v>
      </c>
      <c r="F518" s="74">
        <f t="shared" ref="F518:N519" si="114">F519</f>
        <v>297041.09960000007</v>
      </c>
      <c r="G518" s="74">
        <f t="shared" si="114"/>
        <v>-242.40000000000009</v>
      </c>
      <c r="H518" s="74">
        <f t="shared" si="114"/>
        <v>296798.69960000005</v>
      </c>
      <c r="I518" s="74">
        <f t="shared" si="114"/>
        <v>295325.18500000006</v>
      </c>
      <c r="J518" s="74">
        <f t="shared" si="114"/>
        <v>116.3</v>
      </c>
      <c r="K518" s="74">
        <f t="shared" si="114"/>
        <v>295441.48500000004</v>
      </c>
      <c r="L518" s="74">
        <f t="shared" si="114"/>
        <v>268235.38679999998</v>
      </c>
      <c r="M518" s="74">
        <f t="shared" si="114"/>
        <v>116.3</v>
      </c>
      <c r="N518" s="74">
        <f t="shared" si="114"/>
        <v>268351.68679999997</v>
      </c>
    </row>
    <row r="519" spans="1:14" x14ac:dyDescent="0.25">
      <c r="A519" s="68"/>
      <c r="B519" s="17"/>
      <c r="C519" s="109" t="s">
        <v>5</v>
      </c>
      <c r="D519" s="108"/>
      <c r="E519" s="129" t="s">
        <v>6</v>
      </c>
      <c r="F519" s="74">
        <f t="shared" si="114"/>
        <v>297041.09960000007</v>
      </c>
      <c r="G519" s="74">
        <f t="shared" si="114"/>
        <v>-242.40000000000009</v>
      </c>
      <c r="H519" s="74">
        <f t="shared" si="114"/>
        <v>296798.69960000005</v>
      </c>
      <c r="I519" s="74">
        <f t="shared" si="114"/>
        <v>295325.18500000006</v>
      </c>
      <c r="J519" s="74">
        <f t="shared" si="114"/>
        <v>116.3</v>
      </c>
      <c r="K519" s="74">
        <f t="shared" si="114"/>
        <v>295441.48500000004</v>
      </c>
      <c r="L519" s="74">
        <f t="shared" si="114"/>
        <v>268235.38679999998</v>
      </c>
      <c r="M519" s="74">
        <f t="shared" si="114"/>
        <v>116.3</v>
      </c>
      <c r="N519" s="74">
        <f t="shared" si="114"/>
        <v>268351.68679999997</v>
      </c>
    </row>
    <row r="520" spans="1:14" ht="25.5" x14ac:dyDescent="0.25">
      <c r="A520" s="111"/>
      <c r="B520" s="112"/>
      <c r="C520" s="113" t="s">
        <v>57</v>
      </c>
      <c r="D520" s="112"/>
      <c r="E520" s="114" t="s">
        <v>532</v>
      </c>
      <c r="F520" s="115">
        <f t="shared" ref="F520:N520" si="115">F521+F549+F553</f>
        <v>297041.09960000007</v>
      </c>
      <c r="G520" s="115">
        <f>G521+G549+G553</f>
        <v>-242.40000000000009</v>
      </c>
      <c r="H520" s="115">
        <f t="shared" si="115"/>
        <v>296798.69960000005</v>
      </c>
      <c r="I520" s="115">
        <f t="shared" si="115"/>
        <v>295325.18500000006</v>
      </c>
      <c r="J520" s="115">
        <f t="shared" si="115"/>
        <v>116.3</v>
      </c>
      <c r="K520" s="115">
        <f t="shared" si="115"/>
        <v>295441.48500000004</v>
      </c>
      <c r="L520" s="115">
        <f t="shared" si="115"/>
        <v>268235.38679999998</v>
      </c>
      <c r="M520" s="115">
        <f t="shared" si="115"/>
        <v>116.3</v>
      </c>
      <c r="N520" s="115">
        <f t="shared" si="115"/>
        <v>268351.68679999997</v>
      </c>
    </row>
    <row r="521" spans="1:14" x14ac:dyDescent="0.25">
      <c r="A521" s="31"/>
      <c r="B521" s="31"/>
      <c r="C521" s="31" t="s">
        <v>73</v>
      </c>
      <c r="D521" s="31"/>
      <c r="E521" s="32" t="s">
        <v>74</v>
      </c>
      <c r="F521" s="75">
        <f t="shared" ref="F521:N521" si="116">F522+F531+F546</f>
        <v>271496.29960000003</v>
      </c>
      <c r="G521" s="75">
        <f>G522+G531+G546</f>
        <v>-695.30000000000007</v>
      </c>
      <c r="H521" s="75">
        <f t="shared" si="116"/>
        <v>270800.99960000004</v>
      </c>
      <c r="I521" s="75">
        <f t="shared" si="116"/>
        <v>266836.95500000002</v>
      </c>
      <c r="J521" s="75">
        <f t="shared" si="116"/>
        <v>116.3</v>
      </c>
      <c r="K521" s="75">
        <f t="shared" si="116"/>
        <v>266953.255</v>
      </c>
      <c r="L521" s="75">
        <f t="shared" si="116"/>
        <v>262918.08679999999</v>
      </c>
      <c r="M521" s="75">
        <f t="shared" si="116"/>
        <v>116.3</v>
      </c>
      <c r="N521" s="75">
        <f t="shared" si="116"/>
        <v>263034.38679999998</v>
      </c>
    </row>
    <row r="522" spans="1:14" ht="26.25" x14ac:dyDescent="0.25">
      <c r="A522" s="33"/>
      <c r="B522" s="33"/>
      <c r="C522" s="33" t="s">
        <v>75</v>
      </c>
      <c r="D522" s="33"/>
      <c r="E522" s="34" t="s">
        <v>76</v>
      </c>
      <c r="F522" s="71">
        <f t="shared" ref="F522:N522" si="117">F523+F525+F527</f>
        <v>235412.41619999998</v>
      </c>
      <c r="G522" s="71">
        <f t="shared" si="117"/>
        <v>-775.30000000000007</v>
      </c>
      <c r="H522" s="71">
        <f t="shared" si="117"/>
        <v>234637.11620000002</v>
      </c>
      <c r="I522" s="71">
        <f t="shared" si="117"/>
        <v>233740.77159999998</v>
      </c>
      <c r="J522" s="71">
        <f t="shared" si="117"/>
        <v>116.3</v>
      </c>
      <c r="K522" s="71">
        <f t="shared" si="117"/>
        <v>233857.0716</v>
      </c>
      <c r="L522" s="71">
        <f t="shared" si="117"/>
        <v>229196.10339999996</v>
      </c>
      <c r="M522" s="71">
        <f t="shared" si="117"/>
        <v>116.3</v>
      </c>
      <c r="N522" s="71">
        <f t="shared" si="117"/>
        <v>229312.40339999998</v>
      </c>
    </row>
    <row r="523" spans="1:14" ht="26.25" x14ac:dyDescent="0.25">
      <c r="A523" s="98"/>
      <c r="B523" s="98"/>
      <c r="C523" s="6" t="s">
        <v>77</v>
      </c>
      <c r="D523" s="12"/>
      <c r="E523" s="3" t="s">
        <v>78</v>
      </c>
      <c r="F523" s="70">
        <f>F524</f>
        <v>34055.699999999997</v>
      </c>
      <c r="G523" s="70">
        <f>G524</f>
        <v>-891.6</v>
      </c>
      <c r="H523" s="70">
        <f>H524</f>
        <v>33164.1</v>
      </c>
      <c r="I523" s="70">
        <f>I524</f>
        <v>34653.699999999997</v>
      </c>
      <c r="J523" s="70"/>
      <c r="K523" s="70">
        <f>K524</f>
        <v>34653.699999999997</v>
      </c>
      <c r="L523" s="70">
        <f>L524</f>
        <v>34653.699999999997</v>
      </c>
      <c r="M523" s="70"/>
      <c r="N523" s="70">
        <f>N524</f>
        <v>34653.699999999997</v>
      </c>
    </row>
    <row r="524" spans="1:14" ht="26.25" x14ac:dyDescent="0.25">
      <c r="A524" s="98"/>
      <c r="B524" s="98"/>
      <c r="C524" s="6"/>
      <c r="D524" s="6" t="s">
        <v>471</v>
      </c>
      <c r="E524" s="3" t="s">
        <v>472</v>
      </c>
      <c r="F524" s="70">
        <f>34653.7-598</f>
        <v>34055.699999999997</v>
      </c>
      <c r="G524" s="70">
        <v>-891.6</v>
      </c>
      <c r="H524" s="70">
        <f>34653.7-598-891.6</f>
        <v>33164.1</v>
      </c>
      <c r="I524" s="70">
        <f>35760.5-1106.8</f>
        <v>34653.699999999997</v>
      </c>
      <c r="J524" s="70"/>
      <c r="K524" s="70">
        <f>35760.5-1106.8</f>
        <v>34653.699999999997</v>
      </c>
      <c r="L524" s="70">
        <f>36920.2-2266.5</f>
        <v>34653.699999999997</v>
      </c>
      <c r="M524" s="70"/>
      <c r="N524" s="70">
        <f>36920.2-2266.5</f>
        <v>34653.699999999997</v>
      </c>
    </row>
    <row r="525" spans="1:14" ht="39" x14ac:dyDescent="0.25">
      <c r="A525" s="98"/>
      <c r="B525" s="98"/>
      <c r="C525" s="6" t="s">
        <v>79</v>
      </c>
      <c r="D525" s="6"/>
      <c r="E525" s="3" t="s">
        <v>80</v>
      </c>
      <c r="F525" s="70">
        <f t="shared" ref="F525:N525" si="118">F526</f>
        <v>193754.41620000001</v>
      </c>
      <c r="G525" s="70"/>
      <c r="H525" s="70">
        <f t="shared" si="118"/>
        <v>193754.41620000001</v>
      </c>
      <c r="I525" s="70">
        <f t="shared" si="118"/>
        <v>191484.77160000001</v>
      </c>
      <c r="J525" s="70"/>
      <c r="K525" s="70">
        <f t="shared" si="118"/>
        <v>191484.77160000001</v>
      </c>
      <c r="L525" s="70">
        <f t="shared" si="118"/>
        <v>186940.10339999999</v>
      </c>
      <c r="M525" s="70"/>
      <c r="N525" s="70">
        <f t="shared" si="118"/>
        <v>186940.10339999999</v>
      </c>
    </row>
    <row r="526" spans="1:14" ht="26.25" x14ac:dyDescent="0.25">
      <c r="A526" s="98"/>
      <c r="B526" s="98"/>
      <c r="C526" s="6"/>
      <c r="D526" s="6" t="s">
        <v>471</v>
      </c>
      <c r="E526" s="3" t="s">
        <v>472</v>
      </c>
      <c r="F526" s="70">
        <v>193754.41620000001</v>
      </c>
      <c r="G526" s="80"/>
      <c r="H526" s="80">
        <f>F526+G526</f>
        <v>193754.41620000001</v>
      </c>
      <c r="I526" s="80">
        <v>191484.77160000001</v>
      </c>
      <c r="J526" s="80"/>
      <c r="K526" s="80">
        <f>I526+J526</f>
        <v>191484.77160000001</v>
      </c>
      <c r="L526" s="80">
        <v>186940.10339999999</v>
      </c>
      <c r="M526" s="80"/>
      <c r="N526" s="70">
        <f>L526+M526</f>
        <v>186940.10339999999</v>
      </c>
    </row>
    <row r="527" spans="1:14" ht="64.5" x14ac:dyDescent="0.25">
      <c r="A527" s="98"/>
      <c r="B527" s="98"/>
      <c r="C527" s="6" t="s">
        <v>81</v>
      </c>
      <c r="D527" s="6"/>
      <c r="E527" s="3" t="s">
        <v>82</v>
      </c>
      <c r="F527" s="79">
        <f>F529+F530</f>
        <v>7602.3</v>
      </c>
      <c r="G527" s="79">
        <f>G528</f>
        <v>116.3</v>
      </c>
      <c r="H527" s="79">
        <f>H529+H530</f>
        <v>7718.6</v>
      </c>
      <c r="I527" s="79">
        <f>I529+I530</f>
        <v>7602.3</v>
      </c>
      <c r="J527" s="79">
        <f>J528</f>
        <v>116.3</v>
      </c>
      <c r="K527" s="79">
        <f>K529+K530</f>
        <v>7718.6</v>
      </c>
      <c r="L527" s="79">
        <f>L529+L530</f>
        <v>7602.3</v>
      </c>
      <c r="M527" s="79">
        <f>M528</f>
        <v>116.3</v>
      </c>
      <c r="N527" s="79">
        <f>N529+N530</f>
        <v>7718.6</v>
      </c>
    </row>
    <row r="528" spans="1:14" ht="26.25" x14ac:dyDescent="0.25">
      <c r="A528" s="98"/>
      <c r="B528" s="98"/>
      <c r="C528" s="6"/>
      <c r="D528" s="6" t="s">
        <v>471</v>
      </c>
      <c r="E528" s="3" t="s">
        <v>472</v>
      </c>
      <c r="F528" s="79">
        <f>F529+F530</f>
        <v>7602.3</v>
      </c>
      <c r="G528" s="79">
        <f>G530</f>
        <v>116.3</v>
      </c>
      <c r="H528" s="79">
        <f>H529+H530</f>
        <v>7718.6</v>
      </c>
      <c r="I528" s="79">
        <f>I529+I530</f>
        <v>7602.3</v>
      </c>
      <c r="J528" s="79">
        <f>J530</f>
        <v>116.3</v>
      </c>
      <c r="K528" s="79">
        <f>K529+K530</f>
        <v>7718.6</v>
      </c>
      <c r="L528" s="79">
        <f>L529+L530</f>
        <v>7602.3</v>
      </c>
      <c r="M528" s="79">
        <f>M530</f>
        <v>116.3</v>
      </c>
      <c r="N528" s="79">
        <f>N529+N530</f>
        <v>7718.6</v>
      </c>
    </row>
    <row r="529" spans="1:14" x14ac:dyDescent="0.25">
      <c r="A529" s="98"/>
      <c r="B529" s="98"/>
      <c r="C529" s="6"/>
      <c r="D529" s="6"/>
      <c r="E529" s="3" t="s">
        <v>83</v>
      </c>
      <c r="F529" s="70">
        <v>7032.1</v>
      </c>
      <c r="G529" s="70"/>
      <c r="H529" s="70">
        <v>7032.1</v>
      </c>
      <c r="I529" s="70">
        <v>7032.1</v>
      </c>
      <c r="J529" s="70"/>
      <c r="K529" s="70">
        <v>7032.1</v>
      </c>
      <c r="L529" s="70">
        <v>7032.1</v>
      </c>
      <c r="M529" s="70"/>
      <c r="N529" s="70">
        <v>7032.1</v>
      </c>
    </row>
    <row r="530" spans="1:14" x14ac:dyDescent="0.25">
      <c r="A530" s="98"/>
      <c r="B530" s="98"/>
      <c r="C530" s="6"/>
      <c r="D530" s="6"/>
      <c r="E530" s="3" t="s">
        <v>84</v>
      </c>
      <c r="F530" s="70">
        <v>570.20000000000005</v>
      </c>
      <c r="G530" s="70">
        <v>116.3</v>
      </c>
      <c r="H530" s="70">
        <f>570.2+116.3</f>
        <v>686.5</v>
      </c>
      <c r="I530" s="70">
        <v>570.20000000000005</v>
      </c>
      <c r="J530" s="70">
        <v>116.3</v>
      </c>
      <c r="K530" s="70">
        <f>570.2+116.3</f>
        <v>686.5</v>
      </c>
      <c r="L530" s="70">
        <v>570.20000000000005</v>
      </c>
      <c r="M530" s="70">
        <v>116.3</v>
      </c>
      <c r="N530" s="70">
        <f>570.2+116.3</f>
        <v>686.5</v>
      </c>
    </row>
    <row r="531" spans="1:14" ht="42" customHeight="1" x14ac:dyDescent="0.25">
      <c r="A531" s="33"/>
      <c r="B531" s="33"/>
      <c r="C531" s="33" t="s">
        <v>85</v>
      </c>
      <c r="D531" s="33"/>
      <c r="E531" s="34" t="s">
        <v>86</v>
      </c>
      <c r="F531" s="71">
        <f>F532+F534+F536+F538+F540+F542</f>
        <v>35655.4</v>
      </c>
      <c r="G531" s="71">
        <f>G532+G534+G536+G538+G540+G542</f>
        <v>80</v>
      </c>
      <c r="H531" s="71">
        <f>H532+H534+H536+H538+H540+H542</f>
        <v>35735.4</v>
      </c>
      <c r="I531" s="71">
        <f>I532+I534+I536+I538+I540+I542</f>
        <v>32667.700000000004</v>
      </c>
      <c r="J531" s="71"/>
      <c r="K531" s="71">
        <f>K532+K534+K536+K538+K540+K542</f>
        <v>32667.700000000004</v>
      </c>
      <c r="L531" s="71">
        <f>L532+L534+L536+L538+L540+L542</f>
        <v>33293.5</v>
      </c>
      <c r="M531" s="71"/>
      <c r="N531" s="71">
        <f>N532+N534+N536+N538+N540+N542</f>
        <v>33293.5</v>
      </c>
    </row>
    <row r="532" spans="1:14" x14ac:dyDescent="0.25">
      <c r="A532" s="98"/>
      <c r="B532" s="98"/>
      <c r="C532" s="6" t="s">
        <v>87</v>
      </c>
      <c r="D532" s="6"/>
      <c r="E532" s="3" t="s">
        <v>88</v>
      </c>
      <c r="F532" s="70">
        <f>F533</f>
        <v>6745.8</v>
      </c>
      <c r="G532" s="70">
        <f>G533</f>
        <v>80</v>
      </c>
      <c r="H532" s="70">
        <f>H533</f>
        <v>6825.8</v>
      </c>
      <c r="I532" s="70">
        <f>I533</f>
        <v>7260.5</v>
      </c>
      <c r="J532" s="70"/>
      <c r="K532" s="70">
        <f>K533</f>
        <v>7260.5</v>
      </c>
      <c r="L532" s="70">
        <f>L533</f>
        <v>7550.8</v>
      </c>
      <c r="M532" s="70"/>
      <c r="N532" s="70">
        <f>N533</f>
        <v>7550.8</v>
      </c>
    </row>
    <row r="533" spans="1:14" ht="26.25" x14ac:dyDescent="0.25">
      <c r="A533" s="98"/>
      <c r="B533" s="98"/>
      <c r="C533" s="6"/>
      <c r="D533" s="6" t="s">
        <v>471</v>
      </c>
      <c r="E533" s="3" t="s">
        <v>472</v>
      </c>
      <c r="F533" s="70">
        <v>6745.8</v>
      </c>
      <c r="G533" s="70">
        <v>80</v>
      </c>
      <c r="H533" s="70">
        <f>6981.2-235.4+80</f>
        <v>6825.8</v>
      </c>
      <c r="I533" s="70">
        <v>7260.5</v>
      </c>
      <c r="J533" s="70"/>
      <c r="K533" s="70">
        <v>7260.5</v>
      </c>
      <c r="L533" s="70">
        <v>7550.8</v>
      </c>
      <c r="M533" s="70"/>
      <c r="N533" s="70">
        <v>7550.8</v>
      </c>
    </row>
    <row r="534" spans="1:14" ht="26.25" x14ac:dyDescent="0.25">
      <c r="A534" s="98"/>
      <c r="B534" s="98"/>
      <c r="C534" s="6" t="s">
        <v>90</v>
      </c>
      <c r="D534" s="6"/>
      <c r="E534" s="3" t="s">
        <v>91</v>
      </c>
      <c r="F534" s="70">
        <f>F535</f>
        <v>188.6</v>
      </c>
      <c r="G534" s="70"/>
      <c r="H534" s="70">
        <f>H535</f>
        <v>188.6</v>
      </c>
      <c r="I534" s="70">
        <f>I535</f>
        <v>196.1</v>
      </c>
      <c r="J534" s="70"/>
      <c r="K534" s="70">
        <f>K535</f>
        <v>196.1</v>
      </c>
      <c r="L534" s="70">
        <f>L535</f>
        <v>204</v>
      </c>
      <c r="M534" s="70"/>
      <c r="N534" s="70">
        <f>N535</f>
        <v>204</v>
      </c>
    </row>
    <row r="535" spans="1:14" ht="26.25" x14ac:dyDescent="0.25">
      <c r="A535" s="98"/>
      <c r="B535" s="98"/>
      <c r="C535" s="6"/>
      <c r="D535" s="6" t="s">
        <v>471</v>
      </c>
      <c r="E535" s="3" t="s">
        <v>472</v>
      </c>
      <c r="F535" s="70">
        <v>188.6</v>
      </c>
      <c r="G535" s="70"/>
      <c r="H535" s="70">
        <v>188.6</v>
      </c>
      <c r="I535" s="70">
        <v>196.1</v>
      </c>
      <c r="J535" s="70"/>
      <c r="K535" s="70">
        <v>196.1</v>
      </c>
      <c r="L535" s="70">
        <v>204</v>
      </c>
      <c r="M535" s="70"/>
      <c r="N535" s="70">
        <v>204</v>
      </c>
    </row>
    <row r="536" spans="1:14" ht="26.25" x14ac:dyDescent="0.25">
      <c r="A536" s="98"/>
      <c r="B536" s="98"/>
      <c r="C536" s="6" t="s">
        <v>92</v>
      </c>
      <c r="D536" s="6"/>
      <c r="E536" s="3" t="s">
        <v>93</v>
      </c>
      <c r="F536" s="70">
        <f>F537</f>
        <v>185.60000000000002</v>
      </c>
      <c r="G536" s="70"/>
      <c r="H536" s="70">
        <f>H537</f>
        <v>185.60000000000002</v>
      </c>
      <c r="I536" s="70">
        <f>I537</f>
        <v>282.10000000000002</v>
      </c>
      <c r="J536" s="70"/>
      <c r="K536" s="70">
        <f>K537</f>
        <v>282.10000000000002</v>
      </c>
      <c r="L536" s="70">
        <f>L537</f>
        <v>293.39999999999998</v>
      </c>
      <c r="M536" s="70"/>
      <c r="N536" s="70">
        <f>N537</f>
        <v>293.39999999999998</v>
      </c>
    </row>
    <row r="537" spans="1:14" ht="26.25" x14ac:dyDescent="0.25">
      <c r="A537" s="98"/>
      <c r="B537" s="98"/>
      <c r="C537" s="6"/>
      <c r="D537" s="6" t="s">
        <v>471</v>
      </c>
      <c r="E537" s="3" t="s">
        <v>472</v>
      </c>
      <c r="F537" s="70">
        <v>185.60000000000002</v>
      </c>
      <c r="G537" s="70"/>
      <c r="H537" s="70">
        <f>271.3-85.7</f>
        <v>185.60000000000002</v>
      </c>
      <c r="I537" s="70">
        <v>282.10000000000002</v>
      </c>
      <c r="J537" s="70"/>
      <c r="K537" s="70">
        <v>282.10000000000002</v>
      </c>
      <c r="L537" s="70">
        <v>293.39999999999998</v>
      </c>
      <c r="M537" s="70"/>
      <c r="N537" s="70">
        <v>293.39999999999998</v>
      </c>
    </row>
    <row r="538" spans="1:14" ht="26.25" x14ac:dyDescent="0.25">
      <c r="A538" s="98"/>
      <c r="B538" s="98"/>
      <c r="C538" s="6" t="s">
        <v>96</v>
      </c>
      <c r="D538" s="6"/>
      <c r="E538" s="3" t="s">
        <v>97</v>
      </c>
      <c r="F538" s="70">
        <v>12128.1</v>
      </c>
      <c r="G538" s="70"/>
      <c r="H538" s="70">
        <v>12128.1</v>
      </c>
      <c r="I538" s="70">
        <v>12128.1</v>
      </c>
      <c r="J538" s="70"/>
      <c r="K538" s="70">
        <v>12128.1</v>
      </c>
      <c r="L538" s="70">
        <v>12128.1</v>
      </c>
      <c r="M538" s="70"/>
      <c r="N538" s="70">
        <v>12128.1</v>
      </c>
    </row>
    <row r="539" spans="1:14" ht="26.25" x14ac:dyDescent="0.25">
      <c r="A539" s="98"/>
      <c r="B539" s="98"/>
      <c r="C539" s="6"/>
      <c r="D539" s="6" t="s">
        <v>471</v>
      </c>
      <c r="E539" s="3" t="s">
        <v>472</v>
      </c>
      <c r="F539" s="70">
        <v>12128.1</v>
      </c>
      <c r="G539" s="70"/>
      <c r="H539" s="70">
        <v>12128.1</v>
      </c>
      <c r="I539" s="70">
        <v>12128.1</v>
      </c>
      <c r="J539" s="70"/>
      <c r="K539" s="70">
        <v>12128.1</v>
      </c>
      <c r="L539" s="70">
        <v>12128.1</v>
      </c>
      <c r="M539" s="70"/>
      <c r="N539" s="70">
        <v>12128.1</v>
      </c>
    </row>
    <row r="540" spans="1:14" ht="26.25" x14ac:dyDescent="0.25">
      <c r="A540" s="98"/>
      <c r="B540" s="98"/>
      <c r="C540" s="6" t="s">
        <v>98</v>
      </c>
      <c r="D540" s="6"/>
      <c r="E540" s="3" t="s">
        <v>432</v>
      </c>
      <c r="F540" s="70">
        <f>F541</f>
        <v>13563.3</v>
      </c>
      <c r="G540" s="70"/>
      <c r="H540" s="70">
        <f>H541</f>
        <v>13563.3</v>
      </c>
      <c r="I540" s="70">
        <f>I541</f>
        <v>12800.9</v>
      </c>
      <c r="J540" s="70"/>
      <c r="K540" s="70">
        <f>K541</f>
        <v>12800.9</v>
      </c>
      <c r="L540" s="70">
        <f>L541</f>
        <v>13117.2</v>
      </c>
      <c r="M540" s="70"/>
      <c r="N540" s="70">
        <f>N541</f>
        <v>13117.2</v>
      </c>
    </row>
    <row r="541" spans="1:14" ht="26.25" x14ac:dyDescent="0.25">
      <c r="A541" s="98"/>
      <c r="B541" s="98"/>
      <c r="C541" s="6"/>
      <c r="D541" s="6" t="s">
        <v>471</v>
      </c>
      <c r="E541" s="3" t="s">
        <v>472</v>
      </c>
      <c r="F541" s="70">
        <v>13563.3</v>
      </c>
      <c r="G541" s="70"/>
      <c r="H541" s="70">
        <v>13563.3</v>
      </c>
      <c r="I541" s="70">
        <v>12800.9</v>
      </c>
      <c r="J541" s="70"/>
      <c r="K541" s="70">
        <v>12800.9</v>
      </c>
      <c r="L541" s="70">
        <v>13117.2</v>
      </c>
      <c r="M541" s="70"/>
      <c r="N541" s="70">
        <v>13117.2</v>
      </c>
    </row>
    <row r="542" spans="1:14" ht="26.25" x14ac:dyDescent="0.25">
      <c r="A542" s="98"/>
      <c r="B542" s="98"/>
      <c r="C542" s="6" t="s">
        <v>506</v>
      </c>
      <c r="D542" s="6"/>
      <c r="E542" s="3" t="s">
        <v>639</v>
      </c>
      <c r="F542" s="70">
        <f>F543</f>
        <v>2844</v>
      </c>
      <c r="G542" s="70"/>
      <c r="H542" s="70">
        <f>H543</f>
        <v>2844</v>
      </c>
      <c r="I542" s="70">
        <f>I543</f>
        <v>0</v>
      </c>
      <c r="J542" s="70"/>
      <c r="K542" s="70">
        <f>K543</f>
        <v>0</v>
      </c>
      <c r="L542" s="70">
        <f>L543</f>
        <v>0</v>
      </c>
      <c r="M542" s="70"/>
      <c r="N542" s="70">
        <f>N543</f>
        <v>0</v>
      </c>
    </row>
    <row r="543" spans="1:14" ht="26.25" x14ac:dyDescent="0.25">
      <c r="A543" s="98"/>
      <c r="B543" s="98"/>
      <c r="C543" s="6"/>
      <c r="D543" s="6" t="s">
        <v>471</v>
      </c>
      <c r="E543" s="3" t="s">
        <v>472</v>
      </c>
      <c r="F543" s="70">
        <f>F544+F545</f>
        <v>2844</v>
      </c>
      <c r="G543" s="70"/>
      <c r="H543" s="70">
        <f>H544+H545</f>
        <v>2844</v>
      </c>
      <c r="I543" s="70">
        <f>I544+I545</f>
        <v>0</v>
      </c>
      <c r="J543" s="70"/>
      <c r="K543" s="70">
        <f>K544+K545</f>
        <v>0</v>
      </c>
      <c r="L543" s="70">
        <f>L544+L545</f>
        <v>0</v>
      </c>
      <c r="M543" s="70"/>
      <c r="N543" s="70">
        <f>N544+N545</f>
        <v>0</v>
      </c>
    </row>
    <row r="544" spans="1:14" x14ac:dyDescent="0.25">
      <c r="A544" s="98"/>
      <c r="B544" s="98"/>
      <c r="C544" s="6"/>
      <c r="D544" s="6"/>
      <c r="E544" s="3" t="s">
        <v>83</v>
      </c>
      <c r="F544" s="70">
        <v>2133</v>
      </c>
      <c r="G544" s="70"/>
      <c r="H544" s="70">
        <v>2133</v>
      </c>
      <c r="I544" s="70">
        <v>0</v>
      </c>
      <c r="J544" s="70"/>
      <c r="K544" s="70">
        <v>0</v>
      </c>
      <c r="L544" s="70">
        <v>0</v>
      </c>
      <c r="M544" s="70"/>
      <c r="N544" s="70">
        <v>0</v>
      </c>
    </row>
    <row r="545" spans="1:14" x14ac:dyDescent="0.25">
      <c r="A545" s="98"/>
      <c r="B545" s="98"/>
      <c r="C545" s="6"/>
      <c r="D545" s="6"/>
      <c r="E545" s="3" t="s">
        <v>84</v>
      </c>
      <c r="F545" s="70">
        <v>711</v>
      </c>
      <c r="G545" s="70"/>
      <c r="H545" s="70">
        <v>711</v>
      </c>
      <c r="I545" s="70">
        <v>0</v>
      </c>
      <c r="J545" s="70"/>
      <c r="K545" s="70">
        <v>0</v>
      </c>
      <c r="L545" s="70">
        <v>0</v>
      </c>
      <c r="M545" s="70"/>
      <c r="N545" s="70">
        <v>0</v>
      </c>
    </row>
    <row r="546" spans="1:14" s="42" customFormat="1" ht="25.5" x14ac:dyDescent="0.25">
      <c r="A546" s="100"/>
      <c r="B546" s="100"/>
      <c r="C546" s="90" t="s">
        <v>520</v>
      </c>
      <c r="D546" s="14"/>
      <c r="E546" s="91" t="s">
        <v>691</v>
      </c>
      <c r="F546" s="71">
        <f t="shared" ref="F546:N547" si="119">F547</f>
        <v>428.48340000000002</v>
      </c>
      <c r="G546" s="71"/>
      <c r="H546" s="71">
        <f t="shared" si="119"/>
        <v>428.48340000000002</v>
      </c>
      <c r="I546" s="71">
        <f t="shared" si="119"/>
        <v>428.48340000000002</v>
      </c>
      <c r="J546" s="71"/>
      <c r="K546" s="71">
        <f t="shared" si="119"/>
        <v>428.48340000000002</v>
      </c>
      <c r="L546" s="71">
        <f t="shared" si="119"/>
        <v>428.48340000000002</v>
      </c>
      <c r="M546" s="71"/>
      <c r="N546" s="71">
        <f t="shared" si="119"/>
        <v>428.48340000000002</v>
      </c>
    </row>
    <row r="547" spans="1:14" ht="39" x14ac:dyDescent="0.25">
      <c r="A547" s="98"/>
      <c r="B547" s="98"/>
      <c r="C547" s="89" t="s">
        <v>521</v>
      </c>
      <c r="D547" s="89"/>
      <c r="E547" s="3" t="s">
        <v>522</v>
      </c>
      <c r="F547" s="70">
        <f t="shared" si="119"/>
        <v>428.48340000000002</v>
      </c>
      <c r="G547" s="70"/>
      <c r="H547" s="70">
        <f t="shared" si="119"/>
        <v>428.48340000000002</v>
      </c>
      <c r="I547" s="70">
        <f t="shared" si="119"/>
        <v>428.48340000000002</v>
      </c>
      <c r="J547" s="70"/>
      <c r="K547" s="70">
        <f t="shared" si="119"/>
        <v>428.48340000000002</v>
      </c>
      <c r="L547" s="70">
        <f t="shared" si="119"/>
        <v>428.48340000000002</v>
      </c>
      <c r="M547" s="70"/>
      <c r="N547" s="70">
        <f t="shared" si="119"/>
        <v>428.48340000000002</v>
      </c>
    </row>
    <row r="548" spans="1:14" ht="26.25" x14ac:dyDescent="0.25">
      <c r="A548" s="98"/>
      <c r="B548" s="98"/>
      <c r="C548" s="89"/>
      <c r="D548" s="89" t="s">
        <v>471</v>
      </c>
      <c r="E548" s="87" t="s">
        <v>472</v>
      </c>
      <c r="F548" s="70">
        <v>428.48340000000002</v>
      </c>
      <c r="G548" s="70"/>
      <c r="H548" s="70">
        <v>428.48340000000002</v>
      </c>
      <c r="I548" s="70">
        <v>428.48340000000002</v>
      </c>
      <c r="J548" s="70"/>
      <c r="K548" s="70">
        <v>428.48340000000002</v>
      </c>
      <c r="L548" s="70">
        <v>428.48340000000002</v>
      </c>
      <c r="M548" s="70"/>
      <c r="N548" s="70">
        <v>428.48340000000002</v>
      </c>
    </row>
    <row r="549" spans="1:14" x14ac:dyDescent="0.25">
      <c r="A549" s="31"/>
      <c r="B549" s="31"/>
      <c r="C549" s="31" t="s">
        <v>132</v>
      </c>
      <c r="D549" s="31"/>
      <c r="E549" s="32" t="s">
        <v>133</v>
      </c>
      <c r="F549" s="75">
        <f>F550</f>
        <v>4944.8999999999996</v>
      </c>
      <c r="G549" s="75"/>
      <c r="H549" s="75">
        <f>H550</f>
        <v>4944.8999999999996</v>
      </c>
      <c r="I549" s="75">
        <f t="shared" ref="I549:N551" si="120">I550</f>
        <v>5125.3999999999996</v>
      </c>
      <c r="J549" s="75"/>
      <c r="K549" s="75">
        <f t="shared" si="120"/>
        <v>5125.3999999999996</v>
      </c>
      <c r="L549" s="75">
        <f t="shared" si="120"/>
        <v>5317.3</v>
      </c>
      <c r="M549" s="75"/>
      <c r="N549" s="75">
        <f t="shared" si="120"/>
        <v>5317.3</v>
      </c>
    </row>
    <row r="550" spans="1:14" ht="26.25" x14ac:dyDescent="0.25">
      <c r="A550" s="33"/>
      <c r="B550" s="33"/>
      <c r="C550" s="33" t="s">
        <v>140</v>
      </c>
      <c r="D550" s="33"/>
      <c r="E550" s="34" t="s">
        <v>141</v>
      </c>
      <c r="F550" s="71">
        <f>F551</f>
        <v>4944.8999999999996</v>
      </c>
      <c r="G550" s="71"/>
      <c r="H550" s="71">
        <f>H551</f>
        <v>4944.8999999999996</v>
      </c>
      <c r="I550" s="71">
        <f t="shared" si="120"/>
        <v>5125.3999999999996</v>
      </c>
      <c r="J550" s="71"/>
      <c r="K550" s="71">
        <f t="shared" si="120"/>
        <v>5125.3999999999996</v>
      </c>
      <c r="L550" s="71">
        <f t="shared" si="120"/>
        <v>5317.3</v>
      </c>
      <c r="M550" s="71"/>
      <c r="N550" s="71">
        <f t="shared" si="120"/>
        <v>5317.3</v>
      </c>
    </row>
    <row r="551" spans="1:14" ht="26.25" x14ac:dyDescent="0.25">
      <c r="A551" s="98"/>
      <c r="B551" s="98"/>
      <c r="C551" s="6" t="s">
        <v>142</v>
      </c>
      <c r="D551" s="6"/>
      <c r="E551" s="3" t="s">
        <v>143</v>
      </c>
      <c r="F551" s="70">
        <f>F552</f>
        <v>4944.8999999999996</v>
      </c>
      <c r="G551" s="70"/>
      <c r="H551" s="70">
        <f>H552</f>
        <v>4944.8999999999996</v>
      </c>
      <c r="I551" s="70">
        <f t="shared" si="120"/>
        <v>5125.3999999999996</v>
      </c>
      <c r="J551" s="70"/>
      <c r="K551" s="70">
        <f t="shared" si="120"/>
        <v>5125.3999999999996</v>
      </c>
      <c r="L551" s="70">
        <f t="shared" si="120"/>
        <v>5317.3</v>
      </c>
      <c r="M551" s="70"/>
      <c r="N551" s="70">
        <f t="shared" si="120"/>
        <v>5317.3</v>
      </c>
    </row>
    <row r="552" spans="1:14" ht="26.25" x14ac:dyDescent="0.25">
      <c r="A552" s="98"/>
      <c r="B552" s="98"/>
      <c r="C552" s="6"/>
      <c r="D552" s="40" t="s">
        <v>471</v>
      </c>
      <c r="E552" s="41" t="s">
        <v>472</v>
      </c>
      <c r="F552" s="70">
        <v>4944.8999999999996</v>
      </c>
      <c r="G552" s="70"/>
      <c r="H552" s="70">
        <v>4944.8999999999996</v>
      </c>
      <c r="I552" s="70">
        <v>5125.3999999999996</v>
      </c>
      <c r="J552" s="70"/>
      <c r="K552" s="70">
        <v>5125.3999999999996</v>
      </c>
      <c r="L552" s="70">
        <v>5317.3</v>
      </c>
      <c r="M552" s="70"/>
      <c r="N552" s="70">
        <v>5317.3</v>
      </c>
    </row>
    <row r="553" spans="1:14" ht="24.75" customHeight="1" x14ac:dyDescent="0.25">
      <c r="A553" s="31"/>
      <c r="B553" s="31"/>
      <c r="C553" s="31" t="s">
        <v>146</v>
      </c>
      <c r="D553" s="31"/>
      <c r="E553" s="32" t="s">
        <v>147</v>
      </c>
      <c r="F553" s="75">
        <f t="shared" ref="F553:L553" si="121">F554</f>
        <v>20599.900000000001</v>
      </c>
      <c r="G553" s="75">
        <f t="shared" si="121"/>
        <v>452.9</v>
      </c>
      <c r="H553" s="75">
        <f t="shared" si="121"/>
        <v>21052.799999999999</v>
      </c>
      <c r="I553" s="75">
        <f t="shared" si="121"/>
        <v>23362.83</v>
      </c>
      <c r="J553" s="75">
        <f t="shared" si="121"/>
        <v>0</v>
      </c>
      <c r="K553" s="75">
        <f t="shared" si="121"/>
        <v>23362.83</v>
      </c>
      <c r="L553" s="75">
        <f t="shared" si="121"/>
        <v>0</v>
      </c>
      <c r="M553" s="75"/>
      <c r="N553" s="75">
        <f>N554</f>
        <v>0</v>
      </c>
    </row>
    <row r="554" spans="1:14" ht="26.25" x14ac:dyDescent="0.25">
      <c r="A554" s="36"/>
      <c r="B554" s="36"/>
      <c r="C554" s="36" t="s">
        <v>148</v>
      </c>
      <c r="D554" s="36"/>
      <c r="E554" s="34" t="s">
        <v>149</v>
      </c>
      <c r="F554" s="71">
        <f>+F555+F559+F561</f>
        <v>20599.900000000001</v>
      </c>
      <c r="G554" s="71">
        <f>+G555+G559+G561</f>
        <v>452.9</v>
      </c>
      <c r="H554" s="71">
        <f>+H555+H559+H561</f>
        <v>21052.799999999999</v>
      </c>
      <c r="I554" s="71">
        <f>+I555+I559</f>
        <v>23362.83</v>
      </c>
      <c r="J554" s="71">
        <f>+J555+J559</f>
        <v>0</v>
      </c>
      <c r="K554" s="71">
        <f>+K555+K559</f>
        <v>23362.83</v>
      </c>
      <c r="L554" s="71">
        <f>+L555</f>
        <v>0</v>
      </c>
      <c r="M554" s="71"/>
      <c r="N554" s="71">
        <f>+N555</f>
        <v>0</v>
      </c>
    </row>
    <row r="555" spans="1:14" ht="25.5" x14ac:dyDescent="0.25">
      <c r="A555" s="98"/>
      <c r="B555" s="98"/>
      <c r="C555" s="6" t="s">
        <v>489</v>
      </c>
      <c r="D555" s="6"/>
      <c r="E555" s="1" t="s">
        <v>682</v>
      </c>
      <c r="F555" s="80">
        <f>F556</f>
        <v>17700</v>
      </c>
      <c r="G555" s="80"/>
      <c r="H555" s="80">
        <f>H556</f>
        <v>17700</v>
      </c>
      <c r="I555" s="80">
        <f>I556</f>
        <v>18400</v>
      </c>
      <c r="J555" s="80"/>
      <c r="K555" s="80">
        <f>K556</f>
        <v>18400</v>
      </c>
      <c r="L555" s="80">
        <v>0</v>
      </c>
      <c r="M555" s="80"/>
      <c r="N555" s="80">
        <v>0</v>
      </c>
    </row>
    <row r="556" spans="1:14" ht="26.25" x14ac:dyDescent="0.25">
      <c r="A556" s="98"/>
      <c r="B556" s="98"/>
      <c r="C556" s="6"/>
      <c r="D556" s="6" t="s">
        <v>471</v>
      </c>
      <c r="E556" s="3" t="s">
        <v>472</v>
      </c>
      <c r="F556" s="80">
        <f>F557+F558</f>
        <v>17700</v>
      </c>
      <c r="G556" s="80"/>
      <c r="H556" s="80">
        <f>H557+H558</f>
        <v>17700</v>
      </c>
      <c r="I556" s="80">
        <f>I557+I558</f>
        <v>18400</v>
      </c>
      <c r="J556" s="80"/>
      <c r="K556" s="80">
        <f>K557+K558</f>
        <v>18400</v>
      </c>
      <c r="L556" s="80">
        <v>0</v>
      </c>
      <c r="M556" s="80"/>
      <c r="N556" s="80">
        <v>0</v>
      </c>
    </row>
    <row r="557" spans="1:14" x14ac:dyDescent="0.25">
      <c r="A557" s="98"/>
      <c r="B557" s="98"/>
      <c r="C557" s="6"/>
      <c r="D557" s="6"/>
      <c r="E557" s="3" t="s">
        <v>153</v>
      </c>
      <c r="F557" s="80">
        <v>15930</v>
      </c>
      <c r="G557" s="80"/>
      <c r="H557" s="80">
        <v>15930</v>
      </c>
      <c r="I557" s="80">
        <v>16560</v>
      </c>
      <c r="J557" s="80"/>
      <c r="K557" s="80">
        <v>16560</v>
      </c>
      <c r="L557" s="80">
        <v>0</v>
      </c>
      <c r="M557" s="80"/>
      <c r="N557" s="80">
        <v>0</v>
      </c>
    </row>
    <row r="558" spans="1:14" x14ac:dyDescent="0.25">
      <c r="A558" s="98"/>
      <c r="B558" s="98"/>
      <c r="C558" s="6"/>
      <c r="D558" s="6"/>
      <c r="E558" s="3" t="s">
        <v>105</v>
      </c>
      <c r="F558" s="80">
        <v>1770</v>
      </c>
      <c r="G558" s="80"/>
      <c r="H558" s="80">
        <v>1770</v>
      </c>
      <c r="I558" s="80">
        <v>1840</v>
      </c>
      <c r="J558" s="80"/>
      <c r="K558" s="80">
        <v>1840</v>
      </c>
      <c r="L558" s="80">
        <v>0</v>
      </c>
      <c r="M558" s="80"/>
      <c r="N558" s="80">
        <v>0</v>
      </c>
    </row>
    <row r="559" spans="1:14" x14ac:dyDescent="0.25">
      <c r="A559" s="98"/>
      <c r="B559" s="98"/>
      <c r="C559" s="6" t="s">
        <v>798</v>
      </c>
      <c r="D559" s="92"/>
      <c r="E559" s="3" t="s">
        <v>797</v>
      </c>
      <c r="F559" s="80">
        <f>F560</f>
        <v>2639.5</v>
      </c>
      <c r="G559" s="80"/>
      <c r="H559" s="80">
        <f>H560</f>
        <v>2639.5</v>
      </c>
      <c r="I559" s="80">
        <f>I560</f>
        <v>4962.83</v>
      </c>
      <c r="J559" s="70"/>
      <c r="K559" s="70">
        <f>K560</f>
        <v>4962.83</v>
      </c>
      <c r="L559" s="80">
        <v>0</v>
      </c>
      <c r="M559" s="80"/>
      <c r="N559" s="80">
        <v>0</v>
      </c>
    </row>
    <row r="560" spans="1:14" ht="26.25" x14ac:dyDescent="0.25">
      <c r="A560" s="98"/>
      <c r="B560" s="98"/>
      <c r="C560" s="92"/>
      <c r="D560" s="6" t="s">
        <v>471</v>
      </c>
      <c r="E560" s="3" t="s">
        <v>472</v>
      </c>
      <c r="F560" s="80">
        <v>2639.5</v>
      </c>
      <c r="G560" s="80"/>
      <c r="H560" s="80">
        <v>2639.5</v>
      </c>
      <c r="I560" s="80">
        <v>4962.83</v>
      </c>
      <c r="J560" s="70"/>
      <c r="K560" s="70">
        <v>4962.83</v>
      </c>
      <c r="L560" s="80">
        <v>0</v>
      </c>
      <c r="M560" s="80"/>
      <c r="N560" s="80">
        <v>0</v>
      </c>
    </row>
    <row r="561" spans="1:14" ht="26.25" x14ac:dyDescent="0.25">
      <c r="A561" s="98"/>
      <c r="B561" s="98"/>
      <c r="C561" s="22" t="s">
        <v>900</v>
      </c>
      <c r="D561" s="6"/>
      <c r="E561" s="3" t="s">
        <v>899</v>
      </c>
      <c r="F561" s="70">
        <v>260.39999999999998</v>
      </c>
      <c r="G561" s="70">
        <f>G562</f>
        <v>452.9</v>
      </c>
      <c r="H561" s="70">
        <f>H562</f>
        <v>713.3</v>
      </c>
      <c r="I561" s="80">
        <v>0</v>
      </c>
      <c r="J561" s="70"/>
      <c r="K561" s="70">
        <v>0</v>
      </c>
      <c r="L561" s="80">
        <v>0</v>
      </c>
      <c r="M561" s="80"/>
      <c r="N561" s="80">
        <v>0</v>
      </c>
    </row>
    <row r="562" spans="1:14" ht="26.25" x14ac:dyDescent="0.25">
      <c r="A562" s="98"/>
      <c r="B562" s="98"/>
      <c r="C562" s="92"/>
      <c r="D562" s="6" t="s">
        <v>471</v>
      </c>
      <c r="E562" s="3" t="s">
        <v>472</v>
      </c>
      <c r="F562" s="70">
        <v>260.39999999999998</v>
      </c>
      <c r="G562" s="70">
        <v>452.9</v>
      </c>
      <c r="H562" s="70">
        <f>260.4+452.9</f>
        <v>713.3</v>
      </c>
      <c r="I562" s="80">
        <v>0</v>
      </c>
      <c r="J562" s="70"/>
      <c r="K562" s="70">
        <v>0</v>
      </c>
      <c r="L562" s="80">
        <v>0</v>
      </c>
      <c r="M562" s="80"/>
      <c r="N562" s="80">
        <v>0</v>
      </c>
    </row>
    <row r="563" spans="1:14" x14ac:dyDescent="0.25">
      <c r="A563" s="68"/>
      <c r="B563" s="17" t="s">
        <v>640</v>
      </c>
      <c r="C563" s="109"/>
      <c r="D563" s="17"/>
      <c r="E563" s="129" t="s">
        <v>641</v>
      </c>
      <c r="F563" s="74">
        <f t="shared" ref="F563:N566" si="122">F564</f>
        <v>36430.254730000001</v>
      </c>
      <c r="G563" s="74">
        <f t="shared" si="122"/>
        <v>-10.5</v>
      </c>
      <c r="H563" s="74">
        <f t="shared" si="122"/>
        <v>36419.754730000001</v>
      </c>
      <c r="I563" s="74">
        <f t="shared" si="122"/>
        <v>36154.5</v>
      </c>
      <c r="J563" s="74"/>
      <c r="K563" s="74">
        <f t="shared" si="122"/>
        <v>36154.5</v>
      </c>
      <c r="L563" s="74">
        <f t="shared" si="122"/>
        <v>36063.9</v>
      </c>
      <c r="M563" s="74"/>
      <c r="N563" s="74">
        <f t="shared" si="122"/>
        <v>36063.9</v>
      </c>
    </row>
    <row r="564" spans="1:14" x14ac:dyDescent="0.25">
      <c r="A564" s="68"/>
      <c r="B564" s="17"/>
      <c r="C564" s="109" t="s">
        <v>5</v>
      </c>
      <c r="D564" s="108"/>
      <c r="E564" s="129" t="s">
        <v>6</v>
      </c>
      <c r="F564" s="74">
        <f t="shared" si="122"/>
        <v>36430.254730000001</v>
      </c>
      <c r="G564" s="74">
        <f t="shared" si="122"/>
        <v>-10.5</v>
      </c>
      <c r="H564" s="74">
        <f t="shared" si="122"/>
        <v>36419.754730000001</v>
      </c>
      <c r="I564" s="74">
        <f t="shared" si="122"/>
        <v>36154.5</v>
      </c>
      <c r="J564" s="74"/>
      <c r="K564" s="74">
        <f t="shared" si="122"/>
        <v>36154.5</v>
      </c>
      <c r="L564" s="74">
        <f t="shared" si="122"/>
        <v>36063.9</v>
      </c>
      <c r="M564" s="74"/>
      <c r="N564" s="74">
        <f t="shared" si="122"/>
        <v>36063.9</v>
      </c>
    </row>
    <row r="565" spans="1:14" ht="25.5" x14ac:dyDescent="0.25">
      <c r="A565" s="111"/>
      <c r="B565" s="112"/>
      <c r="C565" s="113" t="s">
        <v>57</v>
      </c>
      <c r="D565" s="112"/>
      <c r="E565" s="114" t="s">
        <v>532</v>
      </c>
      <c r="F565" s="115">
        <f>F566+F572</f>
        <v>36430.254730000001</v>
      </c>
      <c r="G565" s="115">
        <f>G566+G572</f>
        <v>-10.5</v>
      </c>
      <c r="H565" s="115">
        <f>H566+H572</f>
        <v>36419.754730000001</v>
      </c>
      <c r="I565" s="115">
        <f t="shared" si="122"/>
        <v>36154.5</v>
      </c>
      <c r="J565" s="115"/>
      <c r="K565" s="115">
        <f t="shared" si="122"/>
        <v>36154.5</v>
      </c>
      <c r="L565" s="115">
        <f t="shared" si="122"/>
        <v>36063.9</v>
      </c>
      <c r="M565" s="115"/>
      <c r="N565" s="115">
        <f t="shared" si="122"/>
        <v>36063.9</v>
      </c>
    </row>
    <row r="566" spans="1:14" x14ac:dyDescent="0.25">
      <c r="A566" s="31"/>
      <c r="B566" s="31"/>
      <c r="C566" s="31" t="s">
        <v>107</v>
      </c>
      <c r="D566" s="31"/>
      <c r="E566" s="32" t="s">
        <v>108</v>
      </c>
      <c r="F566" s="75">
        <f t="shared" si="122"/>
        <v>35972.800000000003</v>
      </c>
      <c r="G566" s="75">
        <f t="shared" si="122"/>
        <v>-10.5</v>
      </c>
      <c r="H566" s="75">
        <f t="shared" si="122"/>
        <v>35962.300000000003</v>
      </c>
      <c r="I566" s="75">
        <f t="shared" si="122"/>
        <v>36154.5</v>
      </c>
      <c r="J566" s="75"/>
      <c r="K566" s="75">
        <f t="shared" si="122"/>
        <v>36154.5</v>
      </c>
      <c r="L566" s="75">
        <f t="shared" si="122"/>
        <v>36063.9</v>
      </c>
      <c r="M566" s="75"/>
      <c r="N566" s="75">
        <f t="shared" si="122"/>
        <v>36063.9</v>
      </c>
    </row>
    <row r="567" spans="1:14" ht="26.25" x14ac:dyDescent="0.25">
      <c r="A567" s="33"/>
      <c r="B567" s="33"/>
      <c r="C567" s="33" t="s">
        <v>109</v>
      </c>
      <c r="D567" s="36"/>
      <c r="E567" s="34" t="s">
        <v>110</v>
      </c>
      <c r="F567" s="71">
        <f>F568+F570</f>
        <v>35972.800000000003</v>
      </c>
      <c r="G567" s="71">
        <f>G568+G570</f>
        <v>-10.5</v>
      </c>
      <c r="H567" s="71">
        <f>H568+H570</f>
        <v>35962.300000000003</v>
      </c>
      <c r="I567" s="71">
        <f>I568+I570</f>
        <v>36154.5</v>
      </c>
      <c r="J567" s="71"/>
      <c r="K567" s="71">
        <f>K568+K570</f>
        <v>36154.5</v>
      </c>
      <c r="L567" s="71">
        <f>L568+L570</f>
        <v>36063.9</v>
      </c>
      <c r="M567" s="71"/>
      <c r="N567" s="71">
        <f>N568+N570</f>
        <v>36063.9</v>
      </c>
    </row>
    <row r="568" spans="1:14" ht="39" x14ac:dyDescent="0.25">
      <c r="A568" s="98"/>
      <c r="B568" s="98"/>
      <c r="C568" s="6" t="s">
        <v>111</v>
      </c>
      <c r="D568" s="12"/>
      <c r="E568" s="3" t="s">
        <v>680</v>
      </c>
      <c r="F568" s="70">
        <f>F569</f>
        <v>22580.3</v>
      </c>
      <c r="G568" s="70">
        <f>G569</f>
        <v>-10.5</v>
      </c>
      <c r="H568" s="70">
        <f>H569</f>
        <v>22569.8</v>
      </c>
      <c r="I568" s="70">
        <f>I569</f>
        <v>22616.3</v>
      </c>
      <c r="J568" s="70"/>
      <c r="K568" s="70">
        <f>K569</f>
        <v>22616.3</v>
      </c>
      <c r="L568" s="70">
        <f>L569</f>
        <v>22612.799999999999</v>
      </c>
      <c r="M568" s="70"/>
      <c r="N568" s="70">
        <f>N569</f>
        <v>22612.799999999999</v>
      </c>
    </row>
    <row r="569" spans="1:14" ht="26.25" x14ac:dyDescent="0.25">
      <c r="A569" s="98"/>
      <c r="B569" s="98"/>
      <c r="C569" s="6"/>
      <c r="D569" s="6" t="s">
        <v>471</v>
      </c>
      <c r="E569" s="3" t="s">
        <v>472</v>
      </c>
      <c r="F569" s="70">
        <f>22651.1-70.8</f>
        <v>22580.3</v>
      </c>
      <c r="G569" s="70">
        <v>-10.5</v>
      </c>
      <c r="H569" s="70">
        <f>22651.1-70.8-10.5</f>
        <v>22569.8</v>
      </c>
      <c r="I569" s="70">
        <f>22672.3-56</f>
        <v>22616.3</v>
      </c>
      <c r="J569" s="70"/>
      <c r="K569" s="70">
        <f>22672.3-56</f>
        <v>22616.3</v>
      </c>
      <c r="L569" s="70">
        <f>22754.6-141.8</f>
        <v>22612.799999999999</v>
      </c>
      <c r="M569" s="70"/>
      <c r="N569" s="70">
        <f>22754.6-141.8</f>
        <v>22612.799999999999</v>
      </c>
    </row>
    <row r="570" spans="1:14" ht="39" x14ac:dyDescent="0.25">
      <c r="A570" s="98"/>
      <c r="B570" s="98"/>
      <c r="C570" s="6" t="s">
        <v>112</v>
      </c>
      <c r="D570" s="12"/>
      <c r="E570" s="3" t="s">
        <v>681</v>
      </c>
      <c r="F570" s="70">
        <f>F571</f>
        <v>13392.5</v>
      </c>
      <c r="G570" s="70"/>
      <c r="H570" s="70">
        <f>H571</f>
        <v>13392.5</v>
      </c>
      <c r="I570" s="70">
        <f>I571</f>
        <v>13538.199999999999</v>
      </c>
      <c r="J570" s="70"/>
      <c r="K570" s="70">
        <f>K571</f>
        <v>13538.199999999999</v>
      </c>
      <c r="L570" s="70">
        <f>L571</f>
        <v>13451.1</v>
      </c>
      <c r="M570" s="70"/>
      <c r="N570" s="70">
        <f>N571</f>
        <v>13451.1</v>
      </c>
    </row>
    <row r="571" spans="1:14" ht="26.25" x14ac:dyDescent="0.25">
      <c r="A571" s="98"/>
      <c r="B571" s="98"/>
      <c r="C571" s="6"/>
      <c r="D571" s="6" t="s">
        <v>471</v>
      </c>
      <c r="E571" s="3" t="s">
        <v>472</v>
      </c>
      <c r="F571" s="70">
        <f>13452.3-59.8</f>
        <v>13392.5</v>
      </c>
      <c r="G571" s="70"/>
      <c r="H571" s="70">
        <f>13452.3-59.8</f>
        <v>13392.5</v>
      </c>
      <c r="I571" s="70">
        <f>13618.4-80.2</f>
        <v>13538.199999999999</v>
      </c>
      <c r="J571" s="70"/>
      <c r="K571" s="70">
        <f>13618.4-80.2</f>
        <v>13538.199999999999</v>
      </c>
      <c r="L571" s="70">
        <f>13623.1-172</f>
        <v>13451.1</v>
      </c>
      <c r="M571" s="70"/>
      <c r="N571" s="70">
        <f>13623.1-172</f>
        <v>13451.1</v>
      </c>
    </row>
    <row r="572" spans="1:14" ht="24.75" customHeight="1" x14ac:dyDescent="0.25">
      <c r="A572" s="31"/>
      <c r="B572" s="31"/>
      <c r="C572" s="31" t="s">
        <v>146</v>
      </c>
      <c r="D572" s="31"/>
      <c r="E572" s="32" t="s">
        <v>147</v>
      </c>
      <c r="F572" s="75">
        <f t="shared" ref="F572:L572" si="123">F573</f>
        <v>457.45472999999998</v>
      </c>
      <c r="G572" s="75">
        <f t="shared" si="123"/>
        <v>0</v>
      </c>
      <c r="H572" s="75">
        <f t="shared" si="123"/>
        <v>457.45472999999998</v>
      </c>
      <c r="I572" s="75">
        <f t="shared" si="123"/>
        <v>6685.8</v>
      </c>
      <c r="J572" s="75">
        <f t="shared" si="123"/>
        <v>0</v>
      </c>
      <c r="K572" s="75">
        <f t="shared" si="123"/>
        <v>6685.8</v>
      </c>
      <c r="L572" s="75">
        <f t="shared" si="123"/>
        <v>0</v>
      </c>
      <c r="M572" s="75"/>
      <c r="N572" s="75">
        <f>N573</f>
        <v>0</v>
      </c>
    </row>
    <row r="573" spans="1:14" ht="26.25" x14ac:dyDescent="0.25">
      <c r="A573" s="36"/>
      <c r="B573" s="36"/>
      <c r="C573" s="36" t="s">
        <v>148</v>
      </c>
      <c r="D573" s="36"/>
      <c r="E573" s="34" t="s">
        <v>149</v>
      </c>
      <c r="F573" s="71">
        <f t="shared" ref="F573:H574" si="124">F574</f>
        <v>457.45472999999998</v>
      </c>
      <c r="G573" s="71">
        <f t="shared" si="124"/>
        <v>0</v>
      </c>
      <c r="H573" s="71">
        <f t="shared" si="124"/>
        <v>457.45472999999998</v>
      </c>
      <c r="I573" s="71">
        <f>+I574+I578</f>
        <v>6685.8</v>
      </c>
      <c r="J573" s="71">
        <f>+J574+J578</f>
        <v>0</v>
      </c>
      <c r="K573" s="71">
        <f>+K574+K578</f>
        <v>6685.8</v>
      </c>
      <c r="L573" s="71">
        <f>+L574</f>
        <v>0</v>
      </c>
      <c r="M573" s="71"/>
      <c r="N573" s="71">
        <f>+N574</f>
        <v>0</v>
      </c>
    </row>
    <row r="574" spans="1:14" ht="51" x14ac:dyDescent="0.25">
      <c r="A574" s="98"/>
      <c r="B574" s="98"/>
      <c r="C574" s="4" t="s">
        <v>915</v>
      </c>
      <c r="D574" s="4"/>
      <c r="E574" s="5" t="s">
        <v>914</v>
      </c>
      <c r="F574" s="70">
        <f t="shared" si="124"/>
        <v>457.45472999999998</v>
      </c>
      <c r="G574" s="70">
        <f t="shared" si="124"/>
        <v>0</v>
      </c>
      <c r="H574" s="70">
        <f t="shared" si="124"/>
        <v>457.45472999999998</v>
      </c>
      <c r="I574" s="80">
        <v>0</v>
      </c>
      <c r="J574" s="70"/>
      <c r="K574" s="70">
        <v>0</v>
      </c>
      <c r="L574" s="80">
        <v>0</v>
      </c>
      <c r="M574" s="80"/>
      <c r="N574" s="80">
        <v>0</v>
      </c>
    </row>
    <row r="575" spans="1:14" ht="26.25" x14ac:dyDescent="0.25">
      <c r="A575" s="98"/>
      <c r="B575" s="98"/>
      <c r="C575" s="6"/>
      <c r="D575" s="6" t="s">
        <v>471</v>
      </c>
      <c r="E575" s="3" t="s">
        <v>472</v>
      </c>
      <c r="F575" s="70">
        <v>457.45472999999998</v>
      </c>
      <c r="G575" s="70"/>
      <c r="H575" s="70">
        <v>457.45472999999998</v>
      </c>
      <c r="I575" s="80">
        <v>0</v>
      </c>
      <c r="J575" s="70"/>
      <c r="K575" s="70">
        <v>0</v>
      </c>
      <c r="L575" s="80">
        <v>0</v>
      </c>
      <c r="M575" s="80"/>
      <c r="N575" s="80">
        <v>0</v>
      </c>
    </row>
    <row r="576" spans="1:14" x14ac:dyDescent="0.25">
      <c r="A576" s="68"/>
      <c r="B576" s="17" t="s">
        <v>644</v>
      </c>
      <c r="C576" s="109"/>
      <c r="D576" s="17"/>
      <c r="E576" s="129" t="s">
        <v>645</v>
      </c>
      <c r="F576" s="74">
        <f>F577</f>
        <v>13811.8</v>
      </c>
      <c r="G576" s="74"/>
      <c r="H576" s="74">
        <f>H577</f>
        <v>13811.8</v>
      </c>
      <c r="I576" s="74">
        <f>I577</f>
        <v>14489.400000000001</v>
      </c>
      <c r="J576" s="74"/>
      <c r="K576" s="74">
        <f>K577</f>
        <v>14489.400000000001</v>
      </c>
      <c r="L576" s="74">
        <f>L577</f>
        <v>14537.699999999999</v>
      </c>
      <c r="M576" s="74"/>
      <c r="N576" s="74">
        <f>N577</f>
        <v>14537.699999999999</v>
      </c>
    </row>
    <row r="577" spans="1:14" x14ac:dyDescent="0.25">
      <c r="A577" s="68"/>
      <c r="B577" s="17"/>
      <c r="C577" s="109" t="s">
        <v>5</v>
      </c>
      <c r="D577" s="17"/>
      <c r="E577" s="129" t="s">
        <v>6</v>
      </c>
      <c r="F577" s="74">
        <f>F578+F584</f>
        <v>13811.8</v>
      </c>
      <c r="G577" s="74"/>
      <c r="H577" s="74">
        <f>H578+H584</f>
        <v>13811.8</v>
      </c>
      <c r="I577" s="74">
        <f>I578+I584</f>
        <v>14489.400000000001</v>
      </c>
      <c r="J577" s="74"/>
      <c r="K577" s="74">
        <f>K578+K584</f>
        <v>14489.400000000001</v>
      </c>
      <c r="L577" s="74">
        <f>L578+L584</f>
        <v>14537.699999999999</v>
      </c>
      <c r="M577" s="74"/>
      <c r="N577" s="74">
        <f>N578+N584</f>
        <v>14537.699999999999</v>
      </c>
    </row>
    <row r="578" spans="1:14" ht="25.5" x14ac:dyDescent="0.25">
      <c r="A578" s="111"/>
      <c r="B578" s="112"/>
      <c r="C578" s="113" t="s">
        <v>7</v>
      </c>
      <c r="D578" s="112"/>
      <c r="E578" s="114" t="s">
        <v>526</v>
      </c>
      <c r="F578" s="115">
        <f t="shared" ref="F578:N580" si="125">F579</f>
        <v>6458.7</v>
      </c>
      <c r="G578" s="115"/>
      <c r="H578" s="115">
        <f t="shared" si="125"/>
        <v>6458.7</v>
      </c>
      <c r="I578" s="115">
        <f t="shared" si="125"/>
        <v>6685.8</v>
      </c>
      <c r="J578" s="115"/>
      <c r="K578" s="115">
        <f t="shared" si="125"/>
        <v>6685.8</v>
      </c>
      <c r="L578" s="115">
        <f t="shared" si="125"/>
        <v>6643.5</v>
      </c>
      <c r="M578" s="115"/>
      <c r="N578" s="115">
        <f t="shared" si="125"/>
        <v>6643.5</v>
      </c>
    </row>
    <row r="579" spans="1:14" ht="26.25" x14ac:dyDescent="0.25">
      <c r="A579" s="31"/>
      <c r="B579" s="31"/>
      <c r="C579" s="31" t="s">
        <v>20</v>
      </c>
      <c r="D579" s="31"/>
      <c r="E579" s="35" t="s">
        <v>21</v>
      </c>
      <c r="F579" s="75">
        <f t="shared" si="125"/>
        <v>6458.7</v>
      </c>
      <c r="G579" s="75"/>
      <c r="H579" s="75">
        <f t="shared" si="125"/>
        <v>6458.7</v>
      </c>
      <c r="I579" s="75">
        <f t="shared" si="125"/>
        <v>6685.8</v>
      </c>
      <c r="J579" s="75"/>
      <c r="K579" s="75">
        <f t="shared" si="125"/>
        <v>6685.8</v>
      </c>
      <c r="L579" s="75">
        <f t="shared" si="125"/>
        <v>6643.5</v>
      </c>
      <c r="M579" s="75"/>
      <c r="N579" s="75">
        <f t="shared" si="125"/>
        <v>6643.5</v>
      </c>
    </row>
    <row r="580" spans="1:14" ht="39" x14ac:dyDescent="0.25">
      <c r="A580" s="33"/>
      <c r="B580" s="33"/>
      <c r="C580" s="33" t="s">
        <v>22</v>
      </c>
      <c r="D580" s="33"/>
      <c r="E580" s="34" t="s">
        <v>23</v>
      </c>
      <c r="F580" s="71">
        <f t="shared" si="125"/>
        <v>6458.7</v>
      </c>
      <c r="G580" s="71"/>
      <c r="H580" s="71">
        <f t="shared" si="125"/>
        <v>6458.7</v>
      </c>
      <c r="I580" s="71">
        <f t="shared" si="125"/>
        <v>6685.8</v>
      </c>
      <c r="J580" s="71"/>
      <c r="K580" s="71">
        <f t="shared" si="125"/>
        <v>6685.8</v>
      </c>
      <c r="L580" s="71">
        <f t="shared" si="125"/>
        <v>6643.5</v>
      </c>
      <c r="M580" s="71"/>
      <c r="N580" s="71">
        <f t="shared" si="125"/>
        <v>6643.5</v>
      </c>
    </row>
    <row r="581" spans="1:14" ht="25.5" x14ac:dyDescent="0.25">
      <c r="A581" s="98"/>
      <c r="B581" s="98"/>
      <c r="C581" s="6" t="s">
        <v>26</v>
      </c>
      <c r="D581" s="6"/>
      <c r="E581" s="1" t="s">
        <v>27</v>
      </c>
      <c r="F581" s="70">
        <f>F582+F583</f>
        <v>6458.7</v>
      </c>
      <c r="G581" s="70"/>
      <c r="H581" s="70">
        <f>H582+H583</f>
        <v>6458.7</v>
      </c>
      <c r="I581" s="70">
        <f>I582+I583</f>
        <v>6685.8</v>
      </c>
      <c r="J581" s="70"/>
      <c r="K581" s="70">
        <f>K582+K583</f>
        <v>6685.8</v>
      </c>
      <c r="L581" s="70">
        <f>L582+L583</f>
        <v>6643.5</v>
      </c>
      <c r="M581" s="70"/>
      <c r="N581" s="70">
        <f>N582+N583</f>
        <v>6643.5</v>
      </c>
    </row>
    <row r="582" spans="1:14" ht="39" x14ac:dyDescent="0.25">
      <c r="A582" s="98"/>
      <c r="B582" s="98"/>
      <c r="C582" s="6"/>
      <c r="D582" s="6" t="s">
        <v>399</v>
      </c>
      <c r="E582" s="3" t="s">
        <v>400</v>
      </c>
      <c r="F582" s="70">
        <v>6244</v>
      </c>
      <c r="G582" s="70"/>
      <c r="H582" s="70">
        <v>6244</v>
      </c>
      <c r="I582" s="70">
        <v>6471.1</v>
      </c>
      <c r="J582" s="70"/>
      <c r="K582" s="70">
        <v>6471.1</v>
      </c>
      <c r="L582" s="70">
        <v>6471.1</v>
      </c>
      <c r="M582" s="70"/>
      <c r="N582" s="70">
        <v>6471.1</v>
      </c>
    </row>
    <row r="583" spans="1:14" x14ac:dyDescent="0.25">
      <c r="A583" s="98"/>
      <c r="B583" s="98"/>
      <c r="C583" s="6"/>
      <c r="D583" s="6" t="s">
        <v>281</v>
      </c>
      <c r="E583" s="3" t="s">
        <v>282</v>
      </c>
      <c r="F583" s="70">
        <f>219.1-4.4</f>
        <v>214.7</v>
      </c>
      <c r="G583" s="70"/>
      <c r="H583" s="70">
        <f>219.1-4.4</f>
        <v>214.7</v>
      </c>
      <c r="I583" s="70">
        <f>219.1-4.4</f>
        <v>214.7</v>
      </c>
      <c r="J583" s="70"/>
      <c r="K583" s="70">
        <f>219.1-4.4</f>
        <v>214.7</v>
      </c>
      <c r="L583" s="70">
        <f>219.1-4.4-42.3</f>
        <v>172.39999999999998</v>
      </c>
      <c r="M583" s="70"/>
      <c r="N583" s="70">
        <f>SUM(L583:M583)</f>
        <v>172.39999999999998</v>
      </c>
    </row>
    <row r="584" spans="1:14" ht="25.5" x14ac:dyDescent="0.25">
      <c r="A584" s="111"/>
      <c r="B584" s="112"/>
      <c r="C584" s="113" t="s">
        <v>57</v>
      </c>
      <c r="D584" s="112"/>
      <c r="E584" s="114" t="s">
        <v>58</v>
      </c>
      <c r="F584" s="115">
        <f>F585+F607+F613+F597</f>
        <v>7353.0999999999995</v>
      </c>
      <c r="G584" s="115"/>
      <c r="H584" s="115">
        <f>H585+H607+H613+H597</f>
        <v>7353.0999999999995</v>
      </c>
      <c r="I584" s="115">
        <f>I585+I607+I613+I597</f>
        <v>7803.6</v>
      </c>
      <c r="J584" s="115"/>
      <c r="K584" s="115">
        <f>K585+K607+K613+K597</f>
        <v>7803.6</v>
      </c>
      <c r="L584" s="115">
        <f>L585+L607+L613+L597</f>
        <v>7894.1999999999989</v>
      </c>
      <c r="M584" s="115"/>
      <c r="N584" s="115">
        <f>N585+N607+N613+N597</f>
        <v>7894.1999999999989</v>
      </c>
    </row>
    <row r="585" spans="1:14" x14ac:dyDescent="0.25">
      <c r="A585" s="31"/>
      <c r="B585" s="31"/>
      <c r="C585" s="31" t="s">
        <v>107</v>
      </c>
      <c r="D585" s="31"/>
      <c r="E585" s="35" t="s">
        <v>108</v>
      </c>
      <c r="F585" s="75">
        <f>F586</f>
        <v>697.00000000000011</v>
      </c>
      <c r="G585" s="75"/>
      <c r="H585" s="75">
        <f>H586</f>
        <v>697.00000000000011</v>
      </c>
      <c r="I585" s="75">
        <f>I586</f>
        <v>710.2</v>
      </c>
      <c r="J585" s="75"/>
      <c r="K585" s="75">
        <f>K586</f>
        <v>710.2</v>
      </c>
      <c r="L585" s="75">
        <f>L586</f>
        <v>726.6</v>
      </c>
      <c r="M585" s="75"/>
      <c r="N585" s="75">
        <f>N586</f>
        <v>726.6</v>
      </c>
    </row>
    <row r="586" spans="1:14" ht="26.25" x14ac:dyDescent="0.25">
      <c r="A586" s="33"/>
      <c r="B586" s="33"/>
      <c r="C586" s="33" t="s">
        <v>109</v>
      </c>
      <c r="D586" s="33"/>
      <c r="E586" s="34" t="s">
        <v>110</v>
      </c>
      <c r="F586" s="71">
        <f>F587+F589+F591+F593+F595</f>
        <v>697.00000000000011</v>
      </c>
      <c r="G586" s="71"/>
      <c r="H586" s="71">
        <f>H587+H589+H591+H593+H595</f>
        <v>697.00000000000011</v>
      </c>
      <c r="I586" s="71">
        <f>I587+I589+I591+I593+I595</f>
        <v>710.2</v>
      </c>
      <c r="J586" s="71"/>
      <c r="K586" s="71">
        <f>K587+K589+K591+K593+K595</f>
        <v>710.2</v>
      </c>
      <c r="L586" s="71">
        <f>L587+L589+L591+L593+L595</f>
        <v>726.6</v>
      </c>
      <c r="M586" s="71"/>
      <c r="N586" s="71">
        <f>N587+N589+N591+N593+N595</f>
        <v>726.6</v>
      </c>
    </row>
    <row r="587" spans="1:14" x14ac:dyDescent="0.25">
      <c r="A587" s="98"/>
      <c r="B587" s="98"/>
      <c r="C587" s="6" t="s">
        <v>113</v>
      </c>
      <c r="D587" s="6"/>
      <c r="E587" s="3" t="s">
        <v>114</v>
      </c>
      <c r="F587" s="70">
        <f>F588</f>
        <v>274.2</v>
      </c>
      <c r="G587" s="70"/>
      <c r="H587" s="70">
        <f>H588</f>
        <v>274.2</v>
      </c>
      <c r="I587" s="70">
        <f>I588</f>
        <v>279.5</v>
      </c>
      <c r="J587" s="70"/>
      <c r="K587" s="70">
        <f>K588</f>
        <v>279.5</v>
      </c>
      <c r="L587" s="70">
        <f>L588</f>
        <v>284.89999999999998</v>
      </c>
      <c r="M587" s="70"/>
      <c r="N587" s="70">
        <f>N588</f>
        <v>284.89999999999998</v>
      </c>
    </row>
    <row r="588" spans="1:14" ht="26.25" x14ac:dyDescent="0.25">
      <c r="A588" s="98"/>
      <c r="B588" s="98"/>
      <c r="C588" s="6"/>
      <c r="D588" s="6" t="s">
        <v>471</v>
      </c>
      <c r="E588" s="3" t="s">
        <v>472</v>
      </c>
      <c r="F588" s="70">
        <v>274.2</v>
      </c>
      <c r="G588" s="70"/>
      <c r="H588" s="70">
        <v>274.2</v>
      </c>
      <c r="I588" s="70">
        <v>279.5</v>
      </c>
      <c r="J588" s="70"/>
      <c r="K588" s="70">
        <v>279.5</v>
      </c>
      <c r="L588" s="70">
        <v>284.89999999999998</v>
      </c>
      <c r="M588" s="70"/>
      <c r="N588" s="70">
        <v>284.89999999999998</v>
      </c>
    </row>
    <row r="589" spans="1:14" x14ac:dyDescent="0.25">
      <c r="A589" s="98"/>
      <c r="B589" s="98"/>
      <c r="C589" s="6" t="s">
        <v>115</v>
      </c>
      <c r="D589" s="6"/>
      <c r="E589" s="3" t="s">
        <v>116</v>
      </c>
      <c r="F589" s="70">
        <f>F590</f>
        <v>108.9</v>
      </c>
      <c r="G589" s="70"/>
      <c r="H589" s="70">
        <f>H590</f>
        <v>108.9</v>
      </c>
      <c r="I589" s="70">
        <f>I590</f>
        <v>109.3</v>
      </c>
      <c r="J589" s="70"/>
      <c r="K589" s="70">
        <f>K590</f>
        <v>109.3</v>
      </c>
      <c r="L589" s="70">
        <f>L590</f>
        <v>109.8</v>
      </c>
      <c r="M589" s="70"/>
      <c r="N589" s="70">
        <f>N590</f>
        <v>109.8</v>
      </c>
    </row>
    <row r="590" spans="1:14" ht="26.25" x14ac:dyDescent="0.25">
      <c r="A590" s="98"/>
      <c r="B590" s="98"/>
      <c r="C590" s="6"/>
      <c r="D590" s="6" t="s">
        <v>471</v>
      </c>
      <c r="E590" s="3" t="s">
        <v>472</v>
      </c>
      <c r="F590" s="70">
        <v>108.9</v>
      </c>
      <c r="G590" s="70"/>
      <c r="H590" s="70">
        <v>108.9</v>
      </c>
      <c r="I590" s="70">
        <v>109.3</v>
      </c>
      <c r="J590" s="70"/>
      <c r="K590" s="70">
        <v>109.3</v>
      </c>
      <c r="L590" s="70">
        <v>109.8</v>
      </c>
      <c r="M590" s="70"/>
      <c r="N590" s="70">
        <v>109.8</v>
      </c>
    </row>
    <row r="591" spans="1:14" x14ac:dyDescent="0.25">
      <c r="A591" s="98"/>
      <c r="B591" s="98"/>
      <c r="C591" s="6" t="s">
        <v>117</v>
      </c>
      <c r="D591" s="6"/>
      <c r="E591" s="3" t="s">
        <v>118</v>
      </c>
      <c r="F591" s="70">
        <v>74.599999999999994</v>
      </c>
      <c r="G591" s="70"/>
      <c r="H591" s="70">
        <v>74.599999999999994</v>
      </c>
      <c r="I591" s="70">
        <v>76.8</v>
      </c>
      <c r="J591" s="70"/>
      <c r="K591" s="70">
        <v>76.8</v>
      </c>
      <c r="L591" s="70">
        <f>L592</f>
        <v>81.900000000000006</v>
      </c>
      <c r="M591" s="70"/>
      <c r="N591" s="70">
        <f>N592</f>
        <v>81.900000000000006</v>
      </c>
    </row>
    <row r="592" spans="1:14" ht="26.25" x14ac:dyDescent="0.25">
      <c r="A592" s="98"/>
      <c r="B592" s="98"/>
      <c r="C592" s="6"/>
      <c r="D592" s="6" t="s">
        <v>471</v>
      </c>
      <c r="E592" s="3" t="s">
        <v>472</v>
      </c>
      <c r="F592" s="70">
        <v>74.599999999999994</v>
      </c>
      <c r="G592" s="70"/>
      <c r="H592" s="70">
        <v>74.599999999999994</v>
      </c>
      <c r="I592" s="70">
        <v>76.8</v>
      </c>
      <c r="J592" s="70"/>
      <c r="K592" s="70">
        <v>76.8</v>
      </c>
      <c r="L592" s="70">
        <v>81.900000000000006</v>
      </c>
      <c r="M592" s="70"/>
      <c r="N592" s="70">
        <v>81.900000000000006</v>
      </c>
    </row>
    <row r="593" spans="1:14" ht="39" x14ac:dyDescent="0.25">
      <c r="A593" s="98"/>
      <c r="B593" s="98"/>
      <c r="C593" s="6" t="s">
        <v>119</v>
      </c>
      <c r="D593" s="6"/>
      <c r="E593" s="3" t="s">
        <v>120</v>
      </c>
      <c r="F593" s="70">
        <f>F594</f>
        <v>83.7</v>
      </c>
      <c r="G593" s="70"/>
      <c r="H593" s="70">
        <f>H594</f>
        <v>83.7</v>
      </c>
      <c r="I593" s="70">
        <f>I594</f>
        <v>86.3</v>
      </c>
      <c r="J593" s="70"/>
      <c r="K593" s="70">
        <f>K594</f>
        <v>86.3</v>
      </c>
      <c r="L593" s="70">
        <f>L594</f>
        <v>89</v>
      </c>
      <c r="M593" s="70"/>
      <c r="N593" s="70">
        <f>N594</f>
        <v>89</v>
      </c>
    </row>
    <row r="594" spans="1:14" ht="26.25" x14ac:dyDescent="0.25">
      <c r="A594" s="98"/>
      <c r="B594" s="98"/>
      <c r="C594" s="6"/>
      <c r="D594" s="6" t="s">
        <v>471</v>
      </c>
      <c r="E594" s="3" t="s">
        <v>472</v>
      </c>
      <c r="F594" s="70">
        <v>83.7</v>
      </c>
      <c r="G594" s="70"/>
      <c r="H594" s="70">
        <v>83.7</v>
      </c>
      <c r="I594" s="70">
        <v>86.3</v>
      </c>
      <c r="J594" s="70"/>
      <c r="K594" s="70">
        <v>86.3</v>
      </c>
      <c r="L594" s="70">
        <v>89</v>
      </c>
      <c r="M594" s="70"/>
      <c r="N594" s="70">
        <v>89</v>
      </c>
    </row>
    <row r="595" spans="1:14" ht="26.25" x14ac:dyDescent="0.25">
      <c r="A595" s="98"/>
      <c r="B595" s="98"/>
      <c r="C595" s="6" t="s">
        <v>434</v>
      </c>
      <c r="D595" s="6"/>
      <c r="E595" s="3" t="s">
        <v>121</v>
      </c>
      <c r="F595" s="70">
        <f>F596</f>
        <v>155.6</v>
      </c>
      <c r="G595" s="70"/>
      <c r="H595" s="70">
        <f>H596</f>
        <v>155.6</v>
      </c>
      <c r="I595" s="70">
        <f>I596</f>
        <v>158.30000000000001</v>
      </c>
      <c r="J595" s="70"/>
      <c r="K595" s="70">
        <f>K596</f>
        <v>158.30000000000001</v>
      </c>
      <c r="L595" s="70">
        <f>L596</f>
        <v>161</v>
      </c>
      <c r="M595" s="70"/>
      <c r="N595" s="70">
        <f>N596</f>
        <v>161</v>
      </c>
    </row>
    <row r="596" spans="1:14" ht="26.25" x14ac:dyDescent="0.25">
      <c r="A596" s="98"/>
      <c r="B596" s="98"/>
      <c r="C596" s="6"/>
      <c r="D596" s="6" t="s">
        <v>471</v>
      </c>
      <c r="E596" s="3" t="s">
        <v>472</v>
      </c>
      <c r="F596" s="70">
        <v>155.6</v>
      </c>
      <c r="G596" s="70"/>
      <c r="H596" s="70">
        <v>155.6</v>
      </c>
      <c r="I596" s="70">
        <v>158.30000000000001</v>
      </c>
      <c r="J596" s="70"/>
      <c r="K596" s="70">
        <v>158.30000000000001</v>
      </c>
      <c r="L596" s="70">
        <v>161</v>
      </c>
      <c r="M596" s="70"/>
      <c r="N596" s="70">
        <v>161</v>
      </c>
    </row>
    <row r="597" spans="1:14" x14ac:dyDescent="0.25">
      <c r="A597" s="31"/>
      <c r="B597" s="31"/>
      <c r="C597" s="31" t="s">
        <v>122</v>
      </c>
      <c r="D597" s="31"/>
      <c r="E597" s="35" t="s">
        <v>123</v>
      </c>
      <c r="F597" s="75">
        <f>F598</f>
        <v>6336.4</v>
      </c>
      <c r="G597" s="75"/>
      <c r="H597" s="75">
        <f>H598</f>
        <v>6336.4</v>
      </c>
      <c r="I597" s="75">
        <f>I598</f>
        <v>6768.7</v>
      </c>
      <c r="J597" s="75"/>
      <c r="K597" s="75">
        <f>K598</f>
        <v>6768.7</v>
      </c>
      <c r="L597" s="75">
        <f>L598</f>
        <v>6837.7999999999993</v>
      </c>
      <c r="M597" s="75"/>
      <c r="N597" s="75">
        <f>N598</f>
        <v>6837.7999999999993</v>
      </c>
    </row>
    <row r="598" spans="1:14" ht="26.25" x14ac:dyDescent="0.25">
      <c r="A598" s="33"/>
      <c r="B598" s="33"/>
      <c r="C598" s="33" t="s">
        <v>124</v>
      </c>
      <c r="D598" s="33"/>
      <c r="E598" s="34" t="s">
        <v>125</v>
      </c>
      <c r="F598" s="71">
        <f>F603+F599+F601</f>
        <v>6336.4</v>
      </c>
      <c r="G598" s="71"/>
      <c r="H598" s="71">
        <f>H603+H599+H601</f>
        <v>6336.4</v>
      </c>
      <c r="I598" s="71">
        <f>I603+I599+I601</f>
        <v>6768.7</v>
      </c>
      <c r="J598" s="71"/>
      <c r="K598" s="71">
        <f>K603+K599+K601</f>
        <v>6768.7</v>
      </c>
      <c r="L598" s="71">
        <f>L603+L599+L601</f>
        <v>6837.7999999999993</v>
      </c>
      <c r="M598" s="71"/>
      <c r="N598" s="71">
        <f>N603+N599+N601</f>
        <v>6837.7999999999993</v>
      </c>
    </row>
    <row r="599" spans="1:14" ht="26.25" x14ac:dyDescent="0.25">
      <c r="A599" s="98"/>
      <c r="B599" s="98"/>
      <c r="C599" s="6" t="s">
        <v>126</v>
      </c>
      <c r="D599" s="6"/>
      <c r="E599" s="3" t="s">
        <v>127</v>
      </c>
      <c r="F599" s="70">
        <f>F600</f>
        <v>109.3</v>
      </c>
      <c r="G599" s="70"/>
      <c r="H599" s="70">
        <f>H600</f>
        <v>109.3</v>
      </c>
      <c r="I599" s="70">
        <f>I600</f>
        <v>113.7</v>
      </c>
      <c r="J599" s="70"/>
      <c r="K599" s="70">
        <f>K600</f>
        <v>113.7</v>
      </c>
      <c r="L599" s="70">
        <f>L600</f>
        <v>118.2</v>
      </c>
      <c r="M599" s="70"/>
      <c r="N599" s="70">
        <f>N600</f>
        <v>118.2</v>
      </c>
    </row>
    <row r="600" spans="1:14" ht="26.25" x14ac:dyDescent="0.25">
      <c r="A600" s="98"/>
      <c r="B600" s="98"/>
      <c r="C600" s="6"/>
      <c r="D600" s="6" t="s">
        <v>471</v>
      </c>
      <c r="E600" s="3" t="s">
        <v>472</v>
      </c>
      <c r="F600" s="70">
        <v>109.3</v>
      </c>
      <c r="G600" s="70"/>
      <c r="H600" s="70">
        <v>109.3</v>
      </c>
      <c r="I600" s="70">
        <v>113.7</v>
      </c>
      <c r="J600" s="70"/>
      <c r="K600" s="70">
        <v>113.7</v>
      </c>
      <c r="L600" s="70">
        <v>118.2</v>
      </c>
      <c r="M600" s="70"/>
      <c r="N600" s="70">
        <v>118.2</v>
      </c>
    </row>
    <row r="601" spans="1:14" ht="26.25" x14ac:dyDescent="0.25">
      <c r="A601" s="98"/>
      <c r="B601" s="98"/>
      <c r="C601" s="6" t="s">
        <v>128</v>
      </c>
      <c r="D601" s="6"/>
      <c r="E601" s="3" t="s">
        <v>129</v>
      </c>
      <c r="F601" s="70">
        <f>F602</f>
        <v>1551.9</v>
      </c>
      <c r="G601" s="70"/>
      <c r="H601" s="70">
        <f>H602</f>
        <v>1551.9</v>
      </c>
      <c r="I601" s="70">
        <f>I602</f>
        <v>1614</v>
      </c>
      <c r="J601" s="70"/>
      <c r="K601" s="70">
        <f>K602</f>
        <v>1614</v>
      </c>
      <c r="L601" s="70">
        <f>L602</f>
        <v>1678.6</v>
      </c>
      <c r="M601" s="70"/>
      <c r="N601" s="70">
        <f>N602</f>
        <v>1678.6</v>
      </c>
    </row>
    <row r="602" spans="1:14" ht="26.25" x14ac:dyDescent="0.25">
      <c r="A602" s="98"/>
      <c r="B602" s="98"/>
      <c r="C602" s="6"/>
      <c r="D602" s="6" t="s">
        <v>471</v>
      </c>
      <c r="E602" s="3" t="s">
        <v>472</v>
      </c>
      <c r="F602" s="70">
        <v>1551.9</v>
      </c>
      <c r="G602" s="70"/>
      <c r="H602" s="70">
        <v>1551.9</v>
      </c>
      <c r="I602" s="70">
        <v>1614</v>
      </c>
      <c r="J602" s="70"/>
      <c r="K602" s="70">
        <v>1614</v>
      </c>
      <c r="L602" s="70">
        <v>1678.6</v>
      </c>
      <c r="M602" s="70"/>
      <c r="N602" s="70">
        <v>1678.6</v>
      </c>
    </row>
    <row r="603" spans="1:14" ht="39" x14ac:dyDescent="0.25">
      <c r="A603" s="98"/>
      <c r="B603" s="98"/>
      <c r="C603" s="6" t="s">
        <v>130</v>
      </c>
      <c r="D603" s="6"/>
      <c r="E603" s="3" t="s">
        <v>131</v>
      </c>
      <c r="F603" s="70">
        <f>F605</f>
        <v>4675.2</v>
      </c>
      <c r="G603" s="70"/>
      <c r="H603" s="70">
        <f>H605</f>
        <v>4675.2</v>
      </c>
      <c r="I603" s="70">
        <f>I605</f>
        <v>5041</v>
      </c>
      <c r="J603" s="70"/>
      <c r="K603" s="70">
        <f>K605</f>
        <v>5041</v>
      </c>
      <c r="L603" s="70">
        <f>L605</f>
        <v>5041</v>
      </c>
      <c r="M603" s="70"/>
      <c r="N603" s="70">
        <f>N605</f>
        <v>5041</v>
      </c>
    </row>
    <row r="604" spans="1:14" x14ac:dyDescent="0.25">
      <c r="A604" s="98"/>
      <c r="B604" s="98"/>
      <c r="C604" s="6"/>
      <c r="D604" s="6" t="s">
        <v>424</v>
      </c>
      <c r="E604" s="3" t="s">
        <v>425</v>
      </c>
      <c r="F604" s="70">
        <v>0</v>
      </c>
      <c r="G604" s="70"/>
      <c r="H604" s="70">
        <v>0</v>
      </c>
      <c r="I604" s="70">
        <v>0</v>
      </c>
      <c r="J604" s="70"/>
      <c r="K604" s="70">
        <v>0</v>
      </c>
      <c r="L604" s="70">
        <v>0</v>
      </c>
      <c r="M604" s="70"/>
      <c r="N604" s="70">
        <v>0</v>
      </c>
    </row>
    <row r="605" spans="1:14" ht="26.25" x14ac:dyDescent="0.25">
      <c r="A605" s="98"/>
      <c r="B605" s="98"/>
      <c r="C605" s="6"/>
      <c r="D605" s="6" t="s">
        <v>471</v>
      </c>
      <c r="E605" s="3" t="s">
        <v>472</v>
      </c>
      <c r="F605" s="70">
        <v>4675.2</v>
      </c>
      <c r="G605" s="70"/>
      <c r="H605" s="70">
        <v>4675.2</v>
      </c>
      <c r="I605" s="70">
        <v>5041</v>
      </c>
      <c r="J605" s="70"/>
      <c r="K605" s="70">
        <v>5041</v>
      </c>
      <c r="L605" s="70">
        <v>5041</v>
      </c>
      <c r="M605" s="70"/>
      <c r="N605" s="70">
        <v>5041</v>
      </c>
    </row>
    <row r="606" spans="1:14" x14ac:dyDescent="0.25">
      <c r="A606" s="98"/>
      <c r="B606" s="98"/>
      <c r="C606" s="6"/>
      <c r="D606" s="6" t="s">
        <v>406</v>
      </c>
      <c r="E606" s="3" t="s">
        <v>407</v>
      </c>
      <c r="F606" s="70">
        <v>0</v>
      </c>
      <c r="G606" s="70"/>
      <c r="H606" s="70">
        <v>0</v>
      </c>
      <c r="I606" s="70">
        <v>0</v>
      </c>
      <c r="J606" s="70"/>
      <c r="K606" s="70">
        <v>0</v>
      </c>
      <c r="L606" s="70">
        <v>0</v>
      </c>
      <c r="M606" s="70"/>
      <c r="N606" s="70">
        <v>0</v>
      </c>
    </row>
    <row r="607" spans="1:14" x14ac:dyDescent="0.25">
      <c r="A607" s="31"/>
      <c r="B607" s="31"/>
      <c r="C607" s="31" t="s">
        <v>132</v>
      </c>
      <c r="D607" s="31"/>
      <c r="E607" s="32" t="s">
        <v>133</v>
      </c>
      <c r="F607" s="75">
        <f>F608</f>
        <v>276.7</v>
      </c>
      <c r="G607" s="75"/>
      <c r="H607" s="75">
        <f>H608</f>
        <v>276.7</v>
      </c>
      <c r="I607" s="75">
        <f>I608</f>
        <v>281.2</v>
      </c>
      <c r="J607" s="75"/>
      <c r="K607" s="75">
        <f>K608</f>
        <v>281.2</v>
      </c>
      <c r="L607" s="75">
        <f>L608</f>
        <v>285.8</v>
      </c>
      <c r="M607" s="75"/>
      <c r="N607" s="75">
        <f>N608</f>
        <v>285.8</v>
      </c>
    </row>
    <row r="608" spans="1:14" ht="26.25" x14ac:dyDescent="0.25">
      <c r="A608" s="33"/>
      <c r="B608" s="33"/>
      <c r="C608" s="33" t="s">
        <v>134</v>
      </c>
      <c r="D608" s="33"/>
      <c r="E608" s="34" t="s">
        <v>135</v>
      </c>
      <c r="F608" s="71">
        <f>F611+F609</f>
        <v>276.7</v>
      </c>
      <c r="G608" s="71"/>
      <c r="H608" s="71">
        <f>H611+H609</f>
        <v>276.7</v>
      </c>
      <c r="I608" s="71">
        <f>I611+I609</f>
        <v>281.2</v>
      </c>
      <c r="J608" s="71"/>
      <c r="K608" s="71">
        <f>K611+K609</f>
        <v>281.2</v>
      </c>
      <c r="L608" s="71">
        <f>L611+L609</f>
        <v>285.8</v>
      </c>
      <c r="M608" s="71"/>
      <c r="N608" s="71">
        <f>N611+N609</f>
        <v>285.8</v>
      </c>
    </row>
    <row r="609" spans="1:14" x14ac:dyDescent="0.25">
      <c r="A609" s="40"/>
      <c r="B609" s="40"/>
      <c r="C609" s="40" t="s">
        <v>136</v>
      </c>
      <c r="D609" s="40"/>
      <c r="E609" s="41" t="s">
        <v>137</v>
      </c>
      <c r="F609" s="70">
        <f>F610</f>
        <v>175</v>
      </c>
      <c r="G609" s="70"/>
      <c r="H609" s="70">
        <f>H610</f>
        <v>175</v>
      </c>
      <c r="I609" s="70">
        <f>I610</f>
        <v>175.4</v>
      </c>
      <c r="J609" s="70"/>
      <c r="K609" s="70">
        <f>K610</f>
        <v>175.4</v>
      </c>
      <c r="L609" s="70">
        <f>L610</f>
        <v>175.8</v>
      </c>
      <c r="M609" s="70"/>
      <c r="N609" s="70">
        <f>N610</f>
        <v>175.8</v>
      </c>
    </row>
    <row r="610" spans="1:14" ht="26.25" x14ac:dyDescent="0.25">
      <c r="A610" s="40"/>
      <c r="B610" s="40"/>
      <c r="C610" s="40"/>
      <c r="D610" s="40" t="s">
        <v>471</v>
      </c>
      <c r="E610" s="41" t="s">
        <v>472</v>
      </c>
      <c r="F610" s="70">
        <v>175</v>
      </c>
      <c r="G610" s="70"/>
      <c r="H610" s="70">
        <v>175</v>
      </c>
      <c r="I610" s="70">
        <v>175.4</v>
      </c>
      <c r="J610" s="70"/>
      <c r="K610" s="70">
        <v>175.4</v>
      </c>
      <c r="L610" s="70">
        <v>175.8</v>
      </c>
      <c r="M610" s="70"/>
      <c r="N610" s="70">
        <v>175.8</v>
      </c>
    </row>
    <row r="611" spans="1:14" ht="26.25" x14ac:dyDescent="0.25">
      <c r="A611" s="6"/>
      <c r="B611" s="6"/>
      <c r="C611" s="6" t="s">
        <v>138</v>
      </c>
      <c r="D611" s="6"/>
      <c r="E611" s="3" t="s">
        <v>139</v>
      </c>
      <c r="F611" s="70">
        <f>F612</f>
        <v>101.7</v>
      </c>
      <c r="G611" s="70"/>
      <c r="H611" s="70">
        <f>H612</f>
        <v>101.7</v>
      </c>
      <c r="I611" s="70">
        <f>I612</f>
        <v>105.8</v>
      </c>
      <c r="J611" s="70"/>
      <c r="K611" s="70">
        <f>K612</f>
        <v>105.8</v>
      </c>
      <c r="L611" s="70">
        <f>L612</f>
        <v>110</v>
      </c>
      <c r="M611" s="70"/>
      <c r="N611" s="70">
        <f>N612</f>
        <v>110</v>
      </c>
    </row>
    <row r="612" spans="1:14" ht="26.25" x14ac:dyDescent="0.25">
      <c r="A612" s="6"/>
      <c r="B612" s="6"/>
      <c r="C612" s="6"/>
      <c r="D612" s="40" t="s">
        <v>471</v>
      </c>
      <c r="E612" s="41" t="s">
        <v>472</v>
      </c>
      <c r="F612" s="70">
        <v>101.7</v>
      </c>
      <c r="G612" s="70"/>
      <c r="H612" s="70">
        <v>101.7</v>
      </c>
      <c r="I612" s="70">
        <v>105.8</v>
      </c>
      <c r="J612" s="70"/>
      <c r="K612" s="70">
        <v>105.8</v>
      </c>
      <c r="L612" s="70">
        <v>110</v>
      </c>
      <c r="M612" s="70"/>
      <c r="N612" s="70">
        <v>110</v>
      </c>
    </row>
    <row r="613" spans="1:14" x14ac:dyDescent="0.25">
      <c r="A613" s="31"/>
      <c r="B613" s="31"/>
      <c r="C613" s="31" t="s">
        <v>154</v>
      </c>
      <c r="D613" s="31"/>
      <c r="E613" s="32" t="s">
        <v>155</v>
      </c>
      <c r="F613" s="75">
        <f t="shared" ref="F613:N615" si="126">F614</f>
        <v>43</v>
      </c>
      <c r="G613" s="75"/>
      <c r="H613" s="75">
        <f t="shared" si="126"/>
        <v>43</v>
      </c>
      <c r="I613" s="75">
        <f t="shared" si="126"/>
        <v>43.5</v>
      </c>
      <c r="J613" s="75"/>
      <c r="K613" s="75">
        <f t="shared" si="126"/>
        <v>43.5</v>
      </c>
      <c r="L613" s="75">
        <f t="shared" si="126"/>
        <v>44</v>
      </c>
      <c r="M613" s="75"/>
      <c r="N613" s="75">
        <f t="shared" si="126"/>
        <v>44</v>
      </c>
    </row>
    <row r="614" spans="1:14" x14ac:dyDescent="0.25">
      <c r="A614" s="33"/>
      <c r="B614" s="33"/>
      <c r="C614" s="33" t="s">
        <v>156</v>
      </c>
      <c r="D614" s="33"/>
      <c r="E614" s="34" t="s">
        <v>157</v>
      </c>
      <c r="F614" s="71">
        <f t="shared" si="126"/>
        <v>43</v>
      </c>
      <c r="G614" s="71"/>
      <c r="H614" s="71">
        <f t="shared" si="126"/>
        <v>43</v>
      </c>
      <c r="I614" s="71">
        <f t="shared" si="126"/>
        <v>43.5</v>
      </c>
      <c r="J614" s="71"/>
      <c r="K614" s="71">
        <f t="shared" si="126"/>
        <v>43.5</v>
      </c>
      <c r="L614" s="71">
        <f t="shared" si="126"/>
        <v>44</v>
      </c>
      <c r="M614" s="71"/>
      <c r="N614" s="71">
        <f t="shared" si="126"/>
        <v>44</v>
      </c>
    </row>
    <row r="615" spans="1:14" ht="26.25" x14ac:dyDescent="0.25">
      <c r="A615" s="98"/>
      <c r="B615" s="98"/>
      <c r="C615" s="6" t="s">
        <v>158</v>
      </c>
      <c r="D615" s="6"/>
      <c r="E615" s="3" t="s">
        <v>159</v>
      </c>
      <c r="F615" s="70">
        <f>F616</f>
        <v>43</v>
      </c>
      <c r="G615" s="70"/>
      <c r="H615" s="70">
        <f>H616</f>
        <v>43</v>
      </c>
      <c r="I615" s="70">
        <f t="shared" si="126"/>
        <v>43.5</v>
      </c>
      <c r="J615" s="70"/>
      <c r="K615" s="70">
        <f t="shared" si="126"/>
        <v>43.5</v>
      </c>
      <c r="L615" s="70">
        <f t="shared" si="126"/>
        <v>44</v>
      </c>
      <c r="M615" s="70"/>
      <c r="N615" s="70">
        <f t="shared" si="126"/>
        <v>44</v>
      </c>
    </row>
    <row r="616" spans="1:14" ht="26.25" x14ac:dyDescent="0.25">
      <c r="A616" s="98"/>
      <c r="B616" s="98"/>
      <c r="C616" s="6"/>
      <c r="D616" s="6" t="s">
        <v>471</v>
      </c>
      <c r="E616" s="3" t="s">
        <v>472</v>
      </c>
      <c r="F616" s="70">
        <v>43</v>
      </c>
      <c r="G616" s="70"/>
      <c r="H616" s="70">
        <v>43</v>
      </c>
      <c r="I616" s="70">
        <v>43.5</v>
      </c>
      <c r="J616" s="70"/>
      <c r="K616" s="70">
        <v>43.5</v>
      </c>
      <c r="L616" s="70">
        <v>44</v>
      </c>
      <c r="M616" s="70"/>
      <c r="N616" s="70">
        <v>44</v>
      </c>
    </row>
    <row r="617" spans="1:14" x14ac:dyDescent="0.25">
      <c r="A617" s="98"/>
      <c r="B617" s="17">
        <v>1000</v>
      </c>
      <c r="C617" s="109"/>
      <c r="D617" s="108"/>
      <c r="E617" s="102" t="s">
        <v>627</v>
      </c>
      <c r="F617" s="74">
        <f>F618+F643</f>
        <v>28118.063730000002</v>
      </c>
      <c r="G617" s="74">
        <f>G618+G643</f>
        <v>0</v>
      </c>
      <c r="H617" s="74">
        <f>H618+H643</f>
        <v>28118.063730000002</v>
      </c>
      <c r="I617" s="74">
        <f>I618+I643</f>
        <v>28194.785790000002</v>
      </c>
      <c r="J617" s="74"/>
      <c r="K617" s="74">
        <f>K618+K643</f>
        <v>28194.785790000002</v>
      </c>
      <c r="L617" s="74">
        <f>L618+L643</f>
        <v>27923.585790000001</v>
      </c>
      <c r="M617" s="74"/>
      <c r="N617" s="74">
        <f>N618+N643</f>
        <v>27923.585790000001</v>
      </c>
    </row>
    <row r="618" spans="1:14" x14ac:dyDescent="0.25">
      <c r="A618" s="98"/>
      <c r="B618" s="17">
        <v>1003</v>
      </c>
      <c r="C618" s="109"/>
      <c r="D618" s="108"/>
      <c r="E618" s="102" t="s">
        <v>631</v>
      </c>
      <c r="F618" s="74">
        <f t="shared" ref="F618:N619" si="127">F619</f>
        <v>24145.963730000003</v>
      </c>
      <c r="G618" s="74">
        <f t="shared" si="127"/>
        <v>0</v>
      </c>
      <c r="H618" s="74">
        <f t="shared" si="127"/>
        <v>24145.963730000003</v>
      </c>
      <c r="I618" s="74">
        <f t="shared" si="127"/>
        <v>23854.785790000002</v>
      </c>
      <c r="J618" s="74"/>
      <c r="K618" s="74">
        <f t="shared" si="127"/>
        <v>23854.785790000002</v>
      </c>
      <c r="L618" s="74">
        <f t="shared" si="127"/>
        <v>23696.085790000001</v>
      </c>
      <c r="M618" s="74"/>
      <c r="N618" s="74">
        <f t="shared" si="127"/>
        <v>23696.085790000001</v>
      </c>
    </row>
    <row r="619" spans="1:14" x14ac:dyDescent="0.25">
      <c r="A619" s="98"/>
      <c r="B619" s="17"/>
      <c r="C619" s="109" t="s">
        <v>5</v>
      </c>
      <c r="D619" s="108"/>
      <c r="E619" s="129" t="s">
        <v>6</v>
      </c>
      <c r="F619" s="74">
        <f t="shared" si="127"/>
        <v>24145.963730000003</v>
      </c>
      <c r="G619" s="74">
        <f t="shared" si="127"/>
        <v>0</v>
      </c>
      <c r="H619" s="74">
        <f t="shared" si="127"/>
        <v>24145.963730000003</v>
      </c>
      <c r="I619" s="74">
        <f t="shared" si="127"/>
        <v>23854.785790000002</v>
      </c>
      <c r="J619" s="74"/>
      <c r="K619" s="74">
        <f t="shared" si="127"/>
        <v>23854.785790000002</v>
      </c>
      <c r="L619" s="74">
        <f t="shared" si="127"/>
        <v>23696.085790000001</v>
      </c>
      <c r="M619" s="74"/>
      <c r="N619" s="74">
        <f t="shared" si="127"/>
        <v>23696.085790000001</v>
      </c>
    </row>
    <row r="620" spans="1:14" ht="25.5" x14ac:dyDescent="0.25">
      <c r="A620" s="113"/>
      <c r="B620" s="113"/>
      <c r="C620" s="113" t="s">
        <v>57</v>
      </c>
      <c r="D620" s="112"/>
      <c r="E620" s="114" t="s">
        <v>58</v>
      </c>
      <c r="F620" s="115">
        <f>F621+F625+F633</f>
        <v>24145.963730000003</v>
      </c>
      <c r="G620" s="115">
        <f>G621+G625+G633</f>
        <v>0</v>
      </c>
      <c r="H620" s="115">
        <f t="shared" ref="H620:N620" si="128">H621+H625+H633</f>
        <v>24145.963730000003</v>
      </c>
      <c r="I620" s="115">
        <f t="shared" si="128"/>
        <v>23854.785790000002</v>
      </c>
      <c r="J620" s="115"/>
      <c r="K620" s="115">
        <f t="shared" si="128"/>
        <v>23854.785790000002</v>
      </c>
      <c r="L620" s="115">
        <f t="shared" si="128"/>
        <v>23696.085790000001</v>
      </c>
      <c r="M620" s="115"/>
      <c r="N620" s="115">
        <f t="shared" si="128"/>
        <v>23696.085790000001</v>
      </c>
    </row>
    <row r="621" spans="1:14" x14ac:dyDescent="0.25">
      <c r="A621" s="31"/>
      <c r="B621" s="31"/>
      <c r="C621" s="31" t="s">
        <v>59</v>
      </c>
      <c r="D621" s="31"/>
      <c r="E621" s="32" t="s">
        <v>60</v>
      </c>
      <c r="F621" s="75">
        <f t="shared" ref="F621:N623" si="129">F622</f>
        <v>240.89527000000001</v>
      </c>
      <c r="G621" s="75">
        <f t="shared" si="129"/>
        <v>-116.99527</v>
      </c>
      <c r="H621" s="75">
        <f t="shared" si="129"/>
        <v>123.9</v>
      </c>
      <c r="I621" s="75">
        <f t="shared" si="129"/>
        <v>255.7</v>
      </c>
      <c r="J621" s="75"/>
      <c r="K621" s="75">
        <f t="shared" si="129"/>
        <v>255.7</v>
      </c>
      <c r="L621" s="75">
        <f t="shared" si="129"/>
        <v>265.89999999999998</v>
      </c>
      <c r="M621" s="75"/>
      <c r="N621" s="75">
        <f t="shared" si="129"/>
        <v>265.89999999999998</v>
      </c>
    </row>
    <row r="622" spans="1:14" ht="26.25" x14ac:dyDescent="0.25">
      <c r="A622" s="33"/>
      <c r="B622" s="33"/>
      <c r="C622" s="33" t="s">
        <v>61</v>
      </c>
      <c r="D622" s="33"/>
      <c r="E622" s="34" t="s">
        <v>62</v>
      </c>
      <c r="F622" s="71">
        <f t="shared" si="129"/>
        <v>240.89527000000001</v>
      </c>
      <c r="G622" s="71">
        <f t="shared" si="129"/>
        <v>-116.99527</v>
      </c>
      <c r="H622" s="71">
        <f t="shared" si="129"/>
        <v>123.9</v>
      </c>
      <c r="I622" s="71">
        <f t="shared" si="129"/>
        <v>255.7</v>
      </c>
      <c r="J622" s="71"/>
      <c r="K622" s="71">
        <f t="shared" si="129"/>
        <v>255.7</v>
      </c>
      <c r="L622" s="71">
        <f t="shared" si="129"/>
        <v>265.89999999999998</v>
      </c>
      <c r="M622" s="71"/>
      <c r="N622" s="71">
        <f t="shared" si="129"/>
        <v>265.89999999999998</v>
      </c>
    </row>
    <row r="623" spans="1:14" ht="26.25" x14ac:dyDescent="0.25">
      <c r="A623" s="98"/>
      <c r="B623" s="98"/>
      <c r="C623" s="16" t="s">
        <v>71</v>
      </c>
      <c r="D623" s="6"/>
      <c r="E623" s="3" t="s">
        <v>72</v>
      </c>
      <c r="F623" s="70">
        <f>F624</f>
        <v>240.89527000000001</v>
      </c>
      <c r="G623" s="70">
        <f>G624</f>
        <v>-116.99527</v>
      </c>
      <c r="H623" s="70">
        <f>H624</f>
        <v>123.9</v>
      </c>
      <c r="I623" s="70">
        <f t="shared" si="129"/>
        <v>255.7</v>
      </c>
      <c r="J623" s="70"/>
      <c r="K623" s="70">
        <f t="shared" si="129"/>
        <v>255.7</v>
      </c>
      <c r="L623" s="70">
        <f t="shared" si="129"/>
        <v>265.89999999999998</v>
      </c>
      <c r="M623" s="70"/>
      <c r="N623" s="70">
        <f t="shared" si="129"/>
        <v>265.89999999999998</v>
      </c>
    </row>
    <row r="624" spans="1:14" ht="26.25" x14ac:dyDescent="0.25">
      <c r="A624" s="98"/>
      <c r="B624" s="98"/>
      <c r="C624" s="16"/>
      <c r="D624" s="6" t="s">
        <v>471</v>
      </c>
      <c r="E624" s="3" t="s">
        <v>472</v>
      </c>
      <c r="F624" s="70">
        <v>240.89527000000001</v>
      </c>
      <c r="G624" s="70">
        <v>-116.99527</v>
      </c>
      <c r="H624" s="70">
        <f>SUM(F624:G624)</f>
        <v>123.9</v>
      </c>
      <c r="I624" s="70">
        <v>255.7</v>
      </c>
      <c r="J624" s="70"/>
      <c r="K624" s="70">
        <v>255.7</v>
      </c>
      <c r="L624" s="70">
        <v>265.89999999999998</v>
      </c>
      <c r="M624" s="70"/>
      <c r="N624" s="70">
        <v>265.89999999999998</v>
      </c>
    </row>
    <row r="625" spans="1:15" x14ac:dyDescent="0.25">
      <c r="A625" s="31"/>
      <c r="B625" s="31"/>
      <c r="C625" s="31" t="s">
        <v>73</v>
      </c>
      <c r="D625" s="31"/>
      <c r="E625" s="32" t="s">
        <v>74</v>
      </c>
      <c r="F625" s="75">
        <f>F626</f>
        <v>10550</v>
      </c>
      <c r="G625" s="75">
        <f>G626</f>
        <v>116.99527</v>
      </c>
      <c r="H625" s="75">
        <f>H626</f>
        <v>10666.995269999999</v>
      </c>
      <c r="I625" s="75">
        <f>I626</f>
        <v>10157.799999999999</v>
      </c>
      <c r="J625" s="75"/>
      <c r="K625" s="75">
        <f>K626</f>
        <v>10157.799999999999</v>
      </c>
      <c r="L625" s="75">
        <f>L626</f>
        <v>9965.7000000000007</v>
      </c>
      <c r="M625" s="75"/>
      <c r="N625" s="75">
        <f>N626</f>
        <v>9965.7000000000007</v>
      </c>
    </row>
    <row r="626" spans="1:15" ht="26.25" x14ac:dyDescent="0.25">
      <c r="A626" s="33"/>
      <c r="B626" s="33"/>
      <c r="C626" s="33" t="s">
        <v>85</v>
      </c>
      <c r="D626" s="33"/>
      <c r="E626" s="34" t="s">
        <v>86</v>
      </c>
      <c r="F626" s="71">
        <f>F627+F629+F631</f>
        <v>10550</v>
      </c>
      <c r="G626" s="71">
        <f>G627+G629+G631</f>
        <v>116.99527</v>
      </c>
      <c r="H626" s="71">
        <f>H627+H629+H631</f>
        <v>10666.995269999999</v>
      </c>
      <c r="I626" s="71">
        <f>I627+I629+I631</f>
        <v>10157.799999999999</v>
      </c>
      <c r="J626" s="71"/>
      <c r="K626" s="71">
        <f>K627+K629+K631</f>
        <v>10157.799999999999</v>
      </c>
      <c r="L626" s="71">
        <f>L627+L629+L631</f>
        <v>9965.7000000000007</v>
      </c>
      <c r="M626" s="71"/>
      <c r="N626" s="71">
        <f>N627+N629+N631</f>
        <v>9965.7000000000007</v>
      </c>
    </row>
    <row r="627" spans="1:15" ht="25.5" x14ac:dyDescent="0.25">
      <c r="A627" s="98"/>
      <c r="B627" s="98"/>
      <c r="C627" s="38" t="s">
        <v>94</v>
      </c>
      <c r="D627" s="6"/>
      <c r="E627" s="1" t="s">
        <v>676</v>
      </c>
      <c r="F627" s="70">
        <f>F628</f>
        <v>3993</v>
      </c>
      <c r="G627" s="70"/>
      <c r="H627" s="70">
        <f>H628</f>
        <v>3993</v>
      </c>
      <c r="I627" s="70">
        <f>I628</f>
        <v>3796.1</v>
      </c>
      <c r="J627" s="70"/>
      <c r="K627" s="70">
        <f>K628</f>
        <v>3796.1</v>
      </c>
      <c r="L627" s="70">
        <f>L628</f>
        <v>3685.9</v>
      </c>
      <c r="M627" s="70"/>
      <c r="N627" s="70">
        <f>N628</f>
        <v>3685.9</v>
      </c>
    </row>
    <row r="628" spans="1:15" ht="26.25" x14ac:dyDescent="0.25">
      <c r="A628" s="98"/>
      <c r="B628" s="98"/>
      <c r="C628" s="38"/>
      <c r="D628" s="6" t="s">
        <v>471</v>
      </c>
      <c r="E628" s="3" t="s">
        <v>472</v>
      </c>
      <c r="F628" s="70">
        <v>3993</v>
      </c>
      <c r="G628" s="70"/>
      <c r="H628" s="70">
        <v>3993</v>
      </c>
      <c r="I628" s="70">
        <v>3796.1</v>
      </c>
      <c r="J628" s="70"/>
      <c r="K628" s="70">
        <v>3796.1</v>
      </c>
      <c r="L628" s="70">
        <v>3685.9</v>
      </c>
      <c r="M628" s="70"/>
      <c r="N628" s="70">
        <v>3685.9</v>
      </c>
    </row>
    <row r="629" spans="1:15" ht="26.25" x14ac:dyDescent="0.25">
      <c r="A629" s="98"/>
      <c r="B629" s="98"/>
      <c r="C629" s="38" t="s">
        <v>95</v>
      </c>
      <c r="D629" s="6"/>
      <c r="E629" s="3" t="s">
        <v>677</v>
      </c>
      <c r="F629" s="70">
        <f>F630</f>
        <v>5123.5</v>
      </c>
      <c r="G629" s="70"/>
      <c r="H629" s="70">
        <f>H630</f>
        <v>5123.5</v>
      </c>
      <c r="I629" s="70">
        <f>I630</f>
        <v>4870.8999999999996</v>
      </c>
      <c r="J629" s="70"/>
      <c r="K629" s="70">
        <f>K630</f>
        <v>4870.8999999999996</v>
      </c>
      <c r="L629" s="70">
        <f>L630</f>
        <v>4729.3</v>
      </c>
      <c r="M629" s="70"/>
      <c r="N629" s="70">
        <f>N630</f>
        <v>4729.3</v>
      </c>
    </row>
    <row r="630" spans="1:15" ht="26.25" x14ac:dyDescent="0.25">
      <c r="A630" s="98"/>
      <c r="B630" s="98"/>
      <c r="C630" s="38"/>
      <c r="D630" s="6" t="s">
        <v>471</v>
      </c>
      <c r="E630" s="3" t="s">
        <v>472</v>
      </c>
      <c r="F630" s="70">
        <v>5123.5</v>
      </c>
      <c r="G630" s="70"/>
      <c r="H630" s="70">
        <v>5123.5</v>
      </c>
      <c r="I630" s="70">
        <v>4870.8999999999996</v>
      </c>
      <c r="J630" s="70"/>
      <c r="K630" s="70">
        <v>4870.8999999999996</v>
      </c>
      <c r="L630" s="70">
        <v>4729.3</v>
      </c>
      <c r="M630" s="70"/>
      <c r="N630" s="70">
        <v>4729.3</v>
      </c>
    </row>
    <row r="631" spans="1:15" ht="26.25" x14ac:dyDescent="0.25">
      <c r="A631" s="98"/>
      <c r="B631" s="98"/>
      <c r="C631" s="6" t="s">
        <v>89</v>
      </c>
      <c r="D631" s="6"/>
      <c r="E631" s="3" t="s">
        <v>72</v>
      </c>
      <c r="F631" s="70">
        <f>F632</f>
        <v>1433.5</v>
      </c>
      <c r="G631" s="70">
        <f>G632</f>
        <v>116.99527</v>
      </c>
      <c r="H631" s="70">
        <f>H632</f>
        <v>1550.4952699999999</v>
      </c>
      <c r="I631" s="70">
        <f>I632</f>
        <v>1490.8</v>
      </c>
      <c r="J631" s="70"/>
      <c r="K631" s="70">
        <f>K632</f>
        <v>1490.8</v>
      </c>
      <c r="L631" s="70">
        <f>L632</f>
        <v>1550.5</v>
      </c>
      <c r="M631" s="70"/>
      <c r="N631" s="70">
        <f>N632</f>
        <v>1550.5</v>
      </c>
    </row>
    <row r="632" spans="1:15" ht="26.25" x14ac:dyDescent="0.25">
      <c r="A632" s="98"/>
      <c r="B632" s="98"/>
      <c r="C632" s="6"/>
      <c r="D632" s="6" t="s">
        <v>471</v>
      </c>
      <c r="E632" s="3" t="s">
        <v>472</v>
      </c>
      <c r="F632" s="70">
        <v>1433.5</v>
      </c>
      <c r="G632" s="70">
        <v>116.99527</v>
      </c>
      <c r="H632" s="70">
        <f>SUM(F632:G632)</f>
        <v>1550.4952699999999</v>
      </c>
      <c r="I632" s="70">
        <v>1490.8</v>
      </c>
      <c r="J632" s="70"/>
      <c r="K632" s="70">
        <v>1490.8</v>
      </c>
      <c r="L632" s="70">
        <v>1550.5</v>
      </c>
      <c r="M632" s="70"/>
      <c r="N632" s="70">
        <v>1550.5</v>
      </c>
    </row>
    <row r="633" spans="1:15" x14ac:dyDescent="0.25">
      <c r="A633" s="31"/>
      <c r="B633" s="31"/>
      <c r="C633" s="31" t="s">
        <v>132</v>
      </c>
      <c r="D633" s="31"/>
      <c r="E633" s="32" t="s">
        <v>133</v>
      </c>
      <c r="F633" s="75">
        <f t="shared" ref="F633:N633" si="130">F634</f>
        <v>13355.068460000002</v>
      </c>
      <c r="G633" s="75">
        <f t="shared" si="130"/>
        <v>0</v>
      </c>
      <c r="H633" s="75">
        <f t="shared" si="130"/>
        <v>13355.068460000002</v>
      </c>
      <c r="I633" s="75">
        <f t="shared" si="130"/>
        <v>13441.28579</v>
      </c>
      <c r="J633" s="75"/>
      <c r="K633" s="75">
        <f t="shared" si="130"/>
        <v>13441.28579</v>
      </c>
      <c r="L633" s="75">
        <f t="shared" si="130"/>
        <v>13464.485790000001</v>
      </c>
      <c r="M633" s="75"/>
      <c r="N633" s="75">
        <f t="shared" si="130"/>
        <v>13464.485790000001</v>
      </c>
    </row>
    <row r="634" spans="1:15" ht="26.25" x14ac:dyDescent="0.25">
      <c r="A634" s="33"/>
      <c r="B634" s="33"/>
      <c r="C634" s="33" t="s">
        <v>140</v>
      </c>
      <c r="D634" s="33"/>
      <c r="E634" s="34" t="s">
        <v>141</v>
      </c>
      <c r="F634" s="71">
        <f>F635+F637+F640</f>
        <v>13355.068460000002</v>
      </c>
      <c r="G634" s="71">
        <f>G635+G637+G640</f>
        <v>0</v>
      </c>
      <c r="H634" s="71">
        <f>H635+H637+H640</f>
        <v>13355.068460000002</v>
      </c>
      <c r="I634" s="71">
        <f t="shared" ref="I634:N634" si="131">I635+I637</f>
        <v>13441.28579</v>
      </c>
      <c r="J634" s="71"/>
      <c r="K634" s="71">
        <f t="shared" si="131"/>
        <v>13441.28579</v>
      </c>
      <c r="L634" s="71">
        <f t="shared" si="131"/>
        <v>13464.485790000001</v>
      </c>
      <c r="M634" s="71"/>
      <c r="N634" s="71">
        <f t="shared" si="131"/>
        <v>13464.485790000001</v>
      </c>
    </row>
    <row r="635" spans="1:15" ht="26.25" x14ac:dyDescent="0.25">
      <c r="A635" s="98"/>
      <c r="B635" s="98"/>
      <c r="C635" s="6" t="s">
        <v>142</v>
      </c>
      <c r="D635" s="6"/>
      <c r="E635" s="3" t="s">
        <v>143</v>
      </c>
      <c r="F635" s="70">
        <f>SUM(F636)</f>
        <v>599.4</v>
      </c>
      <c r="G635" s="70"/>
      <c r="H635" s="70">
        <f>SUM(H636)</f>
        <v>599.4</v>
      </c>
      <c r="I635" s="70">
        <f>SUM(I636)</f>
        <v>621.29999999999995</v>
      </c>
      <c r="J635" s="70"/>
      <c r="K635" s="70">
        <f>SUM(K636)</f>
        <v>621.29999999999995</v>
      </c>
      <c r="L635" s="70">
        <f>SUM(L636)</f>
        <v>644.5</v>
      </c>
      <c r="M635" s="70"/>
      <c r="N635" s="70">
        <f>SUM(N636)</f>
        <v>644.5</v>
      </c>
    </row>
    <row r="636" spans="1:15" x14ac:dyDescent="0.25">
      <c r="A636" s="98"/>
      <c r="B636" s="98"/>
      <c r="C636" s="6"/>
      <c r="D636" s="6" t="s">
        <v>424</v>
      </c>
      <c r="E636" s="3" t="s">
        <v>425</v>
      </c>
      <c r="F636" s="70">
        <v>599.4</v>
      </c>
      <c r="G636" s="70"/>
      <c r="H636" s="70">
        <v>599.4</v>
      </c>
      <c r="I636" s="70">
        <v>621.29999999999995</v>
      </c>
      <c r="J636" s="70"/>
      <c r="K636" s="70">
        <v>621.29999999999995</v>
      </c>
      <c r="L636" s="70">
        <v>644.5</v>
      </c>
      <c r="M636" s="70"/>
      <c r="N636" s="70">
        <v>644.5</v>
      </c>
    </row>
    <row r="637" spans="1:15" ht="51.75" x14ac:dyDescent="0.25">
      <c r="A637" s="98"/>
      <c r="B637" s="98"/>
      <c r="C637" s="6" t="s">
        <v>144</v>
      </c>
      <c r="D637" s="6"/>
      <c r="E637" s="3" t="s">
        <v>145</v>
      </c>
      <c r="F637" s="70">
        <f t="shared" ref="F637:N637" si="132">F638+F639</f>
        <v>12716.228460000002</v>
      </c>
      <c r="G637" s="70"/>
      <c r="H637" s="70">
        <f t="shared" si="132"/>
        <v>12716.228460000002</v>
      </c>
      <c r="I637" s="70">
        <f t="shared" si="132"/>
        <v>12819.985790000001</v>
      </c>
      <c r="J637" s="70"/>
      <c r="K637" s="70">
        <f t="shared" si="132"/>
        <v>12819.985790000001</v>
      </c>
      <c r="L637" s="70">
        <f t="shared" si="132"/>
        <v>12819.985790000001</v>
      </c>
      <c r="M637" s="70"/>
      <c r="N637" s="70">
        <f t="shared" si="132"/>
        <v>12819.985790000001</v>
      </c>
    </row>
    <row r="638" spans="1:15" x14ac:dyDescent="0.25">
      <c r="A638" s="98"/>
      <c r="B638" s="98"/>
      <c r="C638" s="6"/>
      <c r="D638" s="6" t="s">
        <v>424</v>
      </c>
      <c r="E638" s="3" t="s">
        <v>425</v>
      </c>
      <c r="F638" s="70">
        <v>5946.1129600000004</v>
      </c>
      <c r="G638" s="70"/>
      <c r="H638" s="70">
        <f>5817.8+128.31296</f>
        <v>5946.1129600000004</v>
      </c>
      <c r="I638" s="70">
        <v>5994.7872900000002</v>
      </c>
      <c r="J638" s="70"/>
      <c r="K638" s="70">
        <f>5865.2+129.58729</f>
        <v>5994.7872900000002</v>
      </c>
      <c r="L638" s="70">
        <v>5994.7872900000002</v>
      </c>
      <c r="M638" s="70"/>
      <c r="N638" s="70">
        <f>5865.2+129.58729</f>
        <v>5994.7872900000002</v>
      </c>
    </row>
    <row r="639" spans="1:15" ht="26.25" x14ac:dyDescent="0.25">
      <c r="A639" s="98"/>
      <c r="B639" s="98"/>
      <c r="C639" s="6"/>
      <c r="D639" s="6" t="s">
        <v>471</v>
      </c>
      <c r="E639" s="3" t="s">
        <v>472</v>
      </c>
      <c r="F639" s="70">
        <v>6770.1155000000008</v>
      </c>
      <c r="G639" s="70"/>
      <c r="H639" s="70">
        <f>6968.6-198.4845</f>
        <v>6770.1155000000008</v>
      </c>
      <c r="I639" s="70">
        <v>6825.1985000000004</v>
      </c>
      <c r="J639" s="70"/>
      <c r="K639" s="70">
        <f>7025.3-200.1015</f>
        <v>6825.1985000000004</v>
      </c>
      <c r="L639" s="70">
        <v>6825.1985000000004</v>
      </c>
      <c r="M639" s="70"/>
      <c r="N639" s="70">
        <f>7025.3-200.1015</f>
        <v>6825.1985000000004</v>
      </c>
      <c r="O639" s="25" t="s">
        <v>151</v>
      </c>
    </row>
    <row r="640" spans="1:15" ht="26.25" x14ac:dyDescent="0.25">
      <c r="A640" s="98"/>
      <c r="B640" s="98"/>
      <c r="C640" s="6" t="s">
        <v>881</v>
      </c>
      <c r="D640" s="6"/>
      <c r="E640" s="3" t="s">
        <v>882</v>
      </c>
      <c r="F640" s="70">
        <v>39.44</v>
      </c>
      <c r="G640" s="70"/>
      <c r="H640" s="70">
        <v>39.44</v>
      </c>
      <c r="I640" s="70"/>
      <c r="J640" s="70"/>
      <c r="K640" s="70"/>
      <c r="L640" s="70"/>
      <c r="M640" s="70"/>
      <c r="N640" s="70"/>
    </row>
    <row r="641" spans="1:14" x14ac:dyDescent="0.25">
      <c r="A641" s="98"/>
      <c r="B641" s="98"/>
      <c r="C641" s="6"/>
      <c r="D641" s="6" t="s">
        <v>281</v>
      </c>
      <c r="E641" s="3" t="s">
        <v>282</v>
      </c>
      <c r="F641" s="70">
        <v>39.44</v>
      </c>
      <c r="G641" s="70"/>
      <c r="H641" s="70">
        <v>39.44</v>
      </c>
      <c r="I641" s="70"/>
      <c r="J641" s="70"/>
      <c r="K641" s="70"/>
      <c r="L641" s="70"/>
      <c r="M641" s="70"/>
      <c r="N641" s="70"/>
    </row>
    <row r="642" spans="1:14" x14ac:dyDescent="0.25">
      <c r="A642" s="98"/>
      <c r="B642" s="98"/>
      <c r="C642" s="6"/>
      <c r="D642" s="6"/>
      <c r="E642" s="3" t="s">
        <v>84</v>
      </c>
      <c r="F642" s="70">
        <v>39.44</v>
      </c>
      <c r="G642" s="70"/>
      <c r="H642" s="70">
        <v>39.44</v>
      </c>
      <c r="I642" s="70"/>
      <c r="J642" s="70"/>
      <c r="K642" s="70"/>
      <c r="L642" s="70"/>
      <c r="M642" s="70"/>
      <c r="N642" s="70"/>
    </row>
    <row r="643" spans="1:14" x14ac:dyDescent="0.25">
      <c r="A643" s="108"/>
      <c r="B643" s="17">
        <v>1004</v>
      </c>
      <c r="C643" s="109"/>
      <c r="D643" s="108"/>
      <c r="E643" s="102" t="s">
        <v>633</v>
      </c>
      <c r="F643" s="74">
        <f t="shared" ref="F643:H648" si="133">F644</f>
        <v>3972.1</v>
      </c>
      <c r="G643" s="74"/>
      <c r="H643" s="74">
        <f t="shared" si="133"/>
        <v>3972.1</v>
      </c>
      <c r="I643" s="74">
        <f t="shared" ref="I643:N648" si="134">I644</f>
        <v>4340</v>
      </c>
      <c r="J643" s="74"/>
      <c r="K643" s="74">
        <f t="shared" si="134"/>
        <v>4340</v>
      </c>
      <c r="L643" s="74">
        <f t="shared" si="134"/>
        <v>4227.5</v>
      </c>
      <c r="M643" s="74"/>
      <c r="N643" s="74">
        <f t="shared" si="134"/>
        <v>4227.5</v>
      </c>
    </row>
    <row r="644" spans="1:14" x14ac:dyDescent="0.25">
      <c r="A644" s="108"/>
      <c r="B644" s="17"/>
      <c r="C644" s="109" t="s">
        <v>5</v>
      </c>
      <c r="D644" s="17"/>
      <c r="E644" s="7" t="s">
        <v>594</v>
      </c>
      <c r="F644" s="74">
        <f t="shared" si="133"/>
        <v>3972.1</v>
      </c>
      <c r="G644" s="74"/>
      <c r="H644" s="74">
        <f t="shared" si="133"/>
        <v>3972.1</v>
      </c>
      <c r="I644" s="74">
        <f t="shared" si="134"/>
        <v>4340</v>
      </c>
      <c r="J644" s="74"/>
      <c r="K644" s="74">
        <f t="shared" si="134"/>
        <v>4340</v>
      </c>
      <c r="L644" s="74">
        <f t="shared" si="134"/>
        <v>4227.5</v>
      </c>
      <c r="M644" s="74"/>
      <c r="N644" s="74">
        <f t="shared" si="134"/>
        <v>4227.5</v>
      </c>
    </row>
    <row r="645" spans="1:14" ht="25.5" x14ac:dyDescent="0.25">
      <c r="A645" s="111"/>
      <c r="B645" s="112"/>
      <c r="C645" s="113" t="s">
        <v>57</v>
      </c>
      <c r="D645" s="112"/>
      <c r="E645" s="114" t="s">
        <v>58</v>
      </c>
      <c r="F645" s="115">
        <f t="shared" si="133"/>
        <v>3972.1</v>
      </c>
      <c r="G645" s="115"/>
      <c r="H645" s="115">
        <f t="shared" si="133"/>
        <v>3972.1</v>
      </c>
      <c r="I645" s="115">
        <f t="shared" si="134"/>
        <v>4340</v>
      </c>
      <c r="J645" s="115"/>
      <c r="K645" s="115">
        <f t="shared" si="134"/>
        <v>4340</v>
      </c>
      <c r="L645" s="115">
        <f t="shared" si="134"/>
        <v>4227.5</v>
      </c>
      <c r="M645" s="115"/>
      <c r="N645" s="115">
        <f t="shared" si="134"/>
        <v>4227.5</v>
      </c>
    </row>
    <row r="646" spans="1:14" x14ac:dyDescent="0.25">
      <c r="A646" s="132"/>
      <c r="B646" s="133"/>
      <c r="C646" s="134" t="s">
        <v>59</v>
      </c>
      <c r="D646" s="133"/>
      <c r="E646" s="135" t="s">
        <v>60</v>
      </c>
      <c r="F646" s="136">
        <f t="shared" si="133"/>
        <v>3972.1</v>
      </c>
      <c r="G646" s="136"/>
      <c r="H646" s="136">
        <f t="shared" si="133"/>
        <v>3972.1</v>
      </c>
      <c r="I646" s="136">
        <f t="shared" si="134"/>
        <v>4340</v>
      </c>
      <c r="J646" s="136"/>
      <c r="K646" s="136">
        <f t="shared" si="134"/>
        <v>4340</v>
      </c>
      <c r="L646" s="136">
        <f t="shared" si="134"/>
        <v>4227.5</v>
      </c>
      <c r="M646" s="136"/>
      <c r="N646" s="136">
        <f t="shared" si="134"/>
        <v>4227.5</v>
      </c>
    </row>
    <row r="647" spans="1:14" ht="26.25" x14ac:dyDescent="0.25">
      <c r="A647" s="33"/>
      <c r="B647" s="33"/>
      <c r="C647" s="33" t="s">
        <v>61</v>
      </c>
      <c r="D647" s="33"/>
      <c r="E647" s="34" t="s">
        <v>76</v>
      </c>
      <c r="F647" s="71">
        <f t="shared" si="133"/>
        <v>3972.1</v>
      </c>
      <c r="G647" s="71"/>
      <c r="H647" s="71">
        <f t="shared" si="133"/>
        <v>3972.1</v>
      </c>
      <c r="I647" s="71">
        <f t="shared" si="134"/>
        <v>4340</v>
      </c>
      <c r="J647" s="71"/>
      <c r="K647" s="71">
        <f t="shared" si="134"/>
        <v>4340</v>
      </c>
      <c r="L647" s="71">
        <f t="shared" si="134"/>
        <v>4227.5</v>
      </c>
      <c r="M647" s="71"/>
      <c r="N647" s="71">
        <f t="shared" si="134"/>
        <v>4227.5</v>
      </c>
    </row>
    <row r="648" spans="1:14" ht="39" x14ac:dyDescent="0.25">
      <c r="A648" s="98"/>
      <c r="B648" s="98"/>
      <c r="C648" s="6" t="s">
        <v>67</v>
      </c>
      <c r="D648" s="6"/>
      <c r="E648" s="3" t="s">
        <v>68</v>
      </c>
      <c r="F648" s="70">
        <f t="shared" si="133"/>
        <v>3972.1</v>
      </c>
      <c r="G648" s="70"/>
      <c r="H648" s="70">
        <f t="shared" si="133"/>
        <v>3972.1</v>
      </c>
      <c r="I648" s="70">
        <f t="shared" si="134"/>
        <v>4340</v>
      </c>
      <c r="J648" s="70"/>
      <c r="K648" s="70">
        <f t="shared" si="134"/>
        <v>4340</v>
      </c>
      <c r="L648" s="70">
        <f t="shared" si="134"/>
        <v>4227.5</v>
      </c>
      <c r="M648" s="70"/>
      <c r="N648" s="70">
        <f t="shared" si="134"/>
        <v>4227.5</v>
      </c>
    </row>
    <row r="649" spans="1:14" ht="26.25" x14ac:dyDescent="0.25">
      <c r="A649" s="98"/>
      <c r="B649" s="98"/>
      <c r="C649" s="6"/>
      <c r="D649" s="6" t="s">
        <v>471</v>
      </c>
      <c r="E649" s="3" t="s">
        <v>472</v>
      </c>
      <c r="F649" s="70">
        <v>3972.1</v>
      </c>
      <c r="G649" s="70"/>
      <c r="H649" s="70">
        <v>3972.1</v>
      </c>
      <c r="I649" s="70">
        <v>4340</v>
      </c>
      <c r="J649" s="70"/>
      <c r="K649" s="70">
        <v>4340</v>
      </c>
      <c r="L649" s="70">
        <v>4227.5</v>
      </c>
      <c r="M649" s="70"/>
      <c r="N649" s="70">
        <v>4227.5</v>
      </c>
    </row>
    <row r="650" spans="1:14" x14ac:dyDescent="0.25">
      <c r="A650" s="68"/>
      <c r="B650" s="17">
        <v>1100</v>
      </c>
      <c r="C650" s="109"/>
      <c r="D650" s="108"/>
      <c r="E650" s="102" t="s">
        <v>646</v>
      </c>
      <c r="F650" s="74">
        <f t="shared" ref="F650:N652" si="135">F651</f>
        <v>5581.03</v>
      </c>
      <c r="G650" s="74">
        <f t="shared" si="135"/>
        <v>-38.330000000000013</v>
      </c>
      <c r="H650" s="74">
        <f t="shared" si="135"/>
        <v>5542.7</v>
      </c>
      <c r="I650" s="74">
        <f t="shared" si="135"/>
        <v>0</v>
      </c>
      <c r="J650" s="74">
        <f t="shared" si="135"/>
        <v>0</v>
      </c>
      <c r="K650" s="74">
        <f t="shared" si="135"/>
        <v>0</v>
      </c>
      <c r="L650" s="74">
        <f t="shared" si="135"/>
        <v>0</v>
      </c>
      <c r="M650" s="74"/>
      <c r="N650" s="74">
        <f t="shared" si="135"/>
        <v>0</v>
      </c>
    </row>
    <row r="651" spans="1:14" x14ac:dyDescent="0.25">
      <c r="A651" s="68"/>
      <c r="B651" s="17" t="s">
        <v>647</v>
      </c>
      <c r="C651" s="109"/>
      <c r="D651" s="17"/>
      <c r="E651" s="129" t="s">
        <v>648</v>
      </c>
      <c r="F651" s="74">
        <f t="shared" si="135"/>
        <v>5581.03</v>
      </c>
      <c r="G651" s="74">
        <f t="shared" si="135"/>
        <v>-38.330000000000013</v>
      </c>
      <c r="H651" s="74">
        <f t="shared" si="135"/>
        <v>5542.7</v>
      </c>
      <c r="I651" s="74">
        <f t="shared" si="135"/>
        <v>0</v>
      </c>
      <c r="J651" s="74">
        <f t="shared" si="135"/>
        <v>0</v>
      </c>
      <c r="K651" s="74">
        <f t="shared" si="135"/>
        <v>0</v>
      </c>
      <c r="L651" s="74">
        <f t="shared" si="135"/>
        <v>0</v>
      </c>
      <c r="M651" s="74"/>
      <c r="N651" s="74">
        <f t="shared" si="135"/>
        <v>0</v>
      </c>
    </row>
    <row r="652" spans="1:14" x14ac:dyDescent="0.25">
      <c r="A652" s="68"/>
      <c r="B652" s="17"/>
      <c r="C652" s="109" t="s">
        <v>5</v>
      </c>
      <c r="D652" s="17"/>
      <c r="E652" s="129" t="s">
        <v>6</v>
      </c>
      <c r="F652" s="74">
        <f t="shared" si="135"/>
        <v>5581.03</v>
      </c>
      <c r="G652" s="74">
        <f t="shared" si="135"/>
        <v>-38.330000000000013</v>
      </c>
      <c r="H652" s="74">
        <f t="shared" si="135"/>
        <v>5542.7</v>
      </c>
      <c r="I652" s="74">
        <f t="shared" si="135"/>
        <v>0</v>
      </c>
      <c r="J652" s="74">
        <f t="shared" si="135"/>
        <v>0</v>
      </c>
      <c r="K652" s="74">
        <f t="shared" si="135"/>
        <v>0</v>
      </c>
      <c r="L652" s="74">
        <f t="shared" si="135"/>
        <v>0</v>
      </c>
      <c r="M652" s="74"/>
      <c r="N652" s="74">
        <f t="shared" si="135"/>
        <v>0</v>
      </c>
    </row>
    <row r="653" spans="1:14" ht="25.5" x14ac:dyDescent="0.25">
      <c r="A653" s="111"/>
      <c r="B653" s="112"/>
      <c r="C653" s="113" t="s">
        <v>256</v>
      </c>
      <c r="D653" s="112"/>
      <c r="E653" s="114" t="s">
        <v>257</v>
      </c>
      <c r="F653" s="115">
        <f t="shared" ref="F653:L653" si="136">F654+F667+F660</f>
        <v>5581.03</v>
      </c>
      <c r="G653" s="115">
        <f t="shared" si="136"/>
        <v>-38.330000000000013</v>
      </c>
      <c r="H653" s="115">
        <f t="shared" si="136"/>
        <v>5542.7</v>
      </c>
      <c r="I653" s="115">
        <f t="shared" si="136"/>
        <v>0</v>
      </c>
      <c r="J653" s="115">
        <f t="shared" si="136"/>
        <v>0</v>
      </c>
      <c r="K653" s="115">
        <f t="shared" si="136"/>
        <v>0</v>
      </c>
      <c r="L653" s="115">
        <f t="shared" si="136"/>
        <v>0</v>
      </c>
      <c r="M653" s="115"/>
      <c r="N653" s="115">
        <f>N654+N667+N660</f>
        <v>0</v>
      </c>
    </row>
    <row r="654" spans="1:14" ht="26.25" x14ac:dyDescent="0.25">
      <c r="A654" s="33"/>
      <c r="B654" s="33"/>
      <c r="C654" s="33" t="s">
        <v>258</v>
      </c>
      <c r="D654" s="33"/>
      <c r="E654" s="34" t="s">
        <v>685</v>
      </c>
      <c r="F654" s="71">
        <f>F655+F657</f>
        <v>1581.03</v>
      </c>
      <c r="G654" s="71">
        <f>G655+G657</f>
        <v>-138.33000000000001</v>
      </c>
      <c r="H654" s="71">
        <f>H655+H657</f>
        <v>1442.7</v>
      </c>
      <c r="I654" s="71">
        <f t="shared" ref="F654:N655" si="137">I655</f>
        <v>0</v>
      </c>
      <c r="J654" s="71"/>
      <c r="K654" s="71">
        <f t="shared" si="137"/>
        <v>0</v>
      </c>
      <c r="L654" s="71">
        <f t="shared" si="137"/>
        <v>0</v>
      </c>
      <c r="M654" s="71"/>
      <c r="N654" s="71">
        <f t="shared" si="137"/>
        <v>0</v>
      </c>
    </row>
    <row r="655" spans="1:14" ht="39" x14ac:dyDescent="0.25">
      <c r="A655" s="98"/>
      <c r="B655" s="98"/>
      <c r="C655" s="6" t="s">
        <v>260</v>
      </c>
      <c r="D655" s="6"/>
      <c r="E655" s="3" t="s">
        <v>261</v>
      </c>
      <c r="F655" s="70">
        <f t="shared" si="137"/>
        <v>1442.7</v>
      </c>
      <c r="G655" s="70"/>
      <c r="H655" s="70">
        <f t="shared" si="137"/>
        <v>1442.7</v>
      </c>
      <c r="I655" s="70">
        <f t="shared" si="137"/>
        <v>0</v>
      </c>
      <c r="J655" s="70"/>
      <c r="K655" s="70">
        <f t="shared" si="137"/>
        <v>0</v>
      </c>
      <c r="L655" s="70">
        <f t="shared" si="137"/>
        <v>0</v>
      </c>
      <c r="M655" s="70"/>
      <c r="N655" s="70">
        <f t="shared" si="137"/>
        <v>0</v>
      </c>
    </row>
    <row r="656" spans="1:14" ht="26.25" x14ac:dyDescent="0.25">
      <c r="A656" s="98"/>
      <c r="B656" s="98"/>
      <c r="C656" s="6"/>
      <c r="D656" s="6" t="s">
        <v>471</v>
      </c>
      <c r="E656" s="3" t="s">
        <v>472</v>
      </c>
      <c r="F656" s="70">
        <v>1442.7</v>
      </c>
      <c r="G656" s="70"/>
      <c r="H656" s="70">
        <v>1442.7</v>
      </c>
      <c r="I656" s="70">
        <v>0</v>
      </c>
      <c r="J656" s="70"/>
      <c r="K656" s="70">
        <v>0</v>
      </c>
      <c r="L656" s="70">
        <v>0</v>
      </c>
      <c r="M656" s="70"/>
      <c r="N656" s="70">
        <v>0</v>
      </c>
    </row>
    <row r="657" spans="1:14" x14ac:dyDescent="0.25">
      <c r="A657" s="98"/>
      <c r="B657" s="98"/>
      <c r="C657" s="6" t="s">
        <v>830</v>
      </c>
      <c r="D657" s="6"/>
      <c r="E657" s="3" t="s">
        <v>831</v>
      </c>
      <c r="F657" s="70">
        <f t="shared" ref="F657:H658" si="138">F658</f>
        <v>138.33000000000001</v>
      </c>
      <c r="G657" s="70">
        <f t="shared" si="138"/>
        <v>-138.33000000000001</v>
      </c>
      <c r="H657" s="70">
        <f t="shared" si="138"/>
        <v>0</v>
      </c>
      <c r="I657" s="70"/>
      <c r="J657" s="70"/>
      <c r="K657" s="70"/>
      <c r="L657" s="70"/>
      <c r="M657" s="70"/>
      <c r="N657" s="70"/>
    </row>
    <row r="658" spans="1:14" ht="26.25" x14ac:dyDescent="0.25">
      <c r="A658" s="98"/>
      <c r="B658" s="98"/>
      <c r="C658" s="6"/>
      <c r="D658" s="6" t="s">
        <v>471</v>
      </c>
      <c r="E658" s="3" t="s">
        <v>472</v>
      </c>
      <c r="F658" s="70">
        <f t="shared" si="138"/>
        <v>138.33000000000001</v>
      </c>
      <c r="G658" s="70">
        <f t="shared" si="138"/>
        <v>-138.33000000000001</v>
      </c>
      <c r="H658" s="70">
        <f t="shared" si="138"/>
        <v>0</v>
      </c>
      <c r="I658" s="70"/>
      <c r="J658" s="70"/>
      <c r="K658" s="70"/>
      <c r="L658" s="70"/>
      <c r="M658" s="70"/>
      <c r="N658" s="70"/>
    </row>
    <row r="659" spans="1:14" x14ac:dyDescent="0.25">
      <c r="A659" s="98"/>
      <c r="B659" s="98"/>
      <c r="C659" s="6"/>
      <c r="D659" s="6"/>
      <c r="E659" s="1" t="s">
        <v>150</v>
      </c>
      <c r="F659" s="70">
        <v>138.33000000000001</v>
      </c>
      <c r="G659" s="80">
        <v>-138.33000000000001</v>
      </c>
      <c r="H659" s="70">
        <f>SUM(F659:G659)</f>
        <v>0</v>
      </c>
      <c r="I659" s="70"/>
      <c r="J659" s="70"/>
      <c r="K659" s="70"/>
      <c r="L659" s="70"/>
      <c r="M659" s="70"/>
      <c r="N659" s="70"/>
    </row>
    <row r="660" spans="1:14" ht="37.5" customHeight="1" x14ac:dyDescent="0.25">
      <c r="A660" s="33"/>
      <c r="B660" s="33"/>
      <c r="C660" s="33" t="s">
        <v>262</v>
      </c>
      <c r="D660" s="33"/>
      <c r="E660" s="34" t="s">
        <v>263</v>
      </c>
      <c r="F660" s="71">
        <f t="shared" ref="F660:N661" si="139">F661</f>
        <v>4000</v>
      </c>
      <c r="G660" s="71">
        <f>G661+G665</f>
        <v>100</v>
      </c>
      <c r="H660" s="71">
        <f>H661+H665</f>
        <v>4100</v>
      </c>
      <c r="I660" s="71">
        <f t="shared" si="139"/>
        <v>0</v>
      </c>
      <c r="J660" s="71"/>
      <c r="K660" s="71">
        <f t="shared" si="139"/>
        <v>0</v>
      </c>
      <c r="L660" s="71">
        <f t="shared" si="139"/>
        <v>0</v>
      </c>
      <c r="M660" s="71"/>
      <c r="N660" s="71">
        <f t="shared" si="139"/>
        <v>0</v>
      </c>
    </row>
    <row r="661" spans="1:14" ht="26.25" x14ac:dyDescent="0.25">
      <c r="A661" s="98"/>
      <c r="B661" s="98"/>
      <c r="C661" s="6" t="s">
        <v>264</v>
      </c>
      <c r="D661" s="6"/>
      <c r="E661" s="3" t="s">
        <v>265</v>
      </c>
      <c r="F661" s="70">
        <f t="shared" si="139"/>
        <v>4000</v>
      </c>
      <c r="G661" s="70"/>
      <c r="H661" s="70">
        <f t="shared" si="139"/>
        <v>4000</v>
      </c>
      <c r="I661" s="70">
        <f t="shared" si="139"/>
        <v>0</v>
      </c>
      <c r="J661" s="70"/>
      <c r="K661" s="70">
        <f t="shared" si="139"/>
        <v>0</v>
      </c>
      <c r="L661" s="70">
        <f t="shared" si="139"/>
        <v>0</v>
      </c>
      <c r="M661" s="70"/>
      <c r="N661" s="70">
        <f t="shared" si="139"/>
        <v>0</v>
      </c>
    </row>
    <row r="662" spans="1:14" ht="26.25" x14ac:dyDescent="0.25">
      <c r="A662" s="98"/>
      <c r="B662" s="98"/>
      <c r="C662" s="6"/>
      <c r="D662" s="6" t="s">
        <v>471</v>
      </c>
      <c r="E662" s="3" t="s">
        <v>472</v>
      </c>
      <c r="F662" s="70">
        <f>F663+F664</f>
        <v>4000</v>
      </c>
      <c r="G662" s="70"/>
      <c r="H662" s="70">
        <f>H663+H664</f>
        <v>4000</v>
      </c>
      <c r="I662" s="70">
        <f>I663+I664</f>
        <v>0</v>
      </c>
      <c r="J662" s="70"/>
      <c r="K662" s="70">
        <f>K663+K664</f>
        <v>0</v>
      </c>
      <c r="L662" s="70">
        <v>0</v>
      </c>
      <c r="M662" s="70"/>
      <c r="N662" s="70">
        <v>0</v>
      </c>
    </row>
    <row r="663" spans="1:14" x14ac:dyDescent="0.25">
      <c r="A663" s="98"/>
      <c r="B663" s="98"/>
      <c r="C663" s="6"/>
      <c r="D663" s="6"/>
      <c r="E663" s="3" t="s">
        <v>153</v>
      </c>
      <c r="F663" s="70">
        <v>3000</v>
      </c>
      <c r="G663" s="70"/>
      <c r="H663" s="70">
        <v>3000</v>
      </c>
      <c r="I663" s="70">
        <v>0</v>
      </c>
      <c r="J663" s="70"/>
      <c r="K663" s="70">
        <v>0</v>
      </c>
      <c r="L663" s="80">
        <v>0</v>
      </c>
      <c r="M663" s="80"/>
      <c r="N663" s="80">
        <v>0</v>
      </c>
    </row>
    <row r="664" spans="1:14" x14ac:dyDescent="0.25">
      <c r="A664" s="98"/>
      <c r="B664" s="98"/>
      <c r="C664" s="6"/>
      <c r="D664" s="6"/>
      <c r="E664" s="3" t="s">
        <v>105</v>
      </c>
      <c r="F664" s="70">
        <v>1000</v>
      </c>
      <c r="G664" s="70"/>
      <c r="H664" s="70">
        <v>1000</v>
      </c>
      <c r="I664" s="70">
        <v>0</v>
      </c>
      <c r="J664" s="70"/>
      <c r="K664" s="70">
        <v>0</v>
      </c>
      <c r="L664" s="70">
        <v>0</v>
      </c>
      <c r="M664" s="70"/>
      <c r="N664" s="70">
        <v>0</v>
      </c>
    </row>
    <row r="665" spans="1:14" ht="39" x14ac:dyDescent="0.25">
      <c r="A665" s="98"/>
      <c r="B665" s="98"/>
      <c r="C665" s="6" t="s">
        <v>933</v>
      </c>
      <c r="D665" s="6"/>
      <c r="E665" s="3" t="s">
        <v>934</v>
      </c>
      <c r="F665" s="70"/>
      <c r="G665" s="70">
        <v>100</v>
      </c>
      <c r="H665" s="70">
        <v>100</v>
      </c>
      <c r="I665" s="70"/>
      <c r="J665" s="70"/>
      <c r="K665" s="70"/>
      <c r="L665" s="70"/>
      <c r="M665" s="70"/>
      <c r="N665" s="70"/>
    </row>
    <row r="666" spans="1:14" ht="26.25" x14ac:dyDescent="0.25">
      <c r="A666" s="98"/>
      <c r="B666" s="98"/>
      <c r="C666" s="6"/>
      <c r="D666" s="6" t="s">
        <v>471</v>
      </c>
      <c r="E666" s="3" t="s">
        <v>472</v>
      </c>
      <c r="F666" s="70"/>
      <c r="G666" s="70">
        <v>100</v>
      </c>
      <c r="H666" s="70">
        <v>100</v>
      </c>
      <c r="I666" s="70"/>
      <c r="J666" s="70"/>
      <c r="K666" s="70"/>
      <c r="L666" s="70"/>
      <c r="M666" s="70"/>
      <c r="N666" s="70"/>
    </row>
    <row r="667" spans="1:14" ht="26.25" x14ac:dyDescent="0.25">
      <c r="A667" s="33"/>
      <c r="B667" s="33"/>
      <c r="C667" s="33" t="s">
        <v>441</v>
      </c>
      <c r="D667" s="33"/>
      <c r="E667" s="34" t="s">
        <v>442</v>
      </c>
      <c r="F667" s="71">
        <f>F668</f>
        <v>0</v>
      </c>
      <c r="G667" s="71"/>
      <c r="H667" s="71">
        <f>H668</f>
        <v>0</v>
      </c>
      <c r="I667" s="71">
        <f t="shared" ref="I667:N667" si="140">I668</f>
        <v>0</v>
      </c>
      <c r="J667" s="71">
        <f t="shared" si="140"/>
        <v>0</v>
      </c>
      <c r="K667" s="71">
        <f t="shared" si="140"/>
        <v>0</v>
      </c>
      <c r="L667" s="71">
        <f t="shared" si="140"/>
        <v>0</v>
      </c>
      <c r="M667" s="71"/>
      <c r="N667" s="71">
        <f t="shared" si="140"/>
        <v>0</v>
      </c>
    </row>
    <row r="668" spans="1:14" x14ac:dyDescent="0.25">
      <c r="A668" s="98"/>
      <c r="B668" s="98"/>
      <c r="C668" s="6" t="s">
        <v>443</v>
      </c>
      <c r="D668" s="6"/>
      <c r="E668" s="3" t="s">
        <v>266</v>
      </c>
      <c r="F668" s="70">
        <v>0</v>
      </c>
      <c r="G668" s="70"/>
      <c r="H668" s="70">
        <v>0</v>
      </c>
      <c r="I668" s="70">
        <v>0</v>
      </c>
      <c r="J668" s="70"/>
      <c r="K668" s="70">
        <v>0</v>
      </c>
      <c r="L668" s="70">
        <v>0</v>
      </c>
      <c r="M668" s="70"/>
      <c r="N668" s="70">
        <v>0</v>
      </c>
    </row>
    <row r="669" spans="1:14" ht="26.25" x14ac:dyDescent="0.25">
      <c r="A669" s="98"/>
      <c r="B669" s="98"/>
      <c r="C669" s="6"/>
      <c r="D669" s="6" t="s">
        <v>471</v>
      </c>
      <c r="E669" s="3" t="s">
        <v>472</v>
      </c>
      <c r="F669" s="70">
        <v>0</v>
      </c>
      <c r="G669" s="70"/>
      <c r="H669" s="70">
        <v>0</v>
      </c>
      <c r="I669" s="70">
        <v>0</v>
      </c>
      <c r="J669" s="70"/>
      <c r="K669" s="70">
        <v>0</v>
      </c>
      <c r="L669" s="70">
        <v>0</v>
      </c>
      <c r="M669" s="70"/>
      <c r="N669" s="70">
        <v>0</v>
      </c>
    </row>
    <row r="670" spans="1:14" x14ac:dyDescent="0.25">
      <c r="A670" s="98"/>
      <c r="B670" s="98"/>
      <c r="C670" s="6"/>
      <c r="D670" s="6"/>
      <c r="E670" s="3" t="s">
        <v>153</v>
      </c>
      <c r="F670" s="80">
        <v>0</v>
      </c>
      <c r="G670" s="80"/>
      <c r="H670" s="80">
        <v>0</v>
      </c>
      <c r="I670" s="80">
        <v>0</v>
      </c>
      <c r="J670" s="80"/>
      <c r="K670" s="80">
        <v>0</v>
      </c>
      <c r="L670" s="80">
        <v>0</v>
      </c>
      <c r="M670" s="80"/>
      <c r="N670" s="80">
        <v>0</v>
      </c>
    </row>
    <row r="671" spans="1:14" x14ac:dyDescent="0.25">
      <c r="A671" s="98"/>
      <c r="B671" s="98"/>
      <c r="C671" s="6"/>
      <c r="D671" s="6"/>
      <c r="E671" s="3" t="s">
        <v>105</v>
      </c>
      <c r="F671" s="70">
        <v>0</v>
      </c>
      <c r="G671" s="70"/>
      <c r="H671" s="70">
        <v>0</v>
      </c>
      <c r="I671" s="70">
        <v>0</v>
      </c>
      <c r="J671" s="70"/>
      <c r="K671" s="70">
        <v>0</v>
      </c>
      <c r="L671" s="70">
        <v>0</v>
      </c>
      <c r="M671" s="70"/>
      <c r="N671" s="70">
        <v>0</v>
      </c>
    </row>
    <row r="672" spans="1:14" ht="25.5" x14ac:dyDescent="0.25">
      <c r="A672" s="106">
        <v>621</v>
      </c>
      <c r="B672" s="153"/>
      <c r="C672" s="154"/>
      <c r="D672" s="106"/>
      <c r="E672" s="107" t="s">
        <v>649</v>
      </c>
      <c r="F672" s="83">
        <f>F673+F689+F715+F768+F780+F787</f>
        <v>99806.199669999987</v>
      </c>
      <c r="G672" s="83">
        <f>G673+G689+G715+G768+G780+G787</f>
        <v>165.3</v>
      </c>
      <c r="H672" s="83">
        <f t="shared" ref="H672:M672" si="141">H673+H689+H715+H768+H780+H787</f>
        <v>99971.49966999999</v>
      </c>
      <c r="I672" s="83">
        <f t="shared" si="141"/>
        <v>96830.270600000003</v>
      </c>
      <c r="J672" s="83">
        <f t="shared" si="141"/>
        <v>0</v>
      </c>
      <c r="K672" s="83">
        <f t="shared" si="141"/>
        <v>96830.270600000003</v>
      </c>
      <c r="L672" s="83">
        <f t="shared" si="141"/>
        <v>92411.270600000003</v>
      </c>
      <c r="M672" s="83">
        <f t="shared" si="141"/>
        <v>0</v>
      </c>
      <c r="N672" s="83">
        <f>N673+N689+N715+N768+N780+N787</f>
        <v>92411.270600000003</v>
      </c>
    </row>
    <row r="673" spans="1:14" x14ac:dyDescent="0.25">
      <c r="A673" s="156"/>
      <c r="B673" s="17" t="s">
        <v>565</v>
      </c>
      <c r="C673" s="109"/>
      <c r="D673" s="108"/>
      <c r="E673" s="102" t="s">
        <v>573</v>
      </c>
      <c r="F673" s="74">
        <f>F674</f>
        <v>96.5</v>
      </c>
      <c r="G673" s="74"/>
      <c r="H673" s="74">
        <f>H674</f>
        <v>96.5</v>
      </c>
      <c r="I673" s="74">
        <f t="shared" ref="I673:N675" si="142">I674</f>
        <v>100.4</v>
      </c>
      <c r="J673" s="74"/>
      <c r="K673" s="74">
        <f t="shared" si="142"/>
        <v>100.4</v>
      </c>
      <c r="L673" s="74">
        <f t="shared" si="142"/>
        <v>104.4</v>
      </c>
      <c r="M673" s="74"/>
      <c r="N673" s="74">
        <f t="shared" si="142"/>
        <v>104.4</v>
      </c>
    </row>
    <row r="674" spans="1:14" x14ac:dyDescent="0.25">
      <c r="A674" s="156"/>
      <c r="B674" s="17" t="s">
        <v>570</v>
      </c>
      <c r="C674" s="109"/>
      <c r="D674" s="108"/>
      <c r="E674" s="102" t="s">
        <v>581</v>
      </c>
      <c r="F674" s="74">
        <f>F675</f>
        <v>96.5</v>
      </c>
      <c r="G674" s="74"/>
      <c r="H674" s="74">
        <f>H675</f>
        <v>96.5</v>
      </c>
      <c r="I674" s="74">
        <f t="shared" si="142"/>
        <v>100.4</v>
      </c>
      <c r="J674" s="74"/>
      <c r="K674" s="74">
        <f t="shared" si="142"/>
        <v>100.4</v>
      </c>
      <c r="L674" s="74">
        <f t="shared" si="142"/>
        <v>104.4</v>
      </c>
      <c r="M674" s="74"/>
      <c r="N674" s="74">
        <f t="shared" si="142"/>
        <v>104.4</v>
      </c>
    </row>
    <row r="675" spans="1:14" x14ac:dyDescent="0.25">
      <c r="A675" s="157"/>
      <c r="B675" s="17"/>
      <c r="C675" s="109" t="s">
        <v>5</v>
      </c>
      <c r="D675" s="108"/>
      <c r="E675" s="129" t="s">
        <v>6</v>
      </c>
      <c r="F675" s="74">
        <f>F676</f>
        <v>96.5</v>
      </c>
      <c r="G675" s="74"/>
      <c r="H675" s="74">
        <f>H676</f>
        <v>96.5</v>
      </c>
      <c r="I675" s="74">
        <f t="shared" si="142"/>
        <v>100.4</v>
      </c>
      <c r="J675" s="74"/>
      <c r="K675" s="74">
        <f t="shared" si="142"/>
        <v>100.4</v>
      </c>
      <c r="L675" s="74">
        <f t="shared" si="142"/>
        <v>104.4</v>
      </c>
      <c r="M675" s="74"/>
      <c r="N675" s="74">
        <f t="shared" si="142"/>
        <v>104.4</v>
      </c>
    </row>
    <row r="676" spans="1:14" ht="25.5" x14ac:dyDescent="0.25">
      <c r="A676" s="111"/>
      <c r="B676" s="112"/>
      <c r="C676" s="113" t="s">
        <v>160</v>
      </c>
      <c r="D676" s="112"/>
      <c r="E676" s="114" t="s">
        <v>161</v>
      </c>
      <c r="F676" s="115">
        <f>F677+F681+F685</f>
        <v>96.5</v>
      </c>
      <c r="G676" s="115"/>
      <c r="H676" s="115">
        <f>H677+H681+H685</f>
        <v>96.5</v>
      </c>
      <c r="I676" s="115">
        <f>I677+I681+I685</f>
        <v>100.4</v>
      </c>
      <c r="J676" s="115"/>
      <c r="K676" s="115">
        <f>K677+K681+K685</f>
        <v>100.4</v>
      </c>
      <c r="L676" s="115">
        <f>L677+L681+L685</f>
        <v>104.4</v>
      </c>
      <c r="M676" s="115"/>
      <c r="N676" s="115">
        <f>N677+N681+N685</f>
        <v>104.4</v>
      </c>
    </row>
    <row r="677" spans="1:14" ht="26.25" x14ac:dyDescent="0.25">
      <c r="A677" s="31"/>
      <c r="B677" s="31"/>
      <c r="C677" s="31" t="s">
        <v>168</v>
      </c>
      <c r="D677" s="31"/>
      <c r="E677" s="32" t="s">
        <v>169</v>
      </c>
      <c r="F677" s="75">
        <f t="shared" ref="F677:N678" si="143">F678</f>
        <v>10</v>
      </c>
      <c r="G677" s="75"/>
      <c r="H677" s="75">
        <f t="shared" si="143"/>
        <v>10</v>
      </c>
      <c r="I677" s="75">
        <f t="shared" si="143"/>
        <v>10.4</v>
      </c>
      <c r="J677" s="75"/>
      <c r="K677" s="75">
        <f t="shared" si="143"/>
        <v>10.4</v>
      </c>
      <c r="L677" s="75">
        <f t="shared" si="143"/>
        <v>10.8</v>
      </c>
      <c r="M677" s="75"/>
      <c r="N677" s="75">
        <f t="shared" si="143"/>
        <v>10.8</v>
      </c>
    </row>
    <row r="678" spans="1:14" ht="26.25" x14ac:dyDescent="0.25">
      <c r="A678" s="33"/>
      <c r="B678" s="33"/>
      <c r="C678" s="33" t="s">
        <v>170</v>
      </c>
      <c r="D678" s="33"/>
      <c r="E678" s="34" t="s">
        <v>171</v>
      </c>
      <c r="F678" s="71">
        <f t="shared" si="143"/>
        <v>10</v>
      </c>
      <c r="G678" s="71"/>
      <c r="H678" s="71">
        <f t="shared" si="143"/>
        <v>10</v>
      </c>
      <c r="I678" s="71">
        <f t="shared" si="143"/>
        <v>10.4</v>
      </c>
      <c r="J678" s="71"/>
      <c r="K678" s="71">
        <f t="shared" si="143"/>
        <v>10.4</v>
      </c>
      <c r="L678" s="71">
        <f t="shared" si="143"/>
        <v>10.8</v>
      </c>
      <c r="M678" s="71"/>
      <c r="N678" s="71">
        <f t="shared" si="143"/>
        <v>10.8</v>
      </c>
    </row>
    <row r="679" spans="1:14" x14ac:dyDescent="0.25">
      <c r="A679" s="98"/>
      <c r="B679" s="98"/>
      <c r="C679" s="6" t="s">
        <v>172</v>
      </c>
      <c r="D679" s="6"/>
      <c r="E679" s="3" t="s">
        <v>534</v>
      </c>
      <c r="F679" s="70">
        <v>10</v>
      </c>
      <c r="G679" s="70"/>
      <c r="H679" s="70">
        <v>10</v>
      </c>
      <c r="I679" s="70">
        <f>I680</f>
        <v>10.4</v>
      </c>
      <c r="J679" s="70"/>
      <c r="K679" s="70">
        <f>K680</f>
        <v>10.4</v>
      </c>
      <c r="L679" s="70">
        <v>10.8</v>
      </c>
      <c r="M679" s="70"/>
      <c r="N679" s="70">
        <v>10.8</v>
      </c>
    </row>
    <row r="680" spans="1:14" ht="26.25" x14ac:dyDescent="0.25">
      <c r="A680" s="98"/>
      <c r="B680" s="98"/>
      <c r="C680" s="6"/>
      <c r="D680" s="6" t="s">
        <v>471</v>
      </c>
      <c r="E680" s="3" t="s">
        <v>472</v>
      </c>
      <c r="F680" s="70">
        <v>10</v>
      </c>
      <c r="G680" s="70"/>
      <c r="H680" s="70">
        <v>10</v>
      </c>
      <c r="I680" s="70">
        <v>10.4</v>
      </c>
      <c r="J680" s="70"/>
      <c r="K680" s="70">
        <v>10.4</v>
      </c>
      <c r="L680" s="70">
        <v>10.8</v>
      </c>
      <c r="M680" s="70"/>
      <c r="N680" s="70">
        <v>10.8</v>
      </c>
    </row>
    <row r="681" spans="1:14" x14ac:dyDescent="0.25">
      <c r="A681" s="31"/>
      <c r="B681" s="31"/>
      <c r="C681" s="31" t="s">
        <v>173</v>
      </c>
      <c r="D681" s="31"/>
      <c r="E681" s="32" t="s">
        <v>174</v>
      </c>
      <c r="F681" s="75">
        <f t="shared" ref="F681:N682" si="144">F682</f>
        <v>26.5</v>
      </c>
      <c r="G681" s="75"/>
      <c r="H681" s="75">
        <f t="shared" si="144"/>
        <v>26.5</v>
      </c>
      <c r="I681" s="75">
        <f t="shared" si="144"/>
        <v>27.6</v>
      </c>
      <c r="J681" s="75"/>
      <c r="K681" s="75">
        <f t="shared" si="144"/>
        <v>27.6</v>
      </c>
      <c r="L681" s="75">
        <f t="shared" si="144"/>
        <v>28.7</v>
      </c>
      <c r="M681" s="75"/>
      <c r="N681" s="75">
        <f t="shared" si="144"/>
        <v>28.7</v>
      </c>
    </row>
    <row r="682" spans="1:14" ht="26.25" x14ac:dyDescent="0.25">
      <c r="A682" s="33"/>
      <c r="B682" s="33"/>
      <c r="C682" s="33" t="s">
        <v>175</v>
      </c>
      <c r="D682" s="33"/>
      <c r="E682" s="34" t="s">
        <v>176</v>
      </c>
      <c r="F682" s="71">
        <f t="shared" si="144"/>
        <v>26.5</v>
      </c>
      <c r="G682" s="71"/>
      <c r="H682" s="71">
        <f t="shared" si="144"/>
        <v>26.5</v>
      </c>
      <c r="I682" s="71">
        <f t="shared" si="144"/>
        <v>27.6</v>
      </c>
      <c r="J682" s="71"/>
      <c r="K682" s="71">
        <f t="shared" si="144"/>
        <v>27.6</v>
      </c>
      <c r="L682" s="71">
        <f t="shared" si="144"/>
        <v>28.7</v>
      </c>
      <c r="M682" s="71"/>
      <c r="N682" s="71">
        <f t="shared" si="144"/>
        <v>28.7</v>
      </c>
    </row>
    <row r="683" spans="1:14" ht="26.25" x14ac:dyDescent="0.25">
      <c r="A683" s="98"/>
      <c r="B683" s="98"/>
      <c r="C683" s="6" t="s">
        <v>177</v>
      </c>
      <c r="D683" s="6"/>
      <c r="E683" s="3" t="s">
        <v>178</v>
      </c>
      <c r="F683" s="80">
        <v>26.5</v>
      </c>
      <c r="G683" s="80"/>
      <c r="H683" s="80">
        <v>26.5</v>
      </c>
      <c r="I683" s="80">
        <v>27.6</v>
      </c>
      <c r="J683" s="80"/>
      <c r="K683" s="80">
        <v>27.6</v>
      </c>
      <c r="L683" s="80">
        <v>28.7</v>
      </c>
      <c r="M683" s="80"/>
      <c r="N683" s="80">
        <v>28.7</v>
      </c>
    </row>
    <row r="684" spans="1:14" ht="26.25" x14ac:dyDescent="0.25">
      <c r="A684" s="98"/>
      <c r="B684" s="98"/>
      <c r="C684" s="6"/>
      <c r="D684" s="6" t="s">
        <v>471</v>
      </c>
      <c r="E684" s="3" t="s">
        <v>472</v>
      </c>
      <c r="F684" s="80">
        <v>26.5</v>
      </c>
      <c r="G684" s="80"/>
      <c r="H684" s="80">
        <v>26.5</v>
      </c>
      <c r="I684" s="80">
        <v>27.6</v>
      </c>
      <c r="J684" s="80"/>
      <c r="K684" s="80">
        <v>27.6</v>
      </c>
      <c r="L684" s="80">
        <v>28.7</v>
      </c>
      <c r="M684" s="80"/>
      <c r="N684" s="80">
        <v>28.7</v>
      </c>
    </row>
    <row r="685" spans="1:14" x14ac:dyDescent="0.25">
      <c r="A685" s="31"/>
      <c r="B685" s="31"/>
      <c r="C685" s="31" t="s">
        <v>435</v>
      </c>
      <c r="D685" s="31"/>
      <c r="E685" s="32" t="s">
        <v>179</v>
      </c>
      <c r="F685" s="75">
        <f t="shared" ref="F685:N686" si="145">F686</f>
        <v>60</v>
      </c>
      <c r="G685" s="75"/>
      <c r="H685" s="75">
        <f t="shared" si="145"/>
        <v>60</v>
      </c>
      <c r="I685" s="75">
        <f t="shared" si="145"/>
        <v>62.4</v>
      </c>
      <c r="J685" s="75"/>
      <c r="K685" s="75">
        <f t="shared" si="145"/>
        <v>62.4</v>
      </c>
      <c r="L685" s="75">
        <f t="shared" si="145"/>
        <v>64.900000000000006</v>
      </c>
      <c r="M685" s="75"/>
      <c r="N685" s="75">
        <f t="shared" si="145"/>
        <v>64.900000000000006</v>
      </c>
    </row>
    <row r="686" spans="1:14" ht="26.25" x14ac:dyDescent="0.25">
      <c r="A686" s="33"/>
      <c r="B686" s="33"/>
      <c r="C686" s="33" t="s">
        <v>436</v>
      </c>
      <c r="D686" s="33"/>
      <c r="E686" s="34" t="s">
        <v>180</v>
      </c>
      <c r="F686" s="71">
        <f t="shared" si="145"/>
        <v>60</v>
      </c>
      <c r="G686" s="71"/>
      <c r="H686" s="71">
        <f t="shared" si="145"/>
        <v>60</v>
      </c>
      <c r="I686" s="71">
        <f t="shared" si="145"/>
        <v>62.4</v>
      </c>
      <c r="J686" s="71"/>
      <c r="K686" s="71">
        <f t="shared" si="145"/>
        <v>62.4</v>
      </c>
      <c r="L686" s="71">
        <f t="shared" si="145"/>
        <v>64.900000000000006</v>
      </c>
      <c r="M686" s="71"/>
      <c r="N686" s="71">
        <f t="shared" si="145"/>
        <v>64.900000000000006</v>
      </c>
    </row>
    <row r="687" spans="1:14" ht="26.25" x14ac:dyDescent="0.25">
      <c r="A687" s="98"/>
      <c r="B687" s="98"/>
      <c r="C687" s="6" t="s">
        <v>484</v>
      </c>
      <c r="D687" s="6"/>
      <c r="E687" s="3" t="s">
        <v>694</v>
      </c>
      <c r="F687" s="70">
        <v>60</v>
      </c>
      <c r="G687" s="70"/>
      <c r="H687" s="70">
        <v>60</v>
      </c>
      <c r="I687" s="70">
        <v>62.4</v>
      </c>
      <c r="J687" s="70"/>
      <c r="K687" s="70">
        <v>62.4</v>
      </c>
      <c r="L687" s="70">
        <v>64.900000000000006</v>
      </c>
      <c r="M687" s="70"/>
      <c r="N687" s="70">
        <v>64.900000000000006</v>
      </c>
    </row>
    <row r="688" spans="1:14" ht="26.25" x14ac:dyDescent="0.25">
      <c r="A688" s="98"/>
      <c r="B688" s="98"/>
      <c r="C688" s="6"/>
      <c r="D688" s="6" t="s">
        <v>471</v>
      </c>
      <c r="E688" s="3" t="s">
        <v>472</v>
      </c>
      <c r="F688" s="70">
        <v>60</v>
      </c>
      <c r="G688" s="70"/>
      <c r="H688" s="70">
        <v>60</v>
      </c>
      <c r="I688" s="70">
        <v>62.4</v>
      </c>
      <c r="J688" s="70"/>
      <c r="K688" s="70">
        <v>62.4</v>
      </c>
      <c r="L688" s="70">
        <v>64.900000000000006</v>
      </c>
      <c r="M688" s="70"/>
      <c r="N688" s="70">
        <v>64.900000000000006</v>
      </c>
    </row>
    <row r="689" spans="1:14" x14ac:dyDescent="0.25">
      <c r="A689" s="157"/>
      <c r="B689" s="17" t="s">
        <v>616</v>
      </c>
      <c r="C689" s="109"/>
      <c r="D689" s="108"/>
      <c r="E689" s="102" t="s">
        <v>617</v>
      </c>
      <c r="F689" s="74">
        <f>F690+F697+F708</f>
        <v>19869.3</v>
      </c>
      <c r="G689" s="74"/>
      <c r="H689" s="74">
        <f>H690+H697+H708</f>
        <v>19869.3</v>
      </c>
      <c r="I689" s="74">
        <f>I690+I697+I708</f>
        <v>19893.7</v>
      </c>
      <c r="J689" s="74"/>
      <c r="K689" s="74">
        <f>K690+K697+K708</f>
        <v>19893.7</v>
      </c>
      <c r="L689" s="74">
        <f>L690+L697+L708</f>
        <v>19607.600000000002</v>
      </c>
      <c r="M689" s="74"/>
      <c r="N689" s="74">
        <f>N690+N697+N708</f>
        <v>19607.600000000002</v>
      </c>
    </row>
    <row r="690" spans="1:14" x14ac:dyDescent="0.25">
      <c r="A690" s="157"/>
      <c r="B690" s="17" t="s">
        <v>640</v>
      </c>
      <c r="C690" s="109"/>
      <c r="D690" s="108"/>
      <c r="E690" s="102" t="s">
        <v>641</v>
      </c>
      <c r="F690" s="74">
        <f t="shared" ref="F690:H695" si="146">F691</f>
        <v>19445.100000000002</v>
      </c>
      <c r="G690" s="74"/>
      <c r="H690" s="74">
        <f t="shared" si="146"/>
        <v>19445.100000000002</v>
      </c>
      <c r="I690" s="74">
        <f t="shared" ref="I690:N692" si="147">I691</f>
        <v>19464.2</v>
      </c>
      <c r="J690" s="74"/>
      <c r="K690" s="74">
        <f t="shared" si="147"/>
        <v>19464.2</v>
      </c>
      <c r="L690" s="74">
        <f t="shared" si="147"/>
        <v>19464.2</v>
      </c>
      <c r="M690" s="74"/>
      <c r="N690" s="74">
        <f t="shared" si="147"/>
        <v>19464.2</v>
      </c>
    </row>
    <row r="691" spans="1:14" x14ac:dyDescent="0.25">
      <c r="A691" s="157"/>
      <c r="B691" s="17"/>
      <c r="C691" s="109" t="s">
        <v>5</v>
      </c>
      <c r="D691" s="17"/>
      <c r="E691" s="129" t="s">
        <v>6</v>
      </c>
      <c r="F691" s="74">
        <f t="shared" si="146"/>
        <v>19445.100000000002</v>
      </c>
      <c r="G691" s="74"/>
      <c r="H691" s="74">
        <f t="shared" si="146"/>
        <v>19445.100000000002</v>
      </c>
      <c r="I691" s="74">
        <f t="shared" si="147"/>
        <v>19464.2</v>
      </c>
      <c r="J691" s="74"/>
      <c r="K691" s="74">
        <f t="shared" si="147"/>
        <v>19464.2</v>
      </c>
      <c r="L691" s="74">
        <f t="shared" si="147"/>
        <v>19464.2</v>
      </c>
      <c r="M691" s="74"/>
      <c r="N691" s="74">
        <f t="shared" si="147"/>
        <v>19464.2</v>
      </c>
    </row>
    <row r="692" spans="1:14" ht="25.5" x14ac:dyDescent="0.25">
      <c r="A692" s="111"/>
      <c r="B692" s="112"/>
      <c r="C692" s="113" t="s">
        <v>211</v>
      </c>
      <c r="D692" s="112"/>
      <c r="E692" s="114" t="s">
        <v>212</v>
      </c>
      <c r="F692" s="115">
        <f t="shared" si="146"/>
        <v>19445.100000000002</v>
      </c>
      <c r="G692" s="115"/>
      <c r="H692" s="115">
        <f t="shared" si="146"/>
        <v>19445.100000000002</v>
      </c>
      <c r="I692" s="115">
        <f t="shared" si="147"/>
        <v>19464.2</v>
      </c>
      <c r="J692" s="115"/>
      <c r="K692" s="115">
        <f t="shared" si="147"/>
        <v>19464.2</v>
      </c>
      <c r="L692" s="115">
        <f t="shared" si="147"/>
        <v>19464.2</v>
      </c>
      <c r="M692" s="115"/>
      <c r="N692" s="115">
        <f t="shared" si="147"/>
        <v>19464.2</v>
      </c>
    </row>
    <row r="693" spans="1:14" ht="26.25" x14ac:dyDescent="0.25">
      <c r="A693" s="31"/>
      <c r="B693" s="31"/>
      <c r="C693" s="31" t="s">
        <v>213</v>
      </c>
      <c r="D693" s="31"/>
      <c r="E693" s="32" t="s">
        <v>214</v>
      </c>
      <c r="F693" s="75">
        <f t="shared" si="146"/>
        <v>19445.100000000002</v>
      </c>
      <c r="G693" s="75"/>
      <c r="H693" s="75">
        <f t="shared" si="146"/>
        <v>19445.100000000002</v>
      </c>
      <c r="I693" s="75">
        <f t="shared" ref="I693:N695" si="148">I694</f>
        <v>19464.2</v>
      </c>
      <c r="J693" s="75"/>
      <c r="K693" s="75">
        <f t="shared" si="148"/>
        <v>19464.2</v>
      </c>
      <c r="L693" s="75">
        <f t="shared" si="148"/>
        <v>19464.2</v>
      </c>
      <c r="M693" s="75"/>
      <c r="N693" s="75">
        <f t="shared" si="148"/>
        <v>19464.2</v>
      </c>
    </row>
    <row r="694" spans="1:14" ht="26.25" x14ac:dyDescent="0.25">
      <c r="A694" s="33"/>
      <c r="B694" s="33"/>
      <c r="C694" s="33" t="s">
        <v>226</v>
      </c>
      <c r="D694" s="33"/>
      <c r="E694" s="34" t="s">
        <v>227</v>
      </c>
      <c r="F694" s="71">
        <f t="shared" si="146"/>
        <v>19445.100000000002</v>
      </c>
      <c r="G694" s="71"/>
      <c r="H694" s="71">
        <f t="shared" si="146"/>
        <v>19445.100000000002</v>
      </c>
      <c r="I694" s="71">
        <f t="shared" si="148"/>
        <v>19464.2</v>
      </c>
      <c r="J694" s="71"/>
      <c r="K694" s="71">
        <f t="shared" si="148"/>
        <v>19464.2</v>
      </c>
      <c r="L694" s="71">
        <f t="shared" si="148"/>
        <v>19464.2</v>
      </c>
      <c r="M694" s="71"/>
      <c r="N694" s="71">
        <f t="shared" si="148"/>
        <v>19464.2</v>
      </c>
    </row>
    <row r="695" spans="1:14" x14ac:dyDescent="0.25">
      <c r="A695" s="98"/>
      <c r="B695" s="98"/>
      <c r="C695" s="6" t="s">
        <v>228</v>
      </c>
      <c r="D695" s="6"/>
      <c r="E695" s="8" t="s">
        <v>440</v>
      </c>
      <c r="F695" s="70">
        <f t="shared" si="146"/>
        <v>19445.100000000002</v>
      </c>
      <c r="G695" s="70"/>
      <c r="H695" s="70">
        <f t="shared" si="146"/>
        <v>19445.100000000002</v>
      </c>
      <c r="I695" s="70">
        <f t="shared" si="148"/>
        <v>19464.2</v>
      </c>
      <c r="J695" s="70"/>
      <c r="K695" s="70">
        <f t="shared" si="148"/>
        <v>19464.2</v>
      </c>
      <c r="L695" s="70">
        <f t="shared" si="148"/>
        <v>19464.2</v>
      </c>
      <c r="M695" s="70"/>
      <c r="N695" s="70">
        <f t="shared" si="148"/>
        <v>19464.2</v>
      </c>
    </row>
    <row r="696" spans="1:14" ht="26.25" x14ac:dyDescent="0.25">
      <c r="A696" s="98"/>
      <c r="B696" s="98"/>
      <c r="C696" s="6"/>
      <c r="D696" s="6" t="s">
        <v>471</v>
      </c>
      <c r="E696" s="3" t="s">
        <v>472</v>
      </c>
      <c r="F696" s="70">
        <f>19464.2-19.1</f>
        <v>19445.100000000002</v>
      </c>
      <c r="G696" s="70"/>
      <c r="H696" s="70">
        <f>19464.2-19.1</f>
        <v>19445.100000000002</v>
      </c>
      <c r="I696" s="70">
        <f>19481.9-17.7</f>
        <v>19464.2</v>
      </c>
      <c r="J696" s="70"/>
      <c r="K696" s="70">
        <f>19481.9-17.7</f>
        <v>19464.2</v>
      </c>
      <c r="L696" s="70">
        <f>19500-35.8</f>
        <v>19464.2</v>
      </c>
      <c r="M696" s="70"/>
      <c r="N696" s="70">
        <f>19500-35.8</f>
        <v>19464.2</v>
      </c>
    </row>
    <row r="697" spans="1:14" x14ac:dyDescent="0.25">
      <c r="A697" s="156"/>
      <c r="B697" s="17" t="s">
        <v>642</v>
      </c>
      <c r="C697" s="109"/>
      <c r="D697" s="17"/>
      <c r="E697" s="102" t="s">
        <v>643</v>
      </c>
      <c r="F697" s="74">
        <f t="shared" ref="F697:N698" si="149">F698</f>
        <v>291.60000000000002</v>
      </c>
      <c r="G697" s="74"/>
      <c r="H697" s="74">
        <f t="shared" si="149"/>
        <v>291.60000000000002</v>
      </c>
      <c r="I697" s="74">
        <f t="shared" si="149"/>
        <v>291.60000000000002</v>
      </c>
      <c r="J697" s="74"/>
      <c r="K697" s="74">
        <f t="shared" si="149"/>
        <v>291.60000000000002</v>
      </c>
      <c r="L697" s="74">
        <f t="shared" si="149"/>
        <v>0</v>
      </c>
      <c r="M697" s="74"/>
      <c r="N697" s="74">
        <f t="shared" si="149"/>
        <v>0</v>
      </c>
    </row>
    <row r="698" spans="1:14" x14ac:dyDescent="0.25">
      <c r="A698" s="156"/>
      <c r="B698" s="17"/>
      <c r="C698" s="109" t="s">
        <v>5</v>
      </c>
      <c r="D698" s="17"/>
      <c r="E698" s="129" t="s">
        <v>6</v>
      </c>
      <c r="F698" s="74">
        <f t="shared" si="149"/>
        <v>291.60000000000002</v>
      </c>
      <c r="G698" s="74"/>
      <c r="H698" s="74">
        <f t="shared" si="149"/>
        <v>291.60000000000002</v>
      </c>
      <c r="I698" s="74">
        <f t="shared" si="149"/>
        <v>291.60000000000002</v>
      </c>
      <c r="J698" s="74"/>
      <c r="K698" s="74">
        <f t="shared" si="149"/>
        <v>291.60000000000002</v>
      </c>
      <c r="L698" s="74">
        <f t="shared" si="149"/>
        <v>0</v>
      </c>
      <c r="M698" s="74"/>
      <c r="N698" s="74">
        <f t="shared" si="149"/>
        <v>0</v>
      </c>
    </row>
    <row r="699" spans="1:14" ht="25.5" x14ac:dyDescent="0.25">
      <c r="A699" s="111"/>
      <c r="B699" s="112"/>
      <c r="C699" s="113" t="s">
        <v>211</v>
      </c>
      <c r="D699" s="112"/>
      <c r="E699" s="114" t="s">
        <v>212</v>
      </c>
      <c r="F699" s="115">
        <f t="shared" ref="F699:N700" si="150">F700</f>
        <v>291.60000000000002</v>
      </c>
      <c r="G699" s="115"/>
      <c r="H699" s="115">
        <f t="shared" si="150"/>
        <v>291.60000000000002</v>
      </c>
      <c r="I699" s="115">
        <f t="shared" si="150"/>
        <v>291.60000000000002</v>
      </c>
      <c r="J699" s="115"/>
      <c r="K699" s="115">
        <f t="shared" si="150"/>
        <v>291.60000000000002</v>
      </c>
      <c r="L699" s="115">
        <f t="shared" si="150"/>
        <v>0</v>
      </c>
      <c r="M699" s="115"/>
      <c r="N699" s="115">
        <f t="shared" si="150"/>
        <v>0</v>
      </c>
    </row>
    <row r="700" spans="1:14" x14ac:dyDescent="0.25">
      <c r="A700" s="31"/>
      <c r="B700" s="31"/>
      <c r="C700" s="31" t="s">
        <v>243</v>
      </c>
      <c r="D700" s="31"/>
      <c r="E700" s="32" t="s">
        <v>244</v>
      </c>
      <c r="F700" s="75">
        <f t="shared" si="150"/>
        <v>291.60000000000002</v>
      </c>
      <c r="G700" s="75"/>
      <c r="H700" s="75">
        <f t="shared" si="150"/>
        <v>291.60000000000002</v>
      </c>
      <c r="I700" s="75">
        <f t="shared" si="150"/>
        <v>291.60000000000002</v>
      </c>
      <c r="J700" s="75"/>
      <c r="K700" s="75">
        <f t="shared" si="150"/>
        <v>291.60000000000002</v>
      </c>
      <c r="L700" s="75">
        <f t="shared" si="150"/>
        <v>0</v>
      </c>
      <c r="M700" s="75"/>
      <c r="N700" s="75">
        <f t="shared" si="150"/>
        <v>0</v>
      </c>
    </row>
    <row r="701" spans="1:14" x14ac:dyDescent="0.25">
      <c r="A701" s="33"/>
      <c r="B701" s="33"/>
      <c r="C701" s="33" t="s">
        <v>245</v>
      </c>
      <c r="D701" s="33"/>
      <c r="E701" s="34" t="s">
        <v>246</v>
      </c>
      <c r="F701" s="71">
        <f>F702+F704</f>
        <v>291.60000000000002</v>
      </c>
      <c r="G701" s="71"/>
      <c r="H701" s="71">
        <f>H702+H704</f>
        <v>291.60000000000002</v>
      </c>
      <c r="I701" s="71">
        <f>I702+I704</f>
        <v>291.60000000000002</v>
      </c>
      <c r="J701" s="71"/>
      <c r="K701" s="71">
        <f>K702+K704</f>
        <v>291.60000000000002</v>
      </c>
      <c r="L701" s="71">
        <f>L702+L704</f>
        <v>0</v>
      </c>
      <c r="M701" s="71"/>
      <c r="N701" s="71">
        <f>N702+N704</f>
        <v>0</v>
      </c>
    </row>
    <row r="702" spans="1:14" ht="64.5" x14ac:dyDescent="0.25">
      <c r="A702" s="98"/>
      <c r="B702" s="98"/>
      <c r="C702" s="6" t="s">
        <v>247</v>
      </c>
      <c r="D702" s="6"/>
      <c r="E702" s="3" t="s">
        <v>248</v>
      </c>
      <c r="F702" s="70">
        <f>F703</f>
        <v>225.1</v>
      </c>
      <c r="G702" s="70"/>
      <c r="H702" s="70">
        <f>H703</f>
        <v>225.1</v>
      </c>
      <c r="I702" s="70">
        <f>I703</f>
        <v>225.1</v>
      </c>
      <c r="J702" s="70"/>
      <c r="K702" s="70">
        <f>K703</f>
        <v>225.1</v>
      </c>
      <c r="L702" s="70">
        <f>L703</f>
        <v>0</v>
      </c>
      <c r="M702" s="70"/>
      <c r="N702" s="70">
        <f>N703</f>
        <v>0</v>
      </c>
    </row>
    <row r="703" spans="1:14" ht="26.25" x14ac:dyDescent="0.25">
      <c r="A703" s="98"/>
      <c r="B703" s="98"/>
      <c r="C703" s="6"/>
      <c r="D703" s="6" t="s">
        <v>471</v>
      </c>
      <c r="E703" s="3" t="s">
        <v>472</v>
      </c>
      <c r="F703" s="70">
        <f>237-11.9</f>
        <v>225.1</v>
      </c>
      <c r="G703" s="70"/>
      <c r="H703" s="70">
        <f>237-11.9</f>
        <v>225.1</v>
      </c>
      <c r="I703" s="70">
        <f>237-11.9</f>
        <v>225.1</v>
      </c>
      <c r="J703" s="70"/>
      <c r="K703" s="70">
        <f>237-11.9</f>
        <v>225.1</v>
      </c>
      <c r="L703" s="70">
        <v>0</v>
      </c>
      <c r="M703" s="70"/>
      <c r="N703" s="70">
        <v>0</v>
      </c>
    </row>
    <row r="704" spans="1:14" x14ac:dyDescent="0.25">
      <c r="A704" s="98"/>
      <c r="B704" s="98"/>
      <c r="C704" s="16" t="s">
        <v>249</v>
      </c>
      <c r="D704" s="16"/>
      <c r="E704" s="1" t="s">
        <v>250</v>
      </c>
      <c r="F704" s="70">
        <f>F705</f>
        <v>66.5</v>
      </c>
      <c r="G704" s="70"/>
      <c r="H704" s="70">
        <f>H705</f>
        <v>66.5</v>
      </c>
      <c r="I704" s="70">
        <f>I705</f>
        <v>66.5</v>
      </c>
      <c r="J704" s="70"/>
      <c r="K704" s="70">
        <f>K705</f>
        <v>66.5</v>
      </c>
      <c r="L704" s="70">
        <f>L705</f>
        <v>0</v>
      </c>
      <c r="M704" s="70"/>
      <c r="N704" s="70">
        <f>N705</f>
        <v>0</v>
      </c>
    </row>
    <row r="705" spans="1:14" ht="26.25" x14ac:dyDescent="0.25">
      <c r="A705" s="98"/>
      <c r="B705" s="98"/>
      <c r="C705" s="16"/>
      <c r="D705" s="6" t="s">
        <v>471</v>
      </c>
      <c r="E705" s="3" t="s">
        <v>472</v>
      </c>
      <c r="F705" s="70">
        <f>F707</f>
        <v>66.5</v>
      </c>
      <c r="G705" s="70"/>
      <c r="H705" s="70">
        <f>H707</f>
        <v>66.5</v>
      </c>
      <c r="I705" s="70">
        <f>I707</f>
        <v>66.5</v>
      </c>
      <c r="J705" s="70"/>
      <c r="K705" s="70">
        <f>K707</f>
        <v>66.5</v>
      </c>
      <c r="L705" s="70">
        <f>L707</f>
        <v>0</v>
      </c>
      <c r="M705" s="70"/>
      <c r="N705" s="70">
        <f>N707</f>
        <v>0</v>
      </c>
    </row>
    <row r="706" spans="1:14" x14ac:dyDescent="0.25">
      <c r="A706" s="98"/>
      <c r="B706" s="98"/>
      <c r="C706" s="6"/>
      <c r="D706" s="6"/>
      <c r="E706" s="1" t="s">
        <v>186</v>
      </c>
      <c r="F706" s="70">
        <v>0</v>
      </c>
      <c r="G706" s="70"/>
      <c r="H706" s="70">
        <v>0</v>
      </c>
      <c r="I706" s="70">
        <v>0</v>
      </c>
      <c r="J706" s="70"/>
      <c r="K706" s="70">
        <v>0</v>
      </c>
      <c r="L706" s="70">
        <v>0</v>
      </c>
      <c r="M706" s="70"/>
      <c r="N706" s="70">
        <v>0</v>
      </c>
    </row>
    <row r="707" spans="1:14" x14ac:dyDescent="0.25">
      <c r="A707" s="98"/>
      <c r="B707" s="98"/>
      <c r="C707" s="6"/>
      <c r="D707" s="6"/>
      <c r="E707" s="1" t="s">
        <v>150</v>
      </c>
      <c r="F707" s="70">
        <f>70-3.5</f>
        <v>66.5</v>
      </c>
      <c r="G707" s="70"/>
      <c r="H707" s="70">
        <f>70-3.5</f>
        <v>66.5</v>
      </c>
      <c r="I707" s="70">
        <f>70-3.5</f>
        <v>66.5</v>
      </c>
      <c r="J707" s="70"/>
      <c r="K707" s="70">
        <f>70-3.5</f>
        <v>66.5</v>
      </c>
      <c r="L707" s="70">
        <v>0</v>
      </c>
      <c r="M707" s="70"/>
      <c r="N707" s="70">
        <v>0</v>
      </c>
    </row>
    <row r="708" spans="1:14" x14ac:dyDescent="0.25">
      <c r="A708" s="156"/>
      <c r="B708" s="17" t="s">
        <v>644</v>
      </c>
      <c r="C708" s="109"/>
      <c r="D708" s="17"/>
      <c r="E708" s="129" t="s">
        <v>645</v>
      </c>
      <c r="F708" s="74">
        <f t="shared" ref="F708:N710" si="151">F709</f>
        <v>132.6</v>
      </c>
      <c r="G708" s="74"/>
      <c r="H708" s="74">
        <f t="shared" si="151"/>
        <v>132.6</v>
      </c>
      <c r="I708" s="74">
        <f t="shared" si="151"/>
        <v>137.9</v>
      </c>
      <c r="J708" s="74"/>
      <c r="K708" s="74">
        <f t="shared" si="151"/>
        <v>137.9</v>
      </c>
      <c r="L708" s="74">
        <f t="shared" si="151"/>
        <v>143.4</v>
      </c>
      <c r="M708" s="74"/>
      <c r="N708" s="74">
        <f t="shared" si="151"/>
        <v>143.4</v>
      </c>
    </row>
    <row r="709" spans="1:14" x14ac:dyDescent="0.25">
      <c r="A709" s="156"/>
      <c r="B709" s="17"/>
      <c r="C709" s="109" t="s">
        <v>5</v>
      </c>
      <c r="D709" s="17"/>
      <c r="E709" s="129" t="s">
        <v>6</v>
      </c>
      <c r="F709" s="74">
        <f t="shared" si="151"/>
        <v>132.6</v>
      </c>
      <c r="G709" s="74"/>
      <c r="H709" s="74">
        <f t="shared" si="151"/>
        <v>132.6</v>
      </c>
      <c r="I709" s="74">
        <f t="shared" si="151"/>
        <v>137.9</v>
      </c>
      <c r="J709" s="74"/>
      <c r="K709" s="74">
        <f t="shared" si="151"/>
        <v>137.9</v>
      </c>
      <c r="L709" s="74">
        <f t="shared" si="151"/>
        <v>143.4</v>
      </c>
      <c r="M709" s="74"/>
      <c r="N709" s="74">
        <f t="shared" si="151"/>
        <v>143.4</v>
      </c>
    </row>
    <row r="710" spans="1:14" ht="25.5" x14ac:dyDescent="0.25">
      <c r="A710" s="111"/>
      <c r="B710" s="112"/>
      <c r="C710" s="113" t="s">
        <v>57</v>
      </c>
      <c r="D710" s="112"/>
      <c r="E710" s="114" t="s">
        <v>58</v>
      </c>
      <c r="F710" s="115">
        <f t="shared" si="151"/>
        <v>132.6</v>
      </c>
      <c r="G710" s="115"/>
      <c r="H710" s="115">
        <f t="shared" si="151"/>
        <v>132.6</v>
      </c>
      <c r="I710" s="115">
        <f t="shared" si="151"/>
        <v>137.9</v>
      </c>
      <c r="J710" s="115"/>
      <c r="K710" s="115">
        <f t="shared" si="151"/>
        <v>137.9</v>
      </c>
      <c r="L710" s="115">
        <f t="shared" si="151"/>
        <v>143.4</v>
      </c>
      <c r="M710" s="115"/>
      <c r="N710" s="115">
        <f t="shared" si="151"/>
        <v>143.4</v>
      </c>
    </row>
    <row r="711" spans="1:14" x14ac:dyDescent="0.25">
      <c r="A711" s="31"/>
      <c r="B711" s="31"/>
      <c r="C711" s="31" t="s">
        <v>122</v>
      </c>
      <c r="D711" s="31"/>
      <c r="E711" s="35" t="s">
        <v>123</v>
      </c>
      <c r="F711" s="75">
        <f t="shared" ref="F711:N713" si="152">F712</f>
        <v>132.6</v>
      </c>
      <c r="G711" s="75"/>
      <c r="H711" s="75">
        <f t="shared" si="152"/>
        <v>132.6</v>
      </c>
      <c r="I711" s="75">
        <f t="shared" si="152"/>
        <v>137.9</v>
      </c>
      <c r="J711" s="75"/>
      <c r="K711" s="75">
        <f t="shared" si="152"/>
        <v>137.9</v>
      </c>
      <c r="L711" s="75">
        <f t="shared" si="152"/>
        <v>143.4</v>
      </c>
      <c r="M711" s="75"/>
      <c r="N711" s="75">
        <f t="shared" si="152"/>
        <v>143.4</v>
      </c>
    </row>
    <row r="712" spans="1:14" ht="26.25" x14ac:dyDescent="0.25">
      <c r="A712" s="33"/>
      <c r="B712" s="33"/>
      <c r="C712" s="33" t="s">
        <v>124</v>
      </c>
      <c r="D712" s="33"/>
      <c r="E712" s="34" t="s">
        <v>125</v>
      </c>
      <c r="F712" s="71">
        <f>F713</f>
        <v>132.6</v>
      </c>
      <c r="G712" s="71"/>
      <c r="H712" s="71">
        <f>H713</f>
        <v>132.6</v>
      </c>
      <c r="I712" s="71">
        <f t="shared" si="152"/>
        <v>137.9</v>
      </c>
      <c r="J712" s="71"/>
      <c r="K712" s="71">
        <f t="shared" si="152"/>
        <v>137.9</v>
      </c>
      <c r="L712" s="71">
        <f t="shared" si="152"/>
        <v>143.4</v>
      </c>
      <c r="M712" s="71"/>
      <c r="N712" s="71">
        <f t="shared" si="152"/>
        <v>143.4</v>
      </c>
    </row>
    <row r="713" spans="1:14" ht="26.25" x14ac:dyDescent="0.25">
      <c r="A713" s="98"/>
      <c r="B713" s="98"/>
      <c r="C713" s="6" t="s">
        <v>128</v>
      </c>
      <c r="D713" s="6"/>
      <c r="E713" s="3" t="s">
        <v>129</v>
      </c>
      <c r="F713" s="70">
        <f>F714</f>
        <v>132.6</v>
      </c>
      <c r="G713" s="70"/>
      <c r="H713" s="70">
        <f>H714</f>
        <v>132.6</v>
      </c>
      <c r="I713" s="70">
        <f t="shared" si="152"/>
        <v>137.9</v>
      </c>
      <c r="J713" s="70"/>
      <c r="K713" s="70">
        <f t="shared" si="152"/>
        <v>137.9</v>
      </c>
      <c r="L713" s="70">
        <f t="shared" si="152"/>
        <v>143.4</v>
      </c>
      <c r="M713" s="70"/>
      <c r="N713" s="70">
        <f t="shared" si="152"/>
        <v>143.4</v>
      </c>
    </row>
    <row r="714" spans="1:14" ht="26.25" x14ac:dyDescent="0.25">
      <c r="A714" s="98"/>
      <c r="B714" s="98"/>
      <c r="C714" s="6"/>
      <c r="D714" s="6" t="s">
        <v>471</v>
      </c>
      <c r="E714" s="3" t="s">
        <v>472</v>
      </c>
      <c r="F714" s="70">
        <v>132.6</v>
      </c>
      <c r="G714" s="70"/>
      <c r="H714" s="70">
        <v>132.6</v>
      </c>
      <c r="I714" s="70">
        <v>137.9</v>
      </c>
      <c r="J714" s="70"/>
      <c r="K714" s="70">
        <v>137.9</v>
      </c>
      <c r="L714" s="70">
        <v>143.4</v>
      </c>
      <c r="M714" s="70"/>
      <c r="N714" s="70">
        <v>143.4</v>
      </c>
    </row>
    <row r="715" spans="1:14" x14ac:dyDescent="0.25">
      <c r="A715" s="108"/>
      <c r="B715" s="17" t="s">
        <v>620</v>
      </c>
      <c r="C715" s="109"/>
      <c r="D715" s="108"/>
      <c r="E715" s="102" t="s">
        <v>621</v>
      </c>
      <c r="F715" s="74">
        <f t="shared" ref="F715:N715" si="153">F716+F750</f>
        <v>77959.152629999982</v>
      </c>
      <c r="G715" s="74">
        <f t="shared" si="153"/>
        <v>165.3</v>
      </c>
      <c r="H715" s="74">
        <f t="shared" si="153"/>
        <v>78124.452629999985</v>
      </c>
      <c r="I715" s="74">
        <f t="shared" si="153"/>
        <v>75028.357889999999</v>
      </c>
      <c r="J715" s="74">
        <f>J716+J750</f>
        <v>0</v>
      </c>
      <c r="K715" s="74">
        <f t="shared" si="153"/>
        <v>75028.357889999999</v>
      </c>
      <c r="L715" s="74">
        <f t="shared" si="153"/>
        <v>70891.457890000005</v>
      </c>
      <c r="M715" s="74">
        <f t="shared" si="153"/>
        <v>0</v>
      </c>
      <c r="N715" s="74">
        <f t="shared" si="153"/>
        <v>70891.457890000005</v>
      </c>
    </row>
    <row r="716" spans="1:14" x14ac:dyDescent="0.25">
      <c r="A716" s="68"/>
      <c r="B716" s="17" t="s">
        <v>650</v>
      </c>
      <c r="C716" s="109"/>
      <c r="D716" s="108"/>
      <c r="E716" s="102" t="s">
        <v>622</v>
      </c>
      <c r="F716" s="74">
        <f t="shared" ref="F716:J717" si="154">F717</f>
        <v>72907.752629999988</v>
      </c>
      <c r="G716" s="74">
        <f t="shared" si="154"/>
        <v>68.3</v>
      </c>
      <c r="H716" s="74">
        <f t="shared" si="154"/>
        <v>72976.052629999991</v>
      </c>
      <c r="I716" s="74">
        <f>I717</f>
        <v>69991.957890000005</v>
      </c>
      <c r="J716" s="74">
        <f t="shared" si="154"/>
        <v>0</v>
      </c>
      <c r="K716" s="74">
        <f t="shared" ref="K716:L718" si="155">K717</f>
        <v>69991.957890000005</v>
      </c>
      <c r="L716" s="74">
        <f t="shared" si="155"/>
        <v>67391.957890000005</v>
      </c>
      <c r="M716" s="74"/>
      <c r="N716" s="74">
        <f>N717</f>
        <v>67391.957890000005</v>
      </c>
    </row>
    <row r="717" spans="1:14" x14ac:dyDescent="0.25">
      <c r="A717" s="68"/>
      <c r="B717" s="17"/>
      <c r="C717" s="109" t="s">
        <v>5</v>
      </c>
      <c r="D717" s="17"/>
      <c r="E717" s="129" t="s">
        <v>6</v>
      </c>
      <c r="F717" s="74">
        <f t="shared" si="154"/>
        <v>72907.752629999988</v>
      </c>
      <c r="G717" s="74">
        <f t="shared" si="154"/>
        <v>68.3</v>
      </c>
      <c r="H717" s="74">
        <f t="shared" si="154"/>
        <v>72976.052629999991</v>
      </c>
      <c r="I717" s="74">
        <f>I718</f>
        <v>69991.957890000005</v>
      </c>
      <c r="J717" s="74">
        <f t="shared" si="154"/>
        <v>0</v>
      </c>
      <c r="K717" s="74">
        <f t="shared" si="155"/>
        <v>69991.957890000005</v>
      </c>
      <c r="L717" s="74">
        <f t="shared" si="155"/>
        <v>67391.957890000005</v>
      </c>
      <c r="M717" s="74"/>
      <c r="N717" s="74">
        <f>N718</f>
        <v>67391.957890000005</v>
      </c>
    </row>
    <row r="718" spans="1:14" ht="25.5" x14ac:dyDescent="0.25">
      <c r="A718" s="111"/>
      <c r="B718" s="112"/>
      <c r="C718" s="113" t="s">
        <v>211</v>
      </c>
      <c r="D718" s="112"/>
      <c r="E718" s="114" t="s">
        <v>212</v>
      </c>
      <c r="F718" s="115">
        <f>F719</f>
        <v>72907.752629999988</v>
      </c>
      <c r="G718" s="115">
        <f>G719</f>
        <v>68.3</v>
      </c>
      <c r="H718" s="115">
        <f>H719</f>
        <v>72976.052629999991</v>
      </c>
      <c r="I718" s="115">
        <f>I719</f>
        <v>69991.957890000005</v>
      </c>
      <c r="J718" s="115">
        <f>J719</f>
        <v>0</v>
      </c>
      <c r="K718" s="115">
        <f t="shared" si="155"/>
        <v>69991.957890000005</v>
      </c>
      <c r="L718" s="115">
        <f t="shared" si="155"/>
        <v>67391.957890000005</v>
      </c>
      <c r="M718" s="115"/>
      <c r="N718" s="115">
        <f>N719</f>
        <v>67391.957890000005</v>
      </c>
    </row>
    <row r="719" spans="1:14" ht="26.25" x14ac:dyDescent="0.25">
      <c r="A719" s="31"/>
      <c r="B719" s="31"/>
      <c r="C719" s="31" t="s">
        <v>213</v>
      </c>
      <c r="D719" s="31"/>
      <c r="E719" s="32" t="s">
        <v>214</v>
      </c>
      <c r="F719" s="75">
        <f t="shared" ref="F719:L719" si="156">F720+F723+F728+F731+F743</f>
        <v>72907.752629999988</v>
      </c>
      <c r="G719" s="75">
        <f>G720+G723+G728+G731+G743</f>
        <v>68.3</v>
      </c>
      <c r="H719" s="75">
        <f t="shared" si="156"/>
        <v>72976.052629999991</v>
      </c>
      <c r="I719" s="75">
        <f t="shared" si="156"/>
        <v>69991.957890000005</v>
      </c>
      <c r="J719" s="75">
        <f t="shared" si="156"/>
        <v>0</v>
      </c>
      <c r="K719" s="75">
        <f t="shared" si="156"/>
        <v>69991.957890000005</v>
      </c>
      <c r="L719" s="75">
        <f t="shared" si="156"/>
        <v>67391.957890000005</v>
      </c>
      <c r="M719" s="75"/>
      <c r="N719" s="75">
        <f>N720+N723+N728+N731+N743</f>
        <v>67391.957890000005</v>
      </c>
    </row>
    <row r="720" spans="1:14" ht="39" x14ac:dyDescent="0.25">
      <c r="A720" s="33"/>
      <c r="B720" s="33"/>
      <c r="C720" s="33" t="s">
        <v>215</v>
      </c>
      <c r="D720" s="33"/>
      <c r="E720" s="34" t="s">
        <v>216</v>
      </c>
      <c r="F720" s="71">
        <f t="shared" ref="F720:N721" si="157">F721</f>
        <v>47452.899999999994</v>
      </c>
      <c r="G720" s="71">
        <f t="shared" si="157"/>
        <v>0</v>
      </c>
      <c r="H720" s="71">
        <f t="shared" si="157"/>
        <v>47452.899999999994</v>
      </c>
      <c r="I720" s="71">
        <f t="shared" si="157"/>
        <v>46721.5</v>
      </c>
      <c r="J720" s="71">
        <f t="shared" si="157"/>
        <v>0</v>
      </c>
      <c r="K720" s="71">
        <f t="shared" si="157"/>
        <v>46721.5</v>
      </c>
      <c r="L720" s="71">
        <f t="shared" si="157"/>
        <v>46721.5</v>
      </c>
      <c r="M720" s="71"/>
      <c r="N720" s="71">
        <f t="shared" si="157"/>
        <v>46721.5</v>
      </c>
    </row>
    <row r="721" spans="1:14" x14ac:dyDescent="0.25">
      <c r="A721" s="6"/>
      <c r="B721" s="6"/>
      <c r="C721" s="6" t="s">
        <v>217</v>
      </c>
      <c r="D721" s="6"/>
      <c r="E721" s="8" t="s">
        <v>437</v>
      </c>
      <c r="F721" s="70">
        <f t="shared" si="157"/>
        <v>47452.899999999994</v>
      </c>
      <c r="G721" s="70">
        <f>G722</f>
        <v>0</v>
      </c>
      <c r="H721" s="70">
        <f t="shared" si="157"/>
        <v>47452.899999999994</v>
      </c>
      <c r="I721" s="70">
        <f t="shared" si="157"/>
        <v>46721.5</v>
      </c>
      <c r="J721" s="70"/>
      <c r="K721" s="70">
        <f t="shared" si="157"/>
        <v>46721.5</v>
      </c>
      <c r="L721" s="70">
        <f t="shared" si="157"/>
        <v>46721.5</v>
      </c>
      <c r="M721" s="70"/>
      <c r="N721" s="70">
        <f t="shared" si="157"/>
        <v>46721.5</v>
      </c>
    </row>
    <row r="722" spans="1:14" ht="26.25" x14ac:dyDescent="0.25">
      <c r="A722" s="6"/>
      <c r="B722" s="6"/>
      <c r="C722" s="6"/>
      <c r="D722" s="6" t="s">
        <v>471</v>
      </c>
      <c r="E722" s="3" t="s">
        <v>472</v>
      </c>
      <c r="F722" s="70">
        <v>47452.899999999994</v>
      </c>
      <c r="G722" s="80"/>
      <c r="H722" s="70">
        <f>SUM(F722:G722)</f>
        <v>47452.899999999994</v>
      </c>
      <c r="I722" s="70">
        <f>46857.1-135.6</f>
        <v>46721.5</v>
      </c>
      <c r="J722" s="70"/>
      <c r="K722" s="70">
        <f>46857.1-135.6</f>
        <v>46721.5</v>
      </c>
      <c r="L722" s="70">
        <f>47006.2-284.7</f>
        <v>46721.5</v>
      </c>
      <c r="M722" s="70"/>
      <c r="N722" s="70">
        <f>47006.2-284.7</f>
        <v>46721.5</v>
      </c>
    </row>
    <row r="723" spans="1:14" x14ac:dyDescent="0.25">
      <c r="A723" s="33"/>
      <c r="B723" s="33"/>
      <c r="C723" s="33" t="s">
        <v>218</v>
      </c>
      <c r="D723" s="33"/>
      <c r="E723" s="34" t="s">
        <v>219</v>
      </c>
      <c r="F723" s="71">
        <f>F724+F726</f>
        <v>21828.7</v>
      </c>
      <c r="G723" s="71">
        <f>G724</f>
        <v>0</v>
      </c>
      <c r="H723" s="71">
        <f>H724+H726</f>
        <v>21828.7</v>
      </c>
      <c r="I723" s="71">
        <f>I724+I726</f>
        <v>19243</v>
      </c>
      <c r="J723" s="71"/>
      <c r="K723" s="71">
        <f>K724+K726</f>
        <v>19243</v>
      </c>
      <c r="L723" s="71">
        <f>L724+L726</f>
        <v>19243</v>
      </c>
      <c r="M723" s="71"/>
      <c r="N723" s="71">
        <f>N724+N726</f>
        <v>19243</v>
      </c>
    </row>
    <row r="724" spans="1:14" ht="26.25" x14ac:dyDescent="0.25">
      <c r="A724" s="6"/>
      <c r="B724" s="6"/>
      <c r="C724" s="6" t="s">
        <v>220</v>
      </c>
      <c r="D724" s="6"/>
      <c r="E724" s="8" t="s">
        <v>438</v>
      </c>
      <c r="F724" s="70">
        <f>F725</f>
        <v>21328.7</v>
      </c>
      <c r="G724" s="70">
        <f>G725</f>
        <v>0</v>
      </c>
      <c r="H724" s="70">
        <f>H725</f>
        <v>21328.7</v>
      </c>
      <c r="I724" s="70">
        <f>I725</f>
        <v>18743</v>
      </c>
      <c r="J724" s="70"/>
      <c r="K724" s="70">
        <f>K725</f>
        <v>18743</v>
      </c>
      <c r="L724" s="70">
        <f>L725</f>
        <v>18743</v>
      </c>
      <c r="M724" s="70"/>
      <c r="N724" s="70">
        <f>N725</f>
        <v>18743</v>
      </c>
    </row>
    <row r="725" spans="1:14" ht="26.25" x14ac:dyDescent="0.25">
      <c r="A725" s="6"/>
      <c r="B725" s="6"/>
      <c r="C725" s="6"/>
      <c r="D725" s="6" t="s">
        <v>471</v>
      </c>
      <c r="E725" s="3" t="s">
        <v>472</v>
      </c>
      <c r="F725" s="70">
        <v>21328.7</v>
      </c>
      <c r="G725" s="70"/>
      <c r="H725" s="70">
        <f>18743-113.2+2698.9</f>
        <v>21328.7</v>
      </c>
      <c r="I725" s="70">
        <f>18792-49</f>
        <v>18743</v>
      </c>
      <c r="J725" s="70"/>
      <c r="K725" s="70">
        <f>18792-49</f>
        <v>18743</v>
      </c>
      <c r="L725" s="70">
        <f>18843.2-100.2</f>
        <v>18743</v>
      </c>
      <c r="M725" s="70"/>
      <c r="N725" s="70">
        <f>18843.2-100.2</f>
        <v>18743</v>
      </c>
    </row>
    <row r="726" spans="1:14" x14ac:dyDescent="0.25">
      <c r="A726" s="6"/>
      <c r="B726" s="6"/>
      <c r="C726" s="6" t="s">
        <v>221</v>
      </c>
      <c r="D726" s="6"/>
      <c r="E726" s="8" t="s">
        <v>222</v>
      </c>
      <c r="F726" s="70">
        <v>500</v>
      </c>
      <c r="G726" s="70"/>
      <c r="H726" s="70">
        <v>500</v>
      </c>
      <c r="I726" s="70">
        <v>500</v>
      </c>
      <c r="J726" s="70"/>
      <c r="K726" s="70">
        <v>500</v>
      </c>
      <c r="L726" s="70">
        <v>500</v>
      </c>
      <c r="M726" s="70"/>
      <c r="N726" s="70">
        <v>500</v>
      </c>
    </row>
    <row r="727" spans="1:14" ht="26.25" x14ac:dyDescent="0.25">
      <c r="A727" s="6"/>
      <c r="B727" s="6"/>
      <c r="C727" s="6"/>
      <c r="D727" s="6" t="s">
        <v>471</v>
      </c>
      <c r="E727" s="3" t="s">
        <v>472</v>
      </c>
      <c r="F727" s="70">
        <v>500</v>
      </c>
      <c r="G727" s="70"/>
      <c r="H727" s="70">
        <v>500</v>
      </c>
      <c r="I727" s="70">
        <v>500</v>
      </c>
      <c r="J727" s="70"/>
      <c r="K727" s="70">
        <v>500</v>
      </c>
      <c r="L727" s="70">
        <v>500</v>
      </c>
      <c r="M727" s="70"/>
      <c r="N727" s="70">
        <v>500</v>
      </c>
    </row>
    <row r="728" spans="1:14" ht="26.25" x14ac:dyDescent="0.25">
      <c r="A728" s="33"/>
      <c r="B728" s="33"/>
      <c r="C728" s="33" t="s">
        <v>223</v>
      </c>
      <c r="D728" s="33"/>
      <c r="E728" s="34" t="s">
        <v>224</v>
      </c>
      <c r="F728" s="71">
        <f t="shared" ref="F728:N729" si="158">F729</f>
        <v>1612.9</v>
      </c>
      <c r="G728" s="71">
        <f>G729</f>
        <v>0</v>
      </c>
      <c r="H728" s="71">
        <f t="shared" si="158"/>
        <v>1612.9</v>
      </c>
      <c r="I728" s="71">
        <f t="shared" si="158"/>
        <v>1427.3</v>
      </c>
      <c r="J728" s="71"/>
      <c r="K728" s="71">
        <f t="shared" si="158"/>
        <v>1427.3</v>
      </c>
      <c r="L728" s="71">
        <f t="shared" si="158"/>
        <v>1427.3</v>
      </c>
      <c r="M728" s="71"/>
      <c r="N728" s="71">
        <f t="shared" si="158"/>
        <v>1427.3</v>
      </c>
    </row>
    <row r="729" spans="1:14" x14ac:dyDescent="0.25">
      <c r="A729" s="6"/>
      <c r="B729" s="6"/>
      <c r="C729" s="6" t="s">
        <v>225</v>
      </c>
      <c r="D729" s="6"/>
      <c r="E729" s="8" t="s">
        <v>439</v>
      </c>
      <c r="F729" s="70">
        <f t="shared" si="158"/>
        <v>1612.9</v>
      </c>
      <c r="G729" s="70">
        <f>G730</f>
        <v>0</v>
      </c>
      <c r="H729" s="70">
        <f t="shared" si="158"/>
        <v>1612.9</v>
      </c>
      <c r="I729" s="70">
        <f t="shared" si="158"/>
        <v>1427.3</v>
      </c>
      <c r="J729" s="70"/>
      <c r="K729" s="70">
        <f t="shared" si="158"/>
        <v>1427.3</v>
      </c>
      <c r="L729" s="70">
        <f t="shared" si="158"/>
        <v>1427.3</v>
      </c>
      <c r="M729" s="70"/>
      <c r="N729" s="70">
        <f t="shared" si="158"/>
        <v>1427.3</v>
      </c>
    </row>
    <row r="730" spans="1:14" ht="26.25" x14ac:dyDescent="0.25">
      <c r="A730" s="6"/>
      <c r="B730" s="6"/>
      <c r="C730" s="6"/>
      <c r="D730" s="6" t="s">
        <v>471</v>
      </c>
      <c r="E730" s="3" t="s">
        <v>472</v>
      </c>
      <c r="F730" s="70">
        <v>1612.9</v>
      </c>
      <c r="G730" s="70"/>
      <c r="H730" s="70">
        <f>1427.3-5.3+190.9</f>
        <v>1612.9</v>
      </c>
      <c r="I730" s="70">
        <f>1429.8-2.5</f>
        <v>1427.3</v>
      </c>
      <c r="J730" s="70"/>
      <c r="K730" s="70">
        <f>1429.8-2.5</f>
        <v>1427.3</v>
      </c>
      <c r="L730" s="70">
        <f>1431.5-4.2</f>
        <v>1427.3</v>
      </c>
      <c r="M730" s="70"/>
      <c r="N730" s="70">
        <f>1431.5-4.2</f>
        <v>1427.3</v>
      </c>
    </row>
    <row r="731" spans="1:14" s="50" customFormat="1" ht="39" x14ac:dyDescent="0.25">
      <c r="A731" s="33"/>
      <c r="B731" s="33"/>
      <c r="C731" s="33" t="s">
        <v>237</v>
      </c>
      <c r="D731" s="33"/>
      <c r="E731" s="48" t="s">
        <v>238</v>
      </c>
      <c r="F731" s="71">
        <f>F732+F739+F741</f>
        <v>2013.2</v>
      </c>
      <c r="G731" s="71">
        <f t="shared" ref="G731:H731" si="159">G732+G739+G741</f>
        <v>68.3</v>
      </c>
      <c r="H731" s="71">
        <f t="shared" si="159"/>
        <v>2081.5</v>
      </c>
      <c r="I731" s="71">
        <f t="shared" ref="I731" si="160">I732+I739+I741</f>
        <v>2600</v>
      </c>
      <c r="J731" s="71">
        <f t="shared" ref="J731" si="161">J732+J739+J741</f>
        <v>0</v>
      </c>
      <c r="K731" s="71">
        <f t="shared" ref="K731" si="162">K732+K739+K741</f>
        <v>2600</v>
      </c>
      <c r="L731" s="71">
        <f>L732</f>
        <v>0</v>
      </c>
      <c r="M731" s="71"/>
      <c r="N731" s="71">
        <f>N732</f>
        <v>0</v>
      </c>
    </row>
    <row r="732" spans="1:14" ht="25.5" x14ac:dyDescent="0.25">
      <c r="A732" s="6"/>
      <c r="B732" s="6"/>
      <c r="C732" s="6" t="s">
        <v>887</v>
      </c>
      <c r="D732" s="17"/>
      <c r="E732" s="1" t="s">
        <v>888</v>
      </c>
      <c r="F732" s="73">
        <f>F733</f>
        <v>2013.2</v>
      </c>
      <c r="G732" s="73"/>
      <c r="H732" s="73">
        <f>H733</f>
        <v>2013.2</v>
      </c>
      <c r="I732" s="73">
        <f>I733</f>
        <v>0</v>
      </c>
      <c r="J732" s="73"/>
      <c r="K732" s="73">
        <f>K733</f>
        <v>0</v>
      </c>
      <c r="L732" s="73">
        <v>0</v>
      </c>
      <c r="M732" s="73"/>
      <c r="N732" s="73">
        <v>0</v>
      </c>
    </row>
    <row r="733" spans="1:14" ht="26.25" x14ac:dyDescent="0.25">
      <c r="A733" s="6"/>
      <c r="B733" s="6"/>
      <c r="C733" s="6"/>
      <c r="D733" s="6" t="s">
        <v>471</v>
      </c>
      <c r="E733" s="3" t="s">
        <v>472</v>
      </c>
      <c r="F733" s="73">
        <f>F735</f>
        <v>2013.2</v>
      </c>
      <c r="G733" s="73"/>
      <c r="H733" s="73">
        <f>H735</f>
        <v>2013.2</v>
      </c>
      <c r="I733" s="73">
        <f>I735</f>
        <v>0</v>
      </c>
      <c r="J733" s="73"/>
      <c r="K733" s="73">
        <f>K735</f>
        <v>0</v>
      </c>
      <c r="L733" s="73">
        <v>0</v>
      </c>
      <c r="M733" s="73"/>
      <c r="N733" s="73">
        <v>0</v>
      </c>
    </row>
    <row r="734" spans="1:14" x14ac:dyDescent="0.25">
      <c r="A734" s="98"/>
      <c r="B734" s="98"/>
      <c r="C734" s="6"/>
      <c r="D734" s="49"/>
      <c r="E734" s="3" t="s">
        <v>239</v>
      </c>
      <c r="F734" s="73"/>
      <c r="G734" s="73"/>
      <c r="H734" s="73"/>
      <c r="I734" s="73"/>
      <c r="J734" s="73"/>
      <c r="K734" s="73"/>
      <c r="L734" s="73"/>
      <c r="M734" s="73"/>
      <c r="N734" s="73"/>
    </row>
    <row r="735" spans="1:14" ht="39" x14ac:dyDescent="0.25">
      <c r="A735" s="98"/>
      <c r="B735" s="98"/>
      <c r="C735" s="10"/>
      <c r="D735" s="10"/>
      <c r="E735" s="11" t="s">
        <v>240</v>
      </c>
      <c r="F735" s="77">
        <f>F737+F738</f>
        <v>2013.2</v>
      </c>
      <c r="G735" s="77"/>
      <c r="H735" s="77">
        <f>H737+H738</f>
        <v>2013.2</v>
      </c>
      <c r="I735" s="77">
        <v>0</v>
      </c>
      <c r="J735" s="77"/>
      <c r="K735" s="77">
        <v>0</v>
      </c>
      <c r="L735" s="77">
        <v>0</v>
      </c>
      <c r="M735" s="77"/>
      <c r="N735" s="77">
        <v>0</v>
      </c>
    </row>
    <row r="736" spans="1:14" x14ac:dyDescent="0.25">
      <c r="A736" s="98"/>
      <c r="B736" s="98"/>
      <c r="C736" s="12"/>
      <c r="D736" s="6"/>
      <c r="E736" s="1" t="s">
        <v>188</v>
      </c>
      <c r="F736" s="73">
        <v>0</v>
      </c>
      <c r="G736" s="73"/>
      <c r="H736" s="73">
        <v>0</v>
      </c>
      <c r="I736" s="73">
        <v>0</v>
      </c>
      <c r="J736" s="73"/>
      <c r="K736" s="73">
        <v>0</v>
      </c>
      <c r="L736" s="73">
        <v>0</v>
      </c>
      <c r="M736" s="73"/>
      <c r="N736" s="73">
        <v>0</v>
      </c>
    </row>
    <row r="737" spans="1:14" x14ac:dyDescent="0.25">
      <c r="A737" s="98"/>
      <c r="B737" s="98"/>
      <c r="C737" s="12"/>
      <c r="D737" s="6"/>
      <c r="E737" s="1" t="s">
        <v>186</v>
      </c>
      <c r="F737" s="73">
        <v>1509.9</v>
      </c>
      <c r="G737" s="73"/>
      <c r="H737" s="73">
        <v>1509.9</v>
      </c>
      <c r="I737" s="73">
        <v>0</v>
      </c>
      <c r="J737" s="73"/>
      <c r="K737" s="73">
        <v>0</v>
      </c>
      <c r="L737" s="73">
        <v>0</v>
      </c>
      <c r="M737" s="73"/>
      <c r="N737" s="73">
        <v>0</v>
      </c>
    </row>
    <row r="738" spans="1:14" x14ac:dyDescent="0.25">
      <c r="A738" s="98"/>
      <c r="B738" s="98"/>
      <c r="C738" s="12"/>
      <c r="D738" s="6"/>
      <c r="E738" s="3" t="s">
        <v>150</v>
      </c>
      <c r="F738" s="73">
        <v>503.3</v>
      </c>
      <c r="G738" s="73"/>
      <c r="H738" s="73">
        <v>503.3</v>
      </c>
      <c r="I738" s="73">
        <v>0</v>
      </c>
      <c r="J738" s="73"/>
      <c r="K738" s="73">
        <v>0</v>
      </c>
      <c r="L738" s="73">
        <v>0</v>
      </c>
      <c r="M738" s="73"/>
      <c r="N738" s="73">
        <v>0</v>
      </c>
    </row>
    <row r="739" spans="1:14" ht="26.25" x14ac:dyDescent="0.25">
      <c r="A739" s="98"/>
      <c r="B739" s="98"/>
      <c r="C739" s="6" t="s">
        <v>944</v>
      </c>
      <c r="D739" s="6"/>
      <c r="E739" s="314" t="s">
        <v>942</v>
      </c>
      <c r="F739" s="73">
        <f>F740</f>
        <v>0</v>
      </c>
      <c r="G739" s="73">
        <f>G740</f>
        <v>68.3</v>
      </c>
      <c r="H739" s="73">
        <f>H740</f>
        <v>68.3</v>
      </c>
      <c r="I739" s="73">
        <f>I740</f>
        <v>0</v>
      </c>
      <c r="J739" s="73"/>
      <c r="K739" s="73">
        <f>K740</f>
        <v>0</v>
      </c>
      <c r="L739" s="73">
        <v>0</v>
      </c>
      <c r="M739" s="73"/>
      <c r="N739" s="73">
        <v>0</v>
      </c>
    </row>
    <row r="740" spans="1:14" ht="26.25" x14ac:dyDescent="0.25">
      <c r="A740" s="98"/>
      <c r="B740" s="98"/>
      <c r="C740" s="12"/>
      <c r="D740" s="6" t="s">
        <v>471</v>
      </c>
      <c r="E740" s="3" t="s">
        <v>472</v>
      </c>
      <c r="F740" s="73">
        <v>0</v>
      </c>
      <c r="G740" s="73">
        <v>68.3</v>
      </c>
      <c r="H740" s="73">
        <v>68.3</v>
      </c>
      <c r="I740" s="73">
        <v>0</v>
      </c>
      <c r="J740" s="73"/>
      <c r="K740" s="73">
        <v>0</v>
      </c>
      <c r="L740" s="73">
        <v>0</v>
      </c>
      <c r="M740" s="73"/>
      <c r="N740" s="73">
        <v>0</v>
      </c>
    </row>
    <row r="741" spans="1:14" ht="39" x14ac:dyDescent="0.25">
      <c r="A741" s="98"/>
      <c r="B741" s="98"/>
      <c r="C741" s="6" t="s">
        <v>894</v>
      </c>
      <c r="D741" s="6"/>
      <c r="E741" s="3" t="s">
        <v>895</v>
      </c>
      <c r="F741" s="73">
        <v>0</v>
      </c>
      <c r="G741" s="73"/>
      <c r="H741" s="73">
        <v>0</v>
      </c>
      <c r="I741" s="73">
        <f>I742</f>
        <v>2600</v>
      </c>
      <c r="J741" s="73"/>
      <c r="K741" s="73">
        <f>K742</f>
        <v>2600</v>
      </c>
      <c r="L741" s="73">
        <v>0</v>
      </c>
      <c r="M741" s="73"/>
      <c r="N741" s="73">
        <v>0</v>
      </c>
    </row>
    <row r="742" spans="1:14" ht="26.25" x14ac:dyDescent="0.25">
      <c r="A742" s="98"/>
      <c r="B742" s="98"/>
      <c r="C742" s="12"/>
      <c r="D742" s="6" t="s">
        <v>471</v>
      </c>
      <c r="E742" s="3" t="s">
        <v>472</v>
      </c>
      <c r="F742" s="73">
        <v>0</v>
      </c>
      <c r="G742" s="73"/>
      <c r="H742" s="73">
        <v>0</v>
      </c>
      <c r="I742" s="73">
        <v>2600</v>
      </c>
      <c r="J742" s="73"/>
      <c r="K742" s="73">
        <v>2600</v>
      </c>
      <c r="L742" s="73">
        <v>0</v>
      </c>
      <c r="M742" s="73"/>
      <c r="N742" s="73">
        <v>0</v>
      </c>
    </row>
    <row r="743" spans="1:14" x14ac:dyDescent="0.25">
      <c r="A743" s="158"/>
      <c r="B743" s="158"/>
      <c r="C743" s="14" t="s">
        <v>241</v>
      </c>
      <c r="D743" s="14"/>
      <c r="E743" s="15" t="s">
        <v>242</v>
      </c>
      <c r="F743" s="76">
        <f>F744+F747</f>
        <v>5.2630000000000003E-2</v>
      </c>
      <c r="G743" s="76">
        <f>G744+G747</f>
        <v>0</v>
      </c>
      <c r="H743" s="76">
        <f>H744+H747</f>
        <v>5.2630000000000003E-2</v>
      </c>
      <c r="I743" s="76">
        <f>I744+I747</f>
        <v>0.15789</v>
      </c>
      <c r="J743" s="76"/>
      <c r="K743" s="76">
        <f>K744+K747</f>
        <v>0.15789</v>
      </c>
      <c r="L743" s="76">
        <f>L744+L747</f>
        <v>0.15789</v>
      </c>
      <c r="M743" s="76"/>
      <c r="N743" s="76">
        <f>N744+N747</f>
        <v>0.15789</v>
      </c>
    </row>
    <row r="744" spans="1:14" ht="25.5" x14ac:dyDescent="0.25">
      <c r="A744" s="98"/>
      <c r="B744" s="98"/>
      <c r="C744" s="16" t="s">
        <v>491</v>
      </c>
      <c r="D744" s="16"/>
      <c r="E744" s="7" t="s">
        <v>543</v>
      </c>
      <c r="F744" s="73">
        <f t="shared" ref="F744:N745" si="163">F745</f>
        <v>5.2630000000000003E-2</v>
      </c>
      <c r="G744" s="73"/>
      <c r="H744" s="73">
        <f t="shared" si="163"/>
        <v>5.2630000000000003E-2</v>
      </c>
      <c r="I744" s="73">
        <f t="shared" si="163"/>
        <v>5.2630000000000003E-2</v>
      </c>
      <c r="J744" s="73"/>
      <c r="K744" s="73">
        <f t="shared" si="163"/>
        <v>5.2630000000000003E-2</v>
      </c>
      <c r="L744" s="73">
        <f t="shared" si="163"/>
        <v>5.2630000000000003E-2</v>
      </c>
      <c r="M744" s="73"/>
      <c r="N744" s="73">
        <f t="shared" si="163"/>
        <v>5.2630000000000003E-2</v>
      </c>
    </row>
    <row r="745" spans="1:14" ht="25.5" x14ac:dyDescent="0.25">
      <c r="A745" s="98"/>
      <c r="B745" s="98"/>
      <c r="C745" s="17"/>
      <c r="D745" s="16" t="s">
        <v>471</v>
      </c>
      <c r="E745" s="1" t="s">
        <v>472</v>
      </c>
      <c r="F745" s="73">
        <f t="shared" si="163"/>
        <v>5.2630000000000003E-2</v>
      </c>
      <c r="G745" s="73"/>
      <c r="H745" s="73">
        <f t="shared" si="163"/>
        <v>5.2630000000000003E-2</v>
      </c>
      <c r="I745" s="73">
        <f t="shared" si="163"/>
        <v>5.2630000000000003E-2</v>
      </c>
      <c r="J745" s="73"/>
      <c r="K745" s="73">
        <f t="shared" si="163"/>
        <v>5.2630000000000003E-2</v>
      </c>
      <c r="L745" s="73">
        <f t="shared" si="163"/>
        <v>5.2630000000000003E-2</v>
      </c>
      <c r="M745" s="73"/>
      <c r="N745" s="73">
        <f t="shared" si="163"/>
        <v>5.2630000000000003E-2</v>
      </c>
    </row>
    <row r="746" spans="1:14" x14ac:dyDescent="0.25">
      <c r="A746" s="98"/>
      <c r="B746" s="98"/>
      <c r="C746" s="17"/>
      <c r="D746" s="16"/>
      <c r="E746" s="3" t="s">
        <v>150</v>
      </c>
      <c r="F746" s="73">
        <v>5.2630000000000003E-2</v>
      </c>
      <c r="G746" s="73"/>
      <c r="H746" s="73">
        <v>5.2630000000000003E-2</v>
      </c>
      <c r="I746" s="73">
        <v>5.2630000000000003E-2</v>
      </c>
      <c r="J746" s="73"/>
      <c r="K746" s="73">
        <v>5.2630000000000003E-2</v>
      </c>
      <c r="L746" s="73">
        <v>5.2630000000000003E-2</v>
      </c>
      <c r="M746" s="73"/>
      <c r="N746" s="73">
        <v>5.2630000000000003E-2</v>
      </c>
    </row>
    <row r="747" spans="1:14" ht="25.5" x14ac:dyDescent="0.25">
      <c r="A747" s="98"/>
      <c r="B747" s="98"/>
      <c r="C747" s="16" t="s">
        <v>492</v>
      </c>
      <c r="D747" s="16"/>
      <c r="E747" s="7" t="s">
        <v>544</v>
      </c>
      <c r="F747" s="73">
        <f t="shared" ref="F747:N748" si="164">F748</f>
        <v>0</v>
      </c>
      <c r="G747" s="73"/>
      <c r="H747" s="73">
        <f t="shared" si="164"/>
        <v>0</v>
      </c>
      <c r="I747" s="73">
        <f t="shared" si="164"/>
        <v>0.10526000000000001</v>
      </c>
      <c r="J747" s="73"/>
      <c r="K747" s="73">
        <f t="shared" si="164"/>
        <v>0.10526000000000001</v>
      </c>
      <c r="L747" s="73">
        <f t="shared" si="164"/>
        <v>0.10526000000000001</v>
      </c>
      <c r="M747" s="73"/>
      <c r="N747" s="73">
        <f t="shared" si="164"/>
        <v>0.10526000000000001</v>
      </c>
    </row>
    <row r="748" spans="1:14" ht="25.5" x14ac:dyDescent="0.25">
      <c r="A748" s="98"/>
      <c r="B748" s="98"/>
      <c r="C748" s="17"/>
      <c r="D748" s="16" t="s">
        <v>471</v>
      </c>
      <c r="E748" s="1" t="s">
        <v>472</v>
      </c>
      <c r="F748" s="73">
        <v>0</v>
      </c>
      <c r="G748" s="73"/>
      <c r="H748" s="73">
        <f t="shared" si="164"/>
        <v>0</v>
      </c>
      <c r="I748" s="73">
        <f t="shared" si="164"/>
        <v>0.10526000000000001</v>
      </c>
      <c r="J748" s="73"/>
      <c r="K748" s="73">
        <f t="shared" si="164"/>
        <v>0.10526000000000001</v>
      </c>
      <c r="L748" s="73">
        <f t="shared" si="164"/>
        <v>0.10526000000000001</v>
      </c>
      <c r="M748" s="73"/>
      <c r="N748" s="73">
        <f t="shared" si="164"/>
        <v>0.10526000000000001</v>
      </c>
    </row>
    <row r="749" spans="1:14" x14ac:dyDescent="0.25">
      <c r="A749" s="98"/>
      <c r="B749" s="98"/>
      <c r="C749" s="17"/>
      <c r="D749" s="16"/>
      <c r="E749" s="3" t="s">
        <v>150</v>
      </c>
      <c r="F749" s="73">
        <v>0</v>
      </c>
      <c r="G749" s="73"/>
      <c r="H749" s="73">
        <v>0</v>
      </c>
      <c r="I749" s="73">
        <v>0.10526000000000001</v>
      </c>
      <c r="J749" s="73"/>
      <c r="K749" s="73">
        <v>0.10526000000000001</v>
      </c>
      <c r="L749" s="73">
        <v>0.10526000000000001</v>
      </c>
      <c r="M749" s="73"/>
      <c r="N749" s="73">
        <v>0.10526000000000001</v>
      </c>
    </row>
    <row r="750" spans="1:14" x14ac:dyDescent="0.25">
      <c r="A750" s="68"/>
      <c r="B750" s="17" t="s">
        <v>651</v>
      </c>
      <c r="C750" s="109"/>
      <c r="D750" s="108"/>
      <c r="E750" s="102" t="s">
        <v>652</v>
      </c>
      <c r="F750" s="159">
        <f>F751</f>
        <v>5051.3999999999996</v>
      </c>
      <c r="G750" s="159">
        <f>G751</f>
        <v>97</v>
      </c>
      <c r="H750" s="159">
        <f>H751</f>
        <v>5148.3999999999996</v>
      </c>
      <c r="I750" s="159">
        <f t="shared" ref="I750:N754" si="165">I751</f>
        <v>5036.3999999999996</v>
      </c>
      <c r="J750" s="159">
        <f>J751</f>
        <v>0</v>
      </c>
      <c r="K750" s="159">
        <f t="shared" si="165"/>
        <v>5036.3999999999996</v>
      </c>
      <c r="L750" s="159">
        <f t="shared" si="165"/>
        <v>3499.5</v>
      </c>
      <c r="M750" s="159">
        <f>M751</f>
        <v>0</v>
      </c>
      <c r="N750" s="159">
        <f t="shared" si="165"/>
        <v>3499.5</v>
      </c>
    </row>
    <row r="751" spans="1:14" x14ac:dyDescent="0.25">
      <c r="A751" s="68"/>
      <c r="B751" s="17"/>
      <c r="C751" s="109" t="s">
        <v>5</v>
      </c>
      <c r="D751" s="108"/>
      <c r="E751" s="129" t="s">
        <v>6</v>
      </c>
      <c r="F751" s="159">
        <f t="shared" ref="F751:N751" si="166">F752+F758</f>
        <v>5051.3999999999996</v>
      </c>
      <c r="G751" s="159">
        <f t="shared" si="166"/>
        <v>97</v>
      </c>
      <c r="H751" s="159">
        <f t="shared" si="166"/>
        <v>5148.3999999999996</v>
      </c>
      <c r="I751" s="159">
        <f t="shared" si="166"/>
        <v>5036.3999999999996</v>
      </c>
      <c r="J751" s="159">
        <f t="shared" si="166"/>
        <v>0</v>
      </c>
      <c r="K751" s="159">
        <f t="shared" si="166"/>
        <v>5036.3999999999996</v>
      </c>
      <c r="L751" s="159">
        <f t="shared" si="166"/>
        <v>3499.5</v>
      </c>
      <c r="M751" s="159">
        <f t="shared" si="166"/>
        <v>0</v>
      </c>
      <c r="N751" s="159">
        <f t="shared" si="166"/>
        <v>3499.5</v>
      </c>
    </row>
    <row r="752" spans="1:14" ht="25.5" x14ac:dyDescent="0.25">
      <c r="A752" s="160"/>
      <c r="B752" s="112"/>
      <c r="C752" s="113" t="s">
        <v>7</v>
      </c>
      <c r="D752" s="112"/>
      <c r="E752" s="114" t="s">
        <v>8</v>
      </c>
      <c r="F752" s="115">
        <f t="shared" ref="F752:J754" si="167">F753</f>
        <v>3490.9</v>
      </c>
      <c r="G752" s="115">
        <f t="shared" si="167"/>
        <v>0</v>
      </c>
      <c r="H752" s="115">
        <f t="shared" si="167"/>
        <v>3490.9</v>
      </c>
      <c r="I752" s="115">
        <f t="shared" si="165"/>
        <v>3475.9</v>
      </c>
      <c r="J752" s="115">
        <f t="shared" si="167"/>
        <v>0</v>
      </c>
      <c r="K752" s="115">
        <f t="shared" si="165"/>
        <v>3475.9</v>
      </c>
      <c r="L752" s="115">
        <f t="shared" si="165"/>
        <v>3449.5</v>
      </c>
      <c r="M752" s="115">
        <f t="shared" si="165"/>
        <v>0</v>
      </c>
      <c r="N752" s="115">
        <f t="shared" si="165"/>
        <v>3449.5</v>
      </c>
    </row>
    <row r="753" spans="1:14" ht="39" x14ac:dyDescent="0.25">
      <c r="A753" s="31"/>
      <c r="B753" s="31"/>
      <c r="C753" s="31" t="s">
        <v>20</v>
      </c>
      <c r="D753" s="31"/>
      <c r="E753" s="32" t="s">
        <v>653</v>
      </c>
      <c r="F753" s="75">
        <f t="shared" si="167"/>
        <v>3490.9</v>
      </c>
      <c r="G753" s="75">
        <f t="shared" si="167"/>
        <v>0</v>
      </c>
      <c r="H753" s="75">
        <f t="shared" si="167"/>
        <v>3490.9</v>
      </c>
      <c r="I753" s="75">
        <f t="shared" si="165"/>
        <v>3475.9</v>
      </c>
      <c r="J753" s="75">
        <f t="shared" si="167"/>
        <v>0</v>
      </c>
      <c r="K753" s="75">
        <f t="shared" si="165"/>
        <v>3475.9</v>
      </c>
      <c r="L753" s="75">
        <f t="shared" si="165"/>
        <v>3449.5</v>
      </c>
      <c r="M753" s="75">
        <f t="shared" si="165"/>
        <v>0</v>
      </c>
      <c r="N753" s="75">
        <f t="shared" si="165"/>
        <v>3449.5</v>
      </c>
    </row>
    <row r="754" spans="1:14" ht="39" x14ac:dyDescent="0.25">
      <c r="A754" s="33"/>
      <c r="B754" s="33"/>
      <c r="C754" s="33" t="s">
        <v>22</v>
      </c>
      <c r="D754" s="36"/>
      <c r="E754" s="34" t="s">
        <v>23</v>
      </c>
      <c r="F754" s="71">
        <f t="shared" si="167"/>
        <v>3490.9</v>
      </c>
      <c r="G754" s="71">
        <f t="shared" si="167"/>
        <v>0</v>
      </c>
      <c r="H754" s="71">
        <f t="shared" si="167"/>
        <v>3490.9</v>
      </c>
      <c r="I754" s="71">
        <f t="shared" si="165"/>
        <v>3475.9</v>
      </c>
      <c r="J754" s="71">
        <f t="shared" si="167"/>
        <v>0</v>
      </c>
      <c r="K754" s="71">
        <f t="shared" si="165"/>
        <v>3475.9</v>
      </c>
      <c r="L754" s="71">
        <f t="shared" si="165"/>
        <v>3449.5</v>
      </c>
      <c r="M754" s="71">
        <f t="shared" si="165"/>
        <v>0</v>
      </c>
      <c r="N754" s="71">
        <f t="shared" si="165"/>
        <v>3449.5</v>
      </c>
    </row>
    <row r="755" spans="1:14" ht="25.5" x14ac:dyDescent="0.25">
      <c r="A755" s="68"/>
      <c r="B755" s="16"/>
      <c r="C755" s="128" t="s">
        <v>26</v>
      </c>
      <c r="D755" s="16"/>
      <c r="E755" s="1" t="s">
        <v>27</v>
      </c>
      <c r="F755" s="73">
        <f t="shared" ref="F755:N755" si="168">F756+F757</f>
        <v>3490.9</v>
      </c>
      <c r="G755" s="73">
        <f t="shared" si="168"/>
        <v>0</v>
      </c>
      <c r="H755" s="73">
        <f t="shared" si="168"/>
        <v>3490.9</v>
      </c>
      <c r="I755" s="73">
        <f t="shared" si="168"/>
        <v>3475.9</v>
      </c>
      <c r="J755" s="73">
        <f t="shared" si="168"/>
        <v>0</v>
      </c>
      <c r="K755" s="73">
        <f t="shared" si="168"/>
        <v>3475.9</v>
      </c>
      <c r="L755" s="73">
        <f t="shared" si="168"/>
        <v>3449.5</v>
      </c>
      <c r="M755" s="73">
        <f t="shared" si="168"/>
        <v>0</v>
      </c>
      <c r="N755" s="73">
        <f t="shared" si="168"/>
        <v>3449.5</v>
      </c>
    </row>
    <row r="756" spans="1:14" ht="39" x14ac:dyDescent="0.25">
      <c r="A756" s="68"/>
      <c r="B756" s="16"/>
      <c r="C756" s="128"/>
      <c r="D756" s="16" t="s">
        <v>399</v>
      </c>
      <c r="E756" s="3" t="s">
        <v>400</v>
      </c>
      <c r="F756" s="73">
        <v>3374.4</v>
      </c>
      <c r="G756" s="73"/>
      <c r="H756" s="73">
        <f>SUM(F756:G756)</f>
        <v>3374.4</v>
      </c>
      <c r="I756" s="73">
        <v>3365.8</v>
      </c>
      <c r="J756" s="73"/>
      <c r="K756" s="73">
        <f>SUM(I756:J756)</f>
        <v>3365.8</v>
      </c>
      <c r="L756" s="73">
        <v>3365.8</v>
      </c>
      <c r="M756" s="73"/>
      <c r="N756" s="73">
        <f>SUM(L756:M756)</f>
        <v>3365.8</v>
      </c>
    </row>
    <row r="757" spans="1:14" x14ac:dyDescent="0.25">
      <c r="A757" s="68"/>
      <c r="B757" s="16"/>
      <c r="C757" s="128"/>
      <c r="D757" s="16" t="s">
        <v>281</v>
      </c>
      <c r="E757" s="7" t="s">
        <v>282</v>
      </c>
      <c r="F757" s="70">
        <v>116.49999999999997</v>
      </c>
      <c r="G757" s="70"/>
      <c r="H757" s="70">
        <f>SUM(F757:G757)</f>
        <v>116.49999999999997</v>
      </c>
      <c r="I757" s="70">
        <v>110.09999999999998</v>
      </c>
      <c r="J757" s="70"/>
      <c r="K757" s="70">
        <f>SUM(I757:J757)</f>
        <v>110.09999999999998</v>
      </c>
      <c r="L757" s="70">
        <v>83.699999999999974</v>
      </c>
      <c r="M757" s="70"/>
      <c r="N757" s="70">
        <f>SUM(L757:M757)</f>
        <v>83.699999999999974</v>
      </c>
    </row>
    <row r="758" spans="1:14" ht="25.5" x14ac:dyDescent="0.25">
      <c r="A758" s="111"/>
      <c r="B758" s="112"/>
      <c r="C758" s="113" t="s">
        <v>211</v>
      </c>
      <c r="D758" s="112"/>
      <c r="E758" s="114" t="s">
        <v>212</v>
      </c>
      <c r="F758" s="115">
        <f>F759</f>
        <v>1560.5</v>
      </c>
      <c r="G758" s="115">
        <f>G759</f>
        <v>97</v>
      </c>
      <c r="H758" s="115">
        <f>H759</f>
        <v>1657.5</v>
      </c>
      <c r="I758" s="115">
        <f>I759</f>
        <v>1560.5</v>
      </c>
      <c r="J758" s="115"/>
      <c r="K758" s="115">
        <f>K759</f>
        <v>1560.5</v>
      </c>
      <c r="L758" s="115">
        <f>L759</f>
        <v>50</v>
      </c>
      <c r="M758" s="115"/>
      <c r="N758" s="115">
        <f>N759</f>
        <v>50</v>
      </c>
    </row>
    <row r="759" spans="1:14" ht="26.25" x14ac:dyDescent="0.25">
      <c r="A759" s="31"/>
      <c r="B759" s="31"/>
      <c r="C759" s="31" t="s">
        <v>213</v>
      </c>
      <c r="D759" s="31"/>
      <c r="E759" s="32" t="s">
        <v>214</v>
      </c>
      <c r="F759" s="75">
        <f>F760+F765</f>
        <v>1560.5</v>
      </c>
      <c r="G759" s="75">
        <f>G760+G765</f>
        <v>97</v>
      </c>
      <c r="H759" s="75">
        <f>H760+H765</f>
        <v>1657.5</v>
      </c>
      <c r="I759" s="75">
        <f>I760+I765</f>
        <v>1560.5</v>
      </c>
      <c r="J759" s="75"/>
      <c r="K759" s="75">
        <f>K760+K765</f>
        <v>1560.5</v>
      </c>
      <c r="L759" s="75">
        <f>L760+L765</f>
        <v>50</v>
      </c>
      <c r="M759" s="75"/>
      <c r="N759" s="75">
        <f>N760+N765</f>
        <v>50</v>
      </c>
    </row>
    <row r="760" spans="1:14" ht="26.25" x14ac:dyDescent="0.25">
      <c r="A760" s="33"/>
      <c r="B760" s="33"/>
      <c r="C760" s="33" t="s">
        <v>229</v>
      </c>
      <c r="D760" s="36"/>
      <c r="E760" s="34" t="s">
        <v>230</v>
      </c>
      <c r="F760" s="71">
        <f>F761+F763</f>
        <v>1510.5</v>
      </c>
      <c r="G760" s="71">
        <f>G761+G763</f>
        <v>97</v>
      </c>
      <c r="H760" s="71">
        <f>H761+H763</f>
        <v>1607.5</v>
      </c>
      <c r="I760" s="71">
        <f>I761+I763</f>
        <v>1510.5</v>
      </c>
      <c r="J760" s="71"/>
      <c r="K760" s="71">
        <f>K761+K763</f>
        <v>1510.5</v>
      </c>
      <c r="L760" s="71">
        <f>L761+L763</f>
        <v>0</v>
      </c>
      <c r="M760" s="71"/>
      <c r="N760" s="71">
        <f>N761+N763</f>
        <v>0</v>
      </c>
    </row>
    <row r="761" spans="1:14" ht="51.75" x14ac:dyDescent="0.25">
      <c r="A761" s="6"/>
      <c r="B761" s="6"/>
      <c r="C761" s="6" t="s">
        <v>231</v>
      </c>
      <c r="D761" s="6"/>
      <c r="E761" s="3" t="s">
        <v>654</v>
      </c>
      <c r="F761" s="70">
        <f>F762</f>
        <v>950</v>
      </c>
      <c r="G761" s="70"/>
      <c r="H761" s="70">
        <f>H762</f>
        <v>950</v>
      </c>
      <c r="I761" s="70">
        <f>I762</f>
        <v>950</v>
      </c>
      <c r="J761" s="70"/>
      <c r="K761" s="70">
        <f>K762</f>
        <v>950</v>
      </c>
      <c r="L761" s="70">
        <f>L762</f>
        <v>0</v>
      </c>
      <c r="M761" s="70"/>
      <c r="N761" s="70">
        <f>N762</f>
        <v>0</v>
      </c>
    </row>
    <row r="762" spans="1:14" ht="26.25" x14ac:dyDescent="0.25">
      <c r="A762" s="6"/>
      <c r="B762" s="6"/>
      <c r="C762" s="6"/>
      <c r="D762" s="6" t="s">
        <v>471</v>
      </c>
      <c r="E762" s="3" t="s">
        <v>472</v>
      </c>
      <c r="F762" s="70">
        <v>950</v>
      </c>
      <c r="G762" s="70"/>
      <c r="H762" s="70">
        <v>950</v>
      </c>
      <c r="I762" s="70">
        <v>950</v>
      </c>
      <c r="J762" s="70"/>
      <c r="K762" s="70">
        <v>950</v>
      </c>
      <c r="L762" s="70">
        <v>0</v>
      </c>
      <c r="M762" s="70"/>
      <c r="N762" s="70">
        <v>0</v>
      </c>
    </row>
    <row r="763" spans="1:14" ht="51.75" x14ac:dyDescent="0.25">
      <c r="A763" s="6"/>
      <c r="B763" s="6"/>
      <c r="C763" s="6" t="s">
        <v>232</v>
      </c>
      <c r="D763" s="6"/>
      <c r="E763" s="3" t="s">
        <v>233</v>
      </c>
      <c r="F763" s="70">
        <f>F764</f>
        <v>560.5</v>
      </c>
      <c r="G763" s="70">
        <f>G764</f>
        <v>97</v>
      </c>
      <c r="H763" s="70">
        <f>H764</f>
        <v>657.5</v>
      </c>
      <c r="I763" s="70">
        <f t="shared" ref="I763:N763" si="169">I764</f>
        <v>560.5</v>
      </c>
      <c r="J763" s="70"/>
      <c r="K763" s="70">
        <f t="shared" si="169"/>
        <v>560.5</v>
      </c>
      <c r="L763" s="70">
        <f t="shared" si="169"/>
        <v>0</v>
      </c>
      <c r="M763" s="70"/>
      <c r="N763" s="70">
        <f t="shared" si="169"/>
        <v>0</v>
      </c>
    </row>
    <row r="764" spans="1:14" s="50" customFormat="1" ht="26.25" x14ac:dyDescent="0.25">
      <c r="A764" s="6"/>
      <c r="B764" s="6"/>
      <c r="C764" s="6"/>
      <c r="D764" s="6" t="s">
        <v>471</v>
      </c>
      <c r="E764" s="3" t="s">
        <v>472</v>
      </c>
      <c r="F764" s="70">
        <f>590-29.5</f>
        <v>560.5</v>
      </c>
      <c r="G764" s="70">
        <v>97</v>
      </c>
      <c r="H764" s="70">
        <f>590-29.5+97</f>
        <v>657.5</v>
      </c>
      <c r="I764" s="70">
        <f>590-29.5</f>
        <v>560.5</v>
      </c>
      <c r="J764" s="70"/>
      <c r="K764" s="70">
        <f>590-29.5</f>
        <v>560.5</v>
      </c>
      <c r="L764" s="70">
        <v>0</v>
      </c>
      <c r="M764" s="70"/>
      <c r="N764" s="70">
        <v>0</v>
      </c>
    </row>
    <row r="765" spans="1:14" x14ac:dyDescent="0.25">
      <c r="A765" s="33"/>
      <c r="B765" s="33"/>
      <c r="C765" s="33" t="s">
        <v>234</v>
      </c>
      <c r="D765" s="36"/>
      <c r="E765" s="34" t="s">
        <v>235</v>
      </c>
      <c r="F765" s="71">
        <f>F766</f>
        <v>50</v>
      </c>
      <c r="G765" s="71"/>
      <c r="H765" s="71">
        <f>H766</f>
        <v>50</v>
      </c>
      <c r="I765" s="71">
        <f>I766</f>
        <v>50</v>
      </c>
      <c r="J765" s="71"/>
      <c r="K765" s="71">
        <f>K766</f>
        <v>50</v>
      </c>
      <c r="L765" s="71">
        <f>L766</f>
        <v>50</v>
      </c>
      <c r="M765" s="71"/>
      <c r="N765" s="71">
        <f>N766</f>
        <v>50</v>
      </c>
    </row>
    <row r="766" spans="1:14" x14ac:dyDescent="0.25">
      <c r="A766" s="6"/>
      <c r="B766" s="6"/>
      <c r="C766" s="6" t="s">
        <v>236</v>
      </c>
      <c r="D766" s="6"/>
      <c r="E766" s="3" t="s">
        <v>683</v>
      </c>
      <c r="F766" s="70">
        <f>F767</f>
        <v>50</v>
      </c>
      <c r="G766" s="70"/>
      <c r="H766" s="70">
        <f>H767</f>
        <v>50</v>
      </c>
      <c r="I766" s="70">
        <f>I767</f>
        <v>50</v>
      </c>
      <c r="J766" s="70"/>
      <c r="K766" s="70">
        <f>K767</f>
        <v>50</v>
      </c>
      <c r="L766" s="70">
        <f>L767</f>
        <v>50</v>
      </c>
      <c r="M766" s="70"/>
      <c r="N766" s="70">
        <f>N767</f>
        <v>50</v>
      </c>
    </row>
    <row r="767" spans="1:14" ht="26.25" x14ac:dyDescent="0.25">
      <c r="A767" s="6"/>
      <c r="B767" s="6"/>
      <c r="C767" s="6"/>
      <c r="D767" s="6" t="s">
        <v>471</v>
      </c>
      <c r="E767" s="3" t="s">
        <v>472</v>
      </c>
      <c r="F767" s="70">
        <v>50</v>
      </c>
      <c r="G767" s="70"/>
      <c r="H767" s="70">
        <v>50</v>
      </c>
      <c r="I767" s="70">
        <v>50</v>
      </c>
      <c r="J767" s="70"/>
      <c r="K767" s="70">
        <v>50</v>
      </c>
      <c r="L767" s="70">
        <v>50</v>
      </c>
      <c r="M767" s="70"/>
      <c r="N767" s="70">
        <v>50</v>
      </c>
    </row>
    <row r="768" spans="1:14" x14ac:dyDescent="0.25">
      <c r="A768" s="68"/>
      <c r="B768" s="17">
        <v>1000</v>
      </c>
      <c r="C768" s="109"/>
      <c r="D768" s="108"/>
      <c r="E768" s="102" t="s">
        <v>627</v>
      </c>
      <c r="F768" s="74">
        <f t="shared" ref="F768:N773" si="170">F769</f>
        <v>327.44704000000002</v>
      </c>
      <c r="G768" s="74">
        <f t="shared" si="170"/>
        <v>0</v>
      </c>
      <c r="H768" s="74">
        <f t="shared" si="170"/>
        <v>327.44704000000002</v>
      </c>
      <c r="I768" s="74">
        <f t="shared" si="170"/>
        <v>320.01271000000003</v>
      </c>
      <c r="J768" s="74"/>
      <c r="K768" s="74">
        <f t="shared" si="170"/>
        <v>320.01271000000003</v>
      </c>
      <c r="L768" s="74">
        <f t="shared" si="170"/>
        <v>320.01271000000003</v>
      </c>
      <c r="M768" s="74"/>
      <c r="N768" s="74">
        <f t="shared" si="170"/>
        <v>320.01271000000003</v>
      </c>
    </row>
    <row r="769" spans="1:14" x14ac:dyDescent="0.25">
      <c r="A769" s="108"/>
      <c r="B769" s="17">
        <v>1003</v>
      </c>
      <c r="C769" s="109"/>
      <c r="D769" s="108"/>
      <c r="E769" s="102" t="s">
        <v>631</v>
      </c>
      <c r="F769" s="74">
        <f t="shared" si="170"/>
        <v>327.44704000000002</v>
      </c>
      <c r="G769" s="74">
        <f t="shared" si="170"/>
        <v>0</v>
      </c>
      <c r="H769" s="74">
        <f t="shared" si="170"/>
        <v>327.44704000000002</v>
      </c>
      <c r="I769" s="74">
        <f t="shared" si="170"/>
        <v>320.01271000000003</v>
      </c>
      <c r="J769" s="74"/>
      <c r="K769" s="74">
        <f t="shared" si="170"/>
        <v>320.01271000000003</v>
      </c>
      <c r="L769" s="74">
        <f t="shared" si="170"/>
        <v>320.01271000000003</v>
      </c>
      <c r="M769" s="74"/>
      <c r="N769" s="74">
        <f t="shared" si="170"/>
        <v>320.01271000000003</v>
      </c>
    </row>
    <row r="770" spans="1:14" x14ac:dyDescent="0.25">
      <c r="A770" s="156"/>
      <c r="B770" s="17"/>
      <c r="C770" s="109" t="s">
        <v>5</v>
      </c>
      <c r="D770" s="108"/>
      <c r="E770" s="129" t="s">
        <v>6</v>
      </c>
      <c r="F770" s="74">
        <f t="shared" si="170"/>
        <v>327.44704000000002</v>
      </c>
      <c r="G770" s="74">
        <f t="shared" si="170"/>
        <v>0</v>
      </c>
      <c r="H770" s="74">
        <f t="shared" si="170"/>
        <v>327.44704000000002</v>
      </c>
      <c r="I770" s="74">
        <f t="shared" si="170"/>
        <v>320.01271000000003</v>
      </c>
      <c r="J770" s="74"/>
      <c r="K770" s="74">
        <f t="shared" si="170"/>
        <v>320.01271000000003</v>
      </c>
      <c r="L770" s="74">
        <f t="shared" si="170"/>
        <v>320.01271000000003</v>
      </c>
      <c r="M770" s="74"/>
      <c r="N770" s="74">
        <f t="shared" si="170"/>
        <v>320.01271000000003</v>
      </c>
    </row>
    <row r="771" spans="1:14" ht="25.5" x14ac:dyDescent="0.25">
      <c r="A771" s="111"/>
      <c r="B771" s="112"/>
      <c r="C771" s="113" t="s">
        <v>57</v>
      </c>
      <c r="D771" s="112"/>
      <c r="E771" s="114" t="s">
        <v>58</v>
      </c>
      <c r="F771" s="115">
        <f t="shared" si="170"/>
        <v>327.44704000000002</v>
      </c>
      <c r="G771" s="115">
        <f t="shared" si="170"/>
        <v>0</v>
      </c>
      <c r="H771" s="115">
        <f t="shared" si="170"/>
        <v>327.44704000000002</v>
      </c>
      <c r="I771" s="115">
        <f t="shared" si="170"/>
        <v>320.01271000000003</v>
      </c>
      <c r="J771" s="115"/>
      <c r="K771" s="115">
        <f t="shared" si="170"/>
        <v>320.01271000000003</v>
      </c>
      <c r="L771" s="115">
        <f t="shared" si="170"/>
        <v>320.01271000000003</v>
      </c>
      <c r="M771" s="115"/>
      <c r="N771" s="115">
        <f t="shared" si="170"/>
        <v>320.01271000000003</v>
      </c>
    </row>
    <row r="772" spans="1:14" x14ac:dyDescent="0.25">
      <c r="A772" s="31"/>
      <c r="B772" s="31"/>
      <c r="C772" s="31" t="s">
        <v>132</v>
      </c>
      <c r="D772" s="31"/>
      <c r="E772" s="32" t="s">
        <v>133</v>
      </c>
      <c r="F772" s="75">
        <f t="shared" si="170"/>
        <v>327.44704000000002</v>
      </c>
      <c r="G772" s="75">
        <f t="shared" si="170"/>
        <v>0</v>
      </c>
      <c r="H772" s="75">
        <f t="shared" si="170"/>
        <v>327.44704000000002</v>
      </c>
      <c r="I772" s="75">
        <f t="shared" si="170"/>
        <v>320.01271000000003</v>
      </c>
      <c r="J772" s="75"/>
      <c r="K772" s="75">
        <f t="shared" si="170"/>
        <v>320.01271000000003</v>
      </c>
      <c r="L772" s="75">
        <f t="shared" si="170"/>
        <v>320.01271000000003</v>
      </c>
      <c r="M772" s="75"/>
      <c r="N772" s="75">
        <f t="shared" si="170"/>
        <v>320.01271000000003</v>
      </c>
    </row>
    <row r="773" spans="1:14" ht="26.25" x14ac:dyDescent="0.25">
      <c r="A773" s="33"/>
      <c r="B773" s="33"/>
      <c r="C773" s="33" t="s">
        <v>140</v>
      </c>
      <c r="D773" s="36"/>
      <c r="E773" s="34" t="s">
        <v>141</v>
      </c>
      <c r="F773" s="71">
        <f>F774+F777</f>
        <v>327.44704000000002</v>
      </c>
      <c r="G773" s="71">
        <f>G774+G777</f>
        <v>0</v>
      </c>
      <c r="H773" s="71">
        <f>H774+H777</f>
        <v>327.44704000000002</v>
      </c>
      <c r="I773" s="71">
        <f t="shared" si="170"/>
        <v>320.01271000000003</v>
      </c>
      <c r="J773" s="71"/>
      <c r="K773" s="71">
        <f t="shared" si="170"/>
        <v>320.01271000000003</v>
      </c>
      <c r="L773" s="71">
        <f t="shared" si="170"/>
        <v>320.01271000000003</v>
      </c>
      <c r="M773" s="71"/>
      <c r="N773" s="71">
        <f t="shared" si="170"/>
        <v>320.01271000000003</v>
      </c>
    </row>
    <row r="774" spans="1:14" ht="51" x14ac:dyDescent="0.25">
      <c r="A774" s="156"/>
      <c r="B774" s="16"/>
      <c r="C774" s="128" t="s">
        <v>144</v>
      </c>
      <c r="D774" s="16"/>
      <c r="E774" s="1" t="s">
        <v>655</v>
      </c>
      <c r="F774" s="70">
        <f>SUM(F775:F776)</f>
        <v>317.58704</v>
      </c>
      <c r="G774" s="70"/>
      <c r="H774" s="70">
        <f t="shared" ref="H774:N774" si="171">H775+H776</f>
        <v>317.58704</v>
      </c>
      <c r="I774" s="70">
        <f t="shared" si="171"/>
        <v>320.01271000000003</v>
      </c>
      <c r="J774" s="70"/>
      <c r="K774" s="70">
        <f t="shared" si="171"/>
        <v>320.01271000000003</v>
      </c>
      <c r="L774" s="70">
        <f t="shared" si="171"/>
        <v>320.01271000000003</v>
      </c>
      <c r="M774" s="70"/>
      <c r="N774" s="70">
        <f t="shared" si="171"/>
        <v>320.01271000000003</v>
      </c>
    </row>
    <row r="775" spans="1:14" x14ac:dyDescent="0.25">
      <c r="A775" s="156"/>
      <c r="B775" s="16"/>
      <c r="C775" s="128"/>
      <c r="D775" s="16" t="s">
        <v>424</v>
      </c>
      <c r="E775" s="3" t="s">
        <v>425</v>
      </c>
      <c r="F775" s="70">
        <v>0</v>
      </c>
      <c r="G775" s="70"/>
      <c r="H775" s="70">
        <v>0</v>
      </c>
      <c r="I775" s="70">
        <v>0</v>
      </c>
      <c r="J775" s="70"/>
      <c r="K775" s="70">
        <v>0</v>
      </c>
      <c r="L775" s="70">
        <v>0</v>
      </c>
      <c r="M775" s="70"/>
      <c r="N775" s="70">
        <v>0</v>
      </c>
    </row>
    <row r="776" spans="1:14" ht="25.5" x14ac:dyDescent="0.25">
      <c r="A776" s="156"/>
      <c r="B776" s="16"/>
      <c r="C776" s="128"/>
      <c r="D776" s="16" t="s">
        <v>471</v>
      </c>
      <c r="E776" s="7" t="s">
        <v>472</v>
      </c>
      <c r="F776" s="70">
        <v>317.58704</v>
      </c>
      <c r="G776" s="70"/>
      <c r="H776" s="70">
        <f>445.9-128.31296</f>
        <v>317.58704</v>
      </c>
      <c r="I776" s="70">
        <v>320.01271000000003</v>
      </c>
      <c r="J776" s="70"/>
      <c r="K776" s="70">
        <f>449.6-129.58729</f>
        <v>320.01271000000003</v>
      </c>
      <c r="L776" s="70">
        <v>320.01271000000003</v>
      </c>
      <c r="M776" s="70"/>
      <c r="N776" s="70">
        <f>449.6-129.58729</f>
        <v>320.01271000000003</v>
      </c>
    </row>
    <row r="777" spans="1:14" ht="26.25" x14ac:dyDescent="0.25">
      <c r="A777" s="156"/>
      <c r="B777" s="16"/>
      <c r="C777" s="6" t="s">
        <v>881</v>
      </c>
      <c r="D777" s="6"/>
      <c r="E777" s="3" t="s">
        <v>882</v>
      </c>
      <c r="F777" s="70">
        <v>9.86</v>
      </c>
      <c r="G777" s="70"/>
      <c r="H777" s="70">
        <v>9.86</v>
      </c>
      <c r="I777" s="70"/>
      <c r="J777" s="70"/>
      <c r="K777" s="70"/>
      <c r="L777" s="70"/>
      <c r="M777" s="70"/>
      <c r="N777" s="70"/>
    </row>
    <row r="778" spans="1:14" x14ac:dyDescent="0.25">
      <c r="A778" s="156"/>
      <c r="B778" s="16"/>
      <c r="C778" s="6"/>
      <c r="D778" s="6" t="s">
        <v>281</v>
      </c>
      <c r="E778" s="3" t="s">
        <v>282</v>
      </c>
      <c r="F778" s="70">
        <v>9.86</v>
      </c>
      <c r="G778" s="70"/>
      <c r="H778" s="70">
        <v>9.86</v>
      </c>
      <c r="I778" s="70"/>
      <c r="J778" s="70"/>
      <c r="K778" s="70"/>
      <c r="L778" s="70"/>
      <c r="M778" s="70"/>
      <c r="N778" s="70"/>
    </row>
    <row r="779" spans="1:14" x14ac:dyDescent="0.25">
      <c r="A779" s="156"/>
      <c r="B779" s="16"/>
      <c r="C779" s="6"/>
      <c r="D779" s="6"/>
      <c r="E779" s="3" t="s">
        <v>84</v>
      </c>
      <c r="F779" s="70">
        <v>9.86</v>
      </c>
      <c r="G779" s="70"/>
      <c r="H779" s="70">
        <v>9.86</v>
      </c>
      <c r="I779" s="70"/>
      <c r="J779" s="70"/>
      <c r="K779" s="70"/>
      <c r="L779" s="70"/>
      <c r="M779" s="70"/>
      <c r="N779" s="70"/>
    </row>
    <row r="780" spans="1:14" x14ac:dyDescent="0.25">
      <c r="A780" s="156"/>
      <c r="B780" s="17">
        <v>1100</v>
      </c>
      <c r="C780" s="109"/>
      <c r="D780" s="108"/>
      <c r="E780" s="102" t="s">
        <v>646</v>
      </c>
      <c r="F780" s="74">
        <f t="shared" ref="F780:N785" si="172">F781</f>
        <v>66</v>
      </c>
      <c r="G780" s="74"/>
      <c r="H780" s="74">
        <f t="shared" si="172"/>
        <v>66</v>
      </c>
      <c r="I780" s="74">
        <f t="shared" si="172"/>
        <v>0</v>
      </c>
      <c r="J780" s="74"/>
      <c r="K780" s="74">
        <f t="shared" si="172"/>
        <v>0</v>
      </c>
      <c r="L780" s="74">
        <f t="shared" si="172"/>
        <v>0</v>
      </c>
      <c r="M780" s="74"/>
      <c r="N780" s="74">
        <f t="shared" si="172"/>
        <v>0</v>
      </c>
    </row>
    <row r="781" spans="1:14" x14ac:dyDescent="0.25">
      <c r="A781" s="156"/>
      <c r="B781" s="17" t="s">
        <v>647</v>
      </c>
      <c r="C781" s="109"/>
      <c r="D781" s="17"/>
      <c r="E781" s="129" t="s">
        <v>648</v>
      </c>
      <c r="F781" s="74">
        <f t="shared" si="172"/>
        <v>66</v>
      </c>
      <c r="G781" s="74"/>
      <c r="H781" s="74">
        <f t="shared" si="172"/>
        <v>66</v>
      </c>
      <c r="I781" s="74">
        <f t="shared" si="172"/>
        <v>0</v>
      </c>
      <c r="J781" s="74"/>
      <c r="K781" s="74">
        <f t="shared" si="172"/>
        <v>0</v>
      </c>
      <c r="L781" s="74">
        <f t="shared" si="172"/>
        <v>0</v>
      </c>
      <c r="M781" s="74"/>
      <c r="N781" s="74">
        <f t="shared" si="172"/>
        <v>0</v>
      </c>
    </row>
    <row r="782" spans="1:14" x14ac:dyDescent="0.25">
      <c r="A782" s="156"/>
      <c r="B782" s="17"/>
      <c r="C782" s="109" t="s">
        <v>5</v>
      </c>
      <c r="D782" s="17"/>
      <c r="E782" s="129" t="s">
        <v>6</v>
      </c>
      <c r="F782" s="74">
        <f t="shared" si="172"/>
        <v>66</v>
      </c>
      <c r="G782" s="74"/>
      <c r="H782" s="74">
        <f t="shared" si="172"/>
        <v>66</v>
      </c>
      <c r="I782" s="74">
        <f t="shared" si="172"/>
        <v>0</v>
      </c>
      <c r="J782" s="74"/>
      <c r="K782" s="74">
        <f t="shared" si="172"/>
        <v>0</v>
      </c>
      <c r="L782" s="74">
        <f t="shared" si="172"/>
        <v>0</v>
      </c>
      <c r="M782" s="74"/>
      <c r="N782" s="74">
        <f t="shared" si="172"/>
        <v>0</v>
      </c>
    </row>
    <row r="783" spans="1:14" ht="25.5" x14ac:dyDescent="0.25">
      <c r="A783" s="111"/>
      <c r="B783" s="112"/>
      <c r="C783" s="113" t="s">
        <v>256</v>
      </c>
      <c r="D783" s="112"/>
      <c r="E783" s="114" t="s">
        <v>257</v>
      </c>
      <c r="F783" s="115">
        <f t="shared" si="172"/>
        <v>66</v>
      </c>
      <c r="G783" s="115"/>
      <c r="H783" s="115">
        <f t="shared" si="172"/>
        <v>66</v>
      </c>
      <c r="I783" s="115">
        <f t="shared" si="172"/>
        <v>0</v>
      </c>
      <c r="J783" s="115"/>
      <c r="K783" s="115">
        <f t="shared" si="172"/>
        <v>0</v>
      </c>
      <c r="L783" s="115">
        <f t="shared" si="172"/>
        <v>0</v>
      </c>
      <c r="M783" s="115"/>
      <c r="N783" s="115">
        <f t="shared" si="172"/>
        <v>0</v>
      </c>
    </row>
    <row r="784" spans="1:14" ht="26.25" x14ac:dyDescent="0.25">
      <c r="A784" s="33"/>
      <c r="B784" s="33"/>
      <c r="C784" s="33" t="s">
        <v>258</v>
      </c>
      <c r="D784" s="33"/>
      <c r="E784" s="34" t="s">
        <v>259</v>
      </c>
      <c r="F784" s="71">
        <f t="shared" si="172"/>
        <v>66</v>
      </c>
      <c r="G784" s="71"/>
      <c r="H784" s="71">
        <f t="shared" si="172"/>
        <v>66</v>
      </c>
      <c r="I784" s="71">
        <f t="shared" si="172"/>
        <v>0</v>
      </c>
      <c r="J784" s="71"/>
      <c r="K784" s="71">
        <f t="shared" si="172"/>
        <v>0</v>
      </c>
      <c r="L784" s="71">
        <f t="shared" si="172"/>
        <v>0</v>
      </c>
      <c r="M784" s="71"/>
      <c r="N784" s="71">
        <f t="shared" si="172"/>
        <v>0</v>
      </c>
    </row>
    <row r="785" spans="1:14" ht="39" x14ac:dyDescent="0.25">
      <c r="A785" s="98"/>
      <c r="B785" s="98"/>
      <c r="C785" s="6" t="s">
        <v>260</v>
      </c>
      <c r="D785" s="6"/>
      <c r="E785" s="3" t="s">
        <v>261</v>
      </c>
      <c r="F785" s="70">
        <f>F786</f>
        <v>66</v>
      </c>
      <c r="G785" s="70"/>
      <c r="H785" s="70">
        <f>H786</f>
        <v>66</v>
      </c>
      <c r="I785" s="70">
        <f t="shared" si="172"/>
        <v>0</v>
      </c>
      <c r="J785" s="70"/>
      <c r="K785" s="70">
        <f t="shared" si="172"/>
        <v>0</v>
      </c>
      <c r="L785" s="70">
        <f t="shared" si="172"/>
        <v>0</v>
      </c>
      <c r="M785" s="70"/>
      <c r="N785" s="70">
        <f t="shared" si="172"/>
        <v>0</v>
      </c>
    </row>
    <row r="786" spans="1:14" ht="26.25" x14ac:dyDescent="0.25">
      <c r="A786" s="98"/>
      <c r="B786" s="98"/>
      <c r="C786" s="6"/>
      <c r="D786" s="6" t="s">
        <v>471</v>
      </c>
      <c r="E786" s="3" t="s">
        <v>472</v>
      </c>
      <c r="F786" s="70">
        <v>66</v>
      </c>
      <c r="G786" s="70"/>
      <c r="H786" s="70">
        <v>66</v>
      </c>
      <c r="I786" s="70">
        <v>0</v>
      </c>
      <c r="J786" s="70"/>
      <c r="K786" s="70">
        <v>0</v>
      </c>
      <c r="L786" s="70">
        <v>0</v>
      </c>
      <c r="M786" s="70"/>
      <c r="N786" s="70">
        <v>0</v>
      </c>
    </row>
    <row r="787" spans="1:14" x14ac:dyDescent="0.25">
      <c r="A787" s="156"/>
      <c r="B787" s="17">
        <v>1200</v>
      </c>
      <c r="C787" s="109"/>
      <c r="D787" s="108"/>
      <c r="E787" s="102" t="s">
        <v>656</v>
      </c>
      <c r="F787" s="74">
        <f>F788</f>
        <v>1487.8</v>
      </c>
      <c r="G787" s="74"/>
      <c r="H787" s="74">
        <f>H788</f>
        <v>1487.8</v>
      </c>
      <c r="I787" s="74">
        <f>I788</f>
        <v>1487.8</v>
      </c>
      <c r="J787" s="74"/>
      <c r="K787" s="74">
        <f>K788</f>
        <v>1487.8</v>
      </c>
      <c r="L787" s="74">
        <f>L788</f>
        <v>1487.8</v>
      </c>
      <c r="M787" s="74"/>
      <c r="N787" s="74">
        <f>N788</f>
        <v>1487.8</v>
      </c>
    </row>
    <row r="788" spans="1:14" x14ac:dyDescent="0.25">
      <c r="A788" s="108"/>
      <c r="B788" s="17">
        <v>1202</v>
      </c>
      <c r="C788" s="109"/>
      <c r="D788" s="108"/>
      <c r="E788" s="102" t="s">
        <v>657</v>
      </c>
      <c r="F788" s="74">
        <f>F789</f>
        <v>1487.8</v>
      </c>
      <c r="G788" s="74"/>
      <c r="H788" s="74">
        <f>H789</f>
        <v>1487.8</v>
      </c>
      <c r="I788" s="74">
        <f t="shared" ref="I788:N790" si="173">I789</f>
        <v>1487.8</v>
      </c>
      <c r="J788" s="74"/>
      <c r="K788" s="74">
        <f t="shared" si="173"/>
        <v>1487.8</v>
      </c>
      <c r="L788" s="74">
        <f t="shared" si="173"/>
        <v>1487.8</v>
      </c>
      <c r="M788" s="74"/>
      <c r="N788" s="74">
        <f t="shared" si="173"/>
        <v>1487.8</v>
      </c>
    </row>
    <row r="789" spans="1:14" x14ac:dyDescent="0.25">
      <c r="A789" s="108"/>
      <c r="B789" s="17"/>
      <c r="C789" s="109" t="s">
        <v>5</v>
      </c>
      <c r="D789" s="108"/>
      <c r="E789" s="129" t="s">
        <v>6</v>
      </c>
      <c r="F789" s="74">
        <f>F790</f>
        <v>1487.8</v>
      </c>
      <c r="G789" s="74"/>
      <c r="H789" s="74">
        <f>H790</f>
        <v>1487.8</v>
      </c>
      <c r="I789" s="74">
        <f t="shared" si="173"/>
        <v>1487.8</v>
      </c>
      <c r="J789" s="74"/>
      <c r="K789" s="74">
        <f t="shared" si="173"/>
        <v>1487.8</v>
      </c>
      <c r="L789" s="74">
        <f t="shared" si="173"/>
        <v>1487.8</v>
      </c>
      <c r="M789" s="74"/>
      <c r="N789" s="74">
        <f t="shared" si="173"/>
        <v>1487.8</v>
      </c>
    </row>
    <row r="790" spans="1:14" ht="25.5" x14ac:dyDescent="0.25">
      <c r="A790" s="160"/>
      <c r="B790" s="112"/>
      <c r="C790" s="113" t="s">
        <v>211</v>
      </c>
      <c r="D790" s="112"/>
      <c r="E790" s="114" t="s">
        <v>212</v>
      </c>
      <c r="F790" s="115">
        <f>F791</f>
        <v>1487.8</v>
      </c>
      <c r="G790" s="115"/>
      <c r="H790" s="115">
        <f>H791</f>
        <v>1487.8</v>
      </c>
      <c r="I790" s="115">
        <f t="shared" si="173"/>
        <v>1487.8</v>
      </c>
      <c r="J790" s="115"/>
      <c r="K790" s="115">
        <f t="shared" si="173"/>
        <v>1487.8</v>
      </c>
      <c r="L790" s="115">
        <f t="shared" si="173"/>
        <v>1487.8</v>
      </c>
      <c r="M790" s="115"/>
      <c r="N790" s="115">
        <f t="shared" si="173"/>
        <v>1487.8</v>
      </c>
    </row>
    <row r="791" spans="1:14" x14ac:dyDescent="0.25">
      <c r="A791" s="31"/>
      <c r="B791" s="31"/>
      <c r="C791" s="31" t="s">
        <v>251</v>
      </c>
      <c r="D791" s="31"/>
      <c r="E791" s="32" t="s">
        <v>252</v>
      </c>
      <c r="F791" s="75">
        <f t="shared" ref="F791:N793" si="174">F792</f>
        <v>1487.8</v>
      </c>
      <c r="G791" s="75"/>
      <c r="H791" s="75">
        <f t="shared" si="174"/>
        <v>1487.8</v>
      </c>
      <c r="I791" s="75">
        <f t="shared" si="174"/>
        <v>1487.8</v>
      </c>
      <c r="J791" s="75"/>
      <c r="K791" s="75">
        <f t="shared" si="174"/>
        <v>1487.8</v>
      </c>
      <c r="L791" s="75">
        <f t="shared" si="174"/>
        <v>1487.8</v>
      </c>
      <c r="M791" s="75"/>
      <c r="N791" s="75">
        <f t="shared" si="174"/>
        <v>1487.8</v>
      </c>
    </row>
    <row r="792" spans="1:14" ht="39" x14ac:dyDescent="0.25">
      <c r="A792" s="33"/>
      <c r="B792" s="33"/>
      <c r="C792" s="33" t="s">
        <v>253</v>
      </c>
      <c r="D792" s="33"/>
      <c r="E792" s="34" t="s">
        <v>254</v>
      </c>
      <c r="F792" s="71">
        <f t="shared" si="174"/>
        <v>1487.8</v>
      </c>
      <c r="G792" s="71"/>
      <c r="H792" s="71">
        <f t="shared" si="174"/>
        <v>1487.8</v>
      </c>
      <c r="I792" s="71">
        <f t="shared" si="174"/>
        <v>1487.8</v>
      </c>
      <c r="J792" s="71"/>
      <c r="K792" s="71">
        <f t="shared" si="174"/>
        <v>1487.8</v>
      </c>
      <c r="L792" s="71">
        <f t="shared" si="174"/>
        <v>1487.8</v>
      </c>
      <c r="M792" s="71"/>
      <c r="N792" s="71">
        <f t="shared" si="174"/>
        <v>1487.8</v>
      </c>
    </row>
    <row r="793" spans="1:14" x14ac:dyDescent="0.25">
      <c r="A793" s="98"/>
      <c r="B793" s="98"/>
      <c r="C793" s="6" t="s">
        <v>255</v>
      </c>
      <c r="D793" s="6"/>
      <c r="E793" s="3" t="s">
        <v>478</v>
      </c>
      <c r="F793" s="70">
        <f>F794</f>
        <v>1487.8</v>
      </c>
      <c r="G793" s="70"/>
      <c r="H793" s="70">
        <f>H794</f>
        <v>1487.8</v>
      </c>
      <c r="I793" s="70">
        <f t="shared" si="174"/>
        <v>1487.8</v>
      </c>
      <c r="J793" s="70"/>
      <c r="K793" s="70">
        <f t="shared" si="174"/>
        <v>1487.8</v>
      </c>
      <c r="L793" s="70">
        <f t="shared" si="174"/>
        <v>1487.8</v>
      </c>
      <c r="M793" s="70"/>
      <c r="N793" s="70">
        <f t="shared" si="174"/>
        <v>1487.8</v>
      </c>
    </row>
    <row r="794" spans="1:14" ht="26.25" x14ac:dyDescent="0.25">
      <c r="A794" s="98"/>
      <c r="B794" s="98"/>
      <c r="C794" s="6"/>
      <c r="D794" s="6" t="s">
        <v>471</v>
      </c>
      <c r="E794" s="3" t="s">
        <v>472</v>
      </c>
      <c r="F794" s="70">
        <v>1487.8</v>
      </c>
      <c r="G794" s="70"/>
      <c r="H794" s="70">
        <v>1487.8</v>
      </c>
      <c r="I794" s="70">
        <v>1487.8</v>
      </c>
      <c r="J794" s="70"/>
      <c r="K794" s="70">
        <v>1487.8</v>
      </c>
      <c r="L794" s="70">
        <v>1487.8</v>
      </c>
      <c r="M794" s="70"/>
      <c r="N794" s="70">
        <v>1487.8</v>
      </c>
    </row>
    <row r="795" spans="1:14" x14ac:dyDescent="0.25">
      <c r="A795" s="106">
        <v>636</v>
      </c>
      <c r="B795" s="153"/>
      <c r="C795" s="154"/>
      <c r="D795" s="106"/>
      <c r="E795" s="107" t="s">
        <v>658</v>
      </c>
      <c r="F795" s="83">
        <f t="shared" ref="F795:N797" si="175">F796</f>
        <v>3059.7</v>
      </c>
      <c r="G795" s="83">
        <f t="shared" si="175"/>
        <v>0</v>
      </c>
      <c r="H795" s="83">
        <f t="shared" si="175"/>
        <v>3059.7</v>
      </c>
      <c r="I795" s="83">
        <f t="shared" si="175"/>
        <v>3121.3</v>
      </c>
      <c r="J795" s="83">
        <f t="shared" si="175"/>
        <v>0</v>
      </c>
      <c r="K795" s="83">
        <f t="shared" si="175"/>
        <v>3121.3</v>
      </c>
      <c r="L795" s="83">
        <f t="shared" si="175"/>
        <v>2787.3</v>
      </c>
      <c r="M795" s="83">
        <f t="shared" si="175"/>
        <v>0</v>
      </c>
      <c r="N795" s="83">
        <f t="shared" si="175"/>
        <v>2787.3</v>
      </c>
    </row>
    <row r="796" spans="1:14" x14ac:dyDescent="0.25">
      <c r="A796" s="68"/>
      <c r="B796" s="17" t="s">
        <v>565</v>
      </c>
      <c r="C796" s="109"/>
      <c r="D796" s="108"/>
      <c r="E796" s="102" t="s">
        <v>573</v>
      </c>
      <c r="F796" s="74">
        <f t="shared" si="175"/>
        <v>3059.7</v>
      </c>
      <c r="G796" s="74">
        <f t="shared" si="175"/>
        <v>0</v>
      </c>
      <c r="H796" s="74">
        <f t="shared" si="175"/>
        <v>3059.7</v>
      </c>
      <c r="I796" s="74">
        <f t="shared" si="175"/>
        <v>3121.3</v>
      </c>
      <c r="J796" s="74">
        <f t="shared" si="175"/>
        <v>0</v>
      </c>
      <c r="K796" s="74">
        <f t="shared" si="175"/>
        <v>3121.3</v>
      </c>
      <c r="L796" s="74">
        <f t="shared" si="175"/>
        <v>2787.3</v>
      </c>
      <c r="M796" s="74">
        <f t="shared" si="175"/>
        <v>0</v>
      </c>
      <c r="N796" s="74">
        <f t="shared" si="175"/>
        <v>2787.3</v>
      </c>
    </row>
    <row r="797" spans="1:14" ht="25.5" x14ac:dyDescent="0.25">
      <c r="A797" s="68"/>
      <c r="B797" s="17" t="s">
        <v>659</v>
      </c>
      <c r="C797" s="109"/>
      <c r="D797" s="17"/>
      <c r="E797" s="129" t="s">
        <v>660</v>
      </c>
      <c r="F797" s="74">
        <f t="shared" si="175"/>
        <v>3059.7</v>
      </c>
      <c r="G797" s="74">
        <f t="shared" si="175"/>
        <v>0</v>
      </c>
      <c r="H797" s="74">
        <f t="shared" si="175"/>
        <v>3059.7</v>
      </c>
      <c r="I797" s="74">
        <f t="shared" si="175"/>
        <v>3121.3</v>
      </c>
      <c r="J797" s="74">
        <f t="shared" si="175"/>
        <v>0</v>
      </c>
      <c r="K797" s="74">
        <f t="shared" si="175"/>
        <v>3121.3</v>
      </c>
      <c r="L797" s="74">
        <f t="shared" si="175"/>
        <v>2787.3</v>
      </c>
      <c r="M797" s="74">
        <f t="shared" si="175"/>
        <v>0</v>
      </c>
      <c r="N797" s="74">
        <f t="shared" si="175"/>
        <v>2787.3</v>
      </c>
    </row>
    <row r="798" spans="1:14" x14ac:dyDescent="0.25">
      <c r="A798" s="161"/>
      <c r="B798" s="162"/>
      <c r="C798" s="119" t="s">
        <v>575</v>
      </c>
      <c r="D798" s="120"/>
      <c r="E798" s="121" t="s">
        <v>576</v>
      </c>
      <c r="F798" s="141">
        <f t="shared" ref="F798:N798" si="176">F799+F805</f>
        <v>3059.7</v>
      </c>
      <c r="G798" s="141">
        <f t="shared" si="176"/>
        <v>0</v>
      </c>
      <c r="H798" s="141">
        <f t="shared" si="176"/>
        <v>3059.7</v>
      </c>
      <c r="I798" s="141">
        <f t="shared" si="176"/>
        <v>3121.3</v>
      </c>
      <c r="J798" s="141">
        <f t="shared" si="176"/>
        <v>0</v>
      </c>
      <c r="K798" s="141">
        <f t="shared" si="176"/>
        <v>3121.3</v>
      </c>
      <c r="L798" s="141">
        <f t="shared" si="176"/>
        <v>2787.3</v>
      </c>
      <c r="M798" s="141">
        <f t="shared" si="176"/>
        <v>0</v>
      </c>
      <c r="N798" s="141">
        <f t="shared" si="176"/>
        <v>2787.3</v>
      </c>
    </row>
    <row r="799" spans="1:14" s="39" customFormat="1" ht="26.25" x14ac:dyDescent="0.25">
      <c r="A799" s="150"/>
      <c r="B799" s="150"/>
      <c r="C799" s="144" t="s">
        <v>396</v>
      </c>
      <c r="D799" s="62"/>
      <c r="E799" s="63" t="s">
        <v>397</v>
      </c>
      <c r="F799" s="84">
        <f>F800+F802</f>
        <v>2909.7</v>
      </c>
      <c r="G799" s="84"/>
      <c r="H799" s="84">
        <f>H800+H802</f>
        <v>2909.7</v>
      </c>
      <c r="I799" s="84">
        <f>I800+I802</f>
        <v>2971.3</v>
      </c>
      <c r="J799" s="84"/>
      <c r="K799" s="84">
        <f>K800+K802</f>
        <v>2971.3</v>
      </c>
      <c r="L799" s="84">
        <f>L800+L802</f>
        <v>2737.3</v>
      </c>
      <c r="M799" s="84"/>
      <c r="N799" s="84">
        <f>N800+N802</f>
        <v>2737.3</v>
      </c>
    </row>
    <row r="800" spans="1:14" ht="26.25" x14ac:dyDescent="0.25">
      <c r="A800" s="98"/>
      <c r="B800" s="98"/>
      <c r="C800" s="6" t="s">
        <v>398</v>
      </c>
      <c r="D800" s="6"/>
      <c r="E800" s="3" t="s">
        <v>487</v>
      </c>
      <c r="F800" s="70">
        <v>1164</v>
      </c>
      <c r="G800" s="70"/>
      <c r="H800" s="70">
        <v>1164</v>
      </c>
      <c r="I800" s="70">
        <v>1164</v>
      </c>
      <c r="J800" s="70"/>
      <c r="K800" s="70">
        <v>1164</v>
      </c>
      <c r="L800" s="70">
        <f>L801</f>
        <v>939.8</v>
      </c>
      <c r="M800" s="70"/>
      <c r="N800" s="70">
        <f>N801</f>
        <v>939.8</v>
      </c>
    </row>
    <row r="801" spans="1:14" ht="39" x14ac:dyDescent="0.25">
      <c r="A801" s="98"/>
      <c r="B801" s="98"/>
      <c r="C801" s="6"/>
      <c r="D801" s="6" t="s">
        <v>399</v>
      </c>
      <c r="E801" s="3" t="s">
        <v>400</v>
      </c>
      <c r="F801" s="80">
        <v>1164</v>
      </c>
      <c r="G801" s="80"/>
      <c r="H801" s="80">
        <v>1164</v>
      </c>
      <c r="I801" s="80">
        <v>1164</v>
      </c>
      <c r="J801" s="80"/>
      <c r="K801" s="80">
        <v>1164</v>
      </c>
      <c r="L801" s="80">
        <f>1164-224.2</f>
        <v>939.8</v>
      </c>
      <c r="M801" s="80"/>
      <c r="N801" s="80">
        <f>1164-224.2</f>
        <v>939.8</v>
      </c>
    </row>
    <row r="802" spans="1:14" ht="26.25" x14ac:dyDescent="0.25">
      <c r="A802" s="98"/>
      <c r="B802" s="98"/>
      <c r="C802" s="6" t="s">
        <v>401</v>
      </c>
      <c r="D802" s="6"/>
      <c r="E802" s="54" t="s">
        <v>791</v>
      </c>
      <c r="F802" s="80">
        <f>F803+F804</f>
        <v>1745.7</v>
      </c>
      <c r="G802" s="80"/>
      <c r="H802" s="80">
        <f>H803+H804</f>
        <v>1745.7</v>
      </c>
      <c r="I802" s="80">
        <f>I803+I804</f>
        <v>1807.3</v>
      </c>
      <c r="J802" s="80"/>
      <c r="K802" s="80">
        <f>K803+K804</f>
        <v>1807.3</v>
      </c>
      <c r="L802" s="80">
        <f>L803+L804</f>
        <v>1797.5</v>
      </c>
      <c r="M802" s="80"/>
      <c r="N802" s="80">
        <f>N803+N804</f>
        <v>1797.5</v>
      </c>
    </row>
    <row r="803" spans="1:14" ht="39" x14ac:dyDescent="0.25">
      <c r="A803" s="98"/>
      <c r="B803" s="98"/>
      <c r="C803" s="6"/>
      <c r="D803" s="6" t="s">
        <v>399</v>
      </c>
      <c r="E803" s="3" t="s">
        <v>400</v>
      </c>
      <c r="F803" s="80">
        <v>1695</v>
      </c>
      <c r="G803" s="80"/>
      <c r="H803" s="80">
        <v>1695</v>
      </c>
      <c r="I803" s="80">
        <v>1756.6</v>
      </c>
      <c r="J803" s="80"/>
      <c r="K803" s="80">
        <v>1756.6</v>
      </c>
      <c r="L803" s="80">
        <v>1756.6</v>
      </c>
      <c r="M803" s="80"/>
      <c r="N803" s="80">
        <v>1756.6</v>
      </c>
    </row>
    <row r="804" spans="1:14" x14ac:dyDescent="0.25">
      <c r="A804" s="98"/>
      <c r="B804" s="98"/>
      <c r="C804" s="6"/>
      <c r="D804" s="6" t="s">
        <v>281</v>
      </c>
      <c r="E804" s="3" t="s">
        <v>282</v>
      </c>
      <c r="F804" s="70">
        <v>50.7</v>
      </c>
      <c r="G804" s="70"/>
      <c r="H804" s="70">
        <v>50.7</v>
      </c>
      <c r="I804" s="70">
        <v>50.7</v>
      </c>
      <c r="J804" s="70"/>
      <c r="K804" s="70">
        <v>50.7</v>
      </c>
      <c r="L804" s="70">
        <f>50.7-9.8</f>
        <v>40.900000000000006</v>
      </c>
      <c r="M804" s="70"/>
      <c r="N804" s="70">
        <f>50.7-9.8</f>
        <v>40.900000000000006</v>
      </c>
    </row>
    <row r="805" spans="1:14" ht="25.5" x14ac:dyDescent="0.25">
      <c r="A805" s="150"/>
      <c r="B805" s="150"/>
      <c r="C805" s="144" t="s">
        <v>402</v>
      </c>
      <c r="D805" s="145"/>
      <c r="E805" s="163" t="s">
        <v>577</v>
      </c>
      <c r="F805" s="84">
        <f t="shared" ref="F805:N806" si="177">F806</f>
        <v>150</v>
      </c>
      <c r="G805" s="84">
        <f t="shared" si="177"/>
        <v>0</v>
      </c>
      <c r="H805" s="84">
        <f t="shared" si="177"/>
        <v>150</v>
      </c>
      <c r="I805" s="84">
        <f t="shared" si="177"/>
        <v>150</v>
      </c>
      <c r="J805" s="84">
        <f t="shared" si="177"/>
        <v>0</v>
      </c>
      <c r="K805" s="84">
        <f t="shared" si="177"/>
        <v>150</v>
      </c>
      <c r="L805" s="84">
        <f t="shared" si="177"/>
        <v>50</v>
      </c>
      <c r="M805" s="84">
        <f t="shared" si="177"/>
        <v>0</v>
      </c>
      <c r="N805" s="84">
        <f t="shared" si="177"/>
        <v>50</v>
      </c>
    </row>
    <row r="806" spans="1:14" ht="26.25" x14ac:dyDescent="0.25">
      <c r="A806" s="98"/>
      <c r="B806" s="98"/>
      <c r="C806" s="6" t="s">
        <v>426</v>
      </c>
      <c r="D806" s="6"/>
      <c r="E806" s="3" t="s">
        <v>427</v>
      </c>
      <c r="F806" s="70">
        <f t="shared" si="177"/>
        <v>150</v>
      </c>
      <c r="G806" s="70">
        <f>G807</f>
        <v>0</v>
      </c>
      <c r="H806" s="70">
        <f t="shared" si="177"/>
        <v>150</v>
      </c>
      <c r="I806" s="70">
        <f t="shared" si="177"/>
        <v>150</v>
      </c>
      <c r="J806" s="70">
        <f>J807</f>
        <v>0</v>
      </c>
      <c r="K806" s="70">
        <f t="shared" si="177"/>
        <v>150</v>
      </c>
      <c r="L806" s="70">
        <f t="shared" si="177"/>
        <v>50</v>
      </c>
      <c r="M806" s="70">
        <f>M807</f>
        <v>0</v>
      </c>
      <c r="N806" s="70">
        <f t="shared" si="177"/>
        <v>50</v>
      </c>
    </row>
    <row r="807" spans="1:14" x14ac:dyDescent="0.25">
      <c r="A807" s="98"/>
      <c r="B807" s="98"/>
      <c r="C807" s="6"/>
      <c r="D807" s="6" t="s">
        <v>281</v>
      </c>
      <c r="E807" s="3" t="s">
        <v>282</v>
      </c>
      <c r="F807" s="70">
        <v>150</v>
      </c>
      <c r="G807" s="70"/>
      <c r="H807" s="70">
        <v>150</v>
      </c>
      <c r="I807" s="70">
        <v>150</v>
      </c>
      <c r="J807" s="70"/>
      <c r="K807" s="70">
        <v>150</v>
      </c>
      <c r="L807" s="70">
        <v>50</v>
      </c>
      <c r="M807" s="70"/>
      <c r="N807" s="70">
        <v>50</v>
      </c>
    </row>
    <row r="808" spans="1:14" ht="25.5" x14ac:dyDescent="0.25">
      <c r="A808" s="106">
        <v>651</v>
      </c>
      <c r="B808" s="153"/>
      <c r="C808" s="154"/>
      <c r="D808" s="106"/>
      <c r="E808" s="107" t="s">
        <v>661</v>
      </c>
      <c r="F808" s="83">
        <f t="shared" ref="F808:N808" si="178">F809</f>
        <v>33615.119299999998</v>
      </c>
      <c r="G808" s="83">
        <f t="shared" si="178"/>
        <v>0</v>
      </c>
      <c r="H808" s="83">
        <f t="shared" si="178"/>
        <v>33615.119299999998</v>
      </c>
      <c r="I808" s="83">
        <f t="shared" si="178"/>
        <v>33738.457699999999</v>
      </c>
      <c r="J808" s="83">
        <f t="shared" si="178"/>
        <v>0</v>
      </c>
      <c r="K808" s="83">
        <f t="shared" si="178"/>
        <v>33738.457699999999</v>
      </c>
      <c r="L808" s="83">
        <f t="shared" si="178"/>
        <v>33496.817300000002</v>
      </c>
      <c r="M808" s="83">
        <f t="shared" si="178"/>
        <v>0</v>
      </c>
      <c r="N808" s="83">
        <f t="shared" si="178"/>
        <v>33496.817300000002</v>
      </c>
    </row>
    <row r="809" spans="1:14" x14ac:dyDescent="0.25">
      <c r="A809" s="68"/>
      <c r="B809" s="17" t="s">
        <v>565</v>
      </c>
      <c r="C809" s="109"/>
      <c r="D809" s="108"/>
      <c r="E809" s="102" t="s">
        <v>573</v>
      </c>
      <c r="F809" s="74">
        <f t="shared" ref="F809:N809" si="179">F810+F818+F823</f>
        <v>33615.119299999998</v>
      </c>
      <c r="G809" s="74">
        <f t="shared" si="179"/>
        <v>0</v>
      </c>
      <c r="H809" s="74">
        <f t="shared" si="179"/>
        <v>33615.119299999998</v>
      </c>
      <c r="I809" s="74">
        <f t="shared" si="179"/>
        <v>33738.457699999999</v>
      </c>
      <c r="J809" s="74">
        <f t="shared" si="179"/>
        <v>0</v>
      </c>
      <c r="K809" s="74">
        <f t="shared" si="179"/>
        <v>33738.457699999999</v>
      </c>
      <c r="L809" s="74">
        <f t="shared" si="179"/>
        <v>33496.817300000002</v>
      </c>
      <c r="M809" s="74">
        <f t="shared" si="179"/>
        <v>0</v>
      </c>
      <c r="N809" s="74">
        <f t="shared" si="179"/>
        <v>33496.817300000002</v>
      </c>
    </row>
    <row r="810" spans="1:14" ht="25.5" x14ac:dyDescent="0.25">
      <c r="A810" s="68"/>
      <c r="B810" s="17" t="s">
        <v>662</v>
      </c>
      <c r="C810" s="109"/>
      <c r="D810" s="108"/>
      <c r="E810" s="102" t="s">
        <v>663</v>
      </c>
      <c r="F810" s="74">
        <f t="shared" ref="F810:N810" si="180">F811</f>
        <v>7771.1</v>
      </c>
      <c r="G810" s="74">
        <f t="shared" si="180"/>
        <v>0</v>
      </c>
      <c r="H810" s="74">
        <f t="shared" si="180"/>
        <v>7771.1</v>
      </c>
      <c r="I810" s="74">
        <f t="shared" si="180"/>
        <v>7896.6</v>
      </c>
      <c r="J810" s="74">
        <f t="shared" si="180"/>
        <v>0</v>
      </c>
      <c r="K810" s="74">
        <f t="shared" si="180"/>
        <v>7896.6</v>
      </c>
      <c r="L810" s="74">
        <f t="shared" si="180"/>
        <v>7848.3</v>
      </c>
      <c r="M810" s="74">
        <f t="shared" si="180"/>
        <v>0</v>
      </c>
      <c r="N810" s="74">
        <f t="shared" si="180"/>
        <v>7848.3</v>
      </c>
    </row>
    <row r="811" spans="1:14" x14ac:dyDescent="0.25">
      <c r="A811" s="68"/>
      <c r="B811" s="17"/>
      <c r="C811" s="109" t="s">
        <v>5</v>
      </c>
      <c r="D811" s="108"/>
      <c r="E811" s="102" t="s">
        <v>6</v>
      </c>
      <c r="F811" s="74">
        <f t="shared" ref="F811:N811" si="181">F813</f>
        <v>7771.1</v>
      </c>
      <c r="G811" s="74">
        <f t="shared" si="181"/>
        <v>0</v>
      </c>
      <c r="H811" s="74">
        <f t="shared" si="181"/>
        <v>7771.1</v>
      </c>
      <c r="I811" s="74">
        <f t="shared" si="181"/>
        <v>7896.6</v>
      </c>
      <c r="J811" s="74">
        <f t="shared" si="181"/>
        <v>0</v>
      </c>
      <c r="K811" s="74">
        <f t="shared" si="181"/>
        <v>7896.6</v>
      </c>
      <c r="L811" s="74">
        <f t="shared" si="181"/>
        <v>7848.3</v>
      </c>
      <c r="M811" s="74">
        <f t="shared" si="181"/>
        <v>0</v>
      </c>
      <c r="N811" s="74">
        <f t="shared" si="181"/>
        <v>7848.3</v>
      </c>
    </row>
    <row r="812" spans="1:14" ht="25.5" x14ac:dyDescent="0.25">
      <c r="A812" s="160"/>
      <c r="B812" s="112"/>
      <c r="C812" s="113" t="s">
        <v>7</v>
      </c>
      <c r="D812" s="112"/>
      <c r="E812" s="114" t="s">
        <v>526</v>
      </c>
      <c r="F812" s="115">
        <f t="shared" ref="F812:J814" si="182">F813</f>
        <v>7771.1</v>
      </c>
      <c r="G812" s="115">
        <f t="shared" si="182"/>
        <v>0</v>
      </c>
      <c r="H812" s="115">
        <f t="shared" si="182"/>
        <v>7771.1</v>
      </c>
      <c r="I812" s="115">
        <f t="shared" ref="I812:N814" si="183">I813</f>
        <v>7896.6</v>
      </c>
      <c r="J812" s="115">
        <f t="shared" si="182"/>
        <v>0</v>
      </c>
      <c r="K812" s="115">
        <f t="shared" si="183"/>
        <v>7896.6</v>
      </c>
      <c r="L812" s="115">
        <f t="shared" si="183"/>
        <v>7848.3</v>
      </c>
      <c r="M812" s="115">
        <f t="shared" si="183"/>
        <v>0</v>
      </c>
      <c r="N812" s="115">
        <f t="shared" si="183"/>
        <v>7848.3</v>
      </c>
    </row>
    <row r="813" spans="1:14" ht="26.25" x14ac:dyDescent="0.25">
      <c r="A813" s="31"/>
      <c r="B813" s="31"/>
      <c r="C813" s="31" t="s">
        <v>20</v>
      </c>
      <c r="D813" s="31"/>
      <c r="E813" s="35" t="s">
        <v>21</v>
      </c>
      <c r="F813" s="75">
        <f t="shared" si="182"/>
        <v>7771.1</v>
      </c>
      <c r="G813" s="75">
        <f t="shared" si="182"/>
        <v>0</v>
      </c>
      <c r="H813" s="75">
        <f t="shared" si="182"/>
        <v>7771.1</v>
      </c>
      <c r="I813" s="75">
        <f t="shared" si="183"/>
        <v>7896.6</v>
      </c>
      <c r="J813" s="75">
        <f t="shared" si="182"/>
        <v>0</v>
      </c>
      <c r="K813" s="75">
        <f t="shared" si="183"/>
        <v>7896.6</v>
      </c>
      <c r="L813" s="75">
        <f t="shared" si="183"/>
        <v>7848.3</v>
      </c>
      <c r="M813" s="75">
        <f t="shared" si="183"/>
        <v>0</v>
      </c>
      <c r="N813" s="75">
        <f t="shared" si="183"/>
        <v>7848.3</v>
      </c>
    </row>
    <row r="814" spans="1:14" ht="39" x14ac:dyDescent="0.25">
      <c r="A814" s="33"/>
      <c r="B814" s="33"/>
      <c r="C814" s="33" t="s">
        <v>22</v>
      </c>
      <c r="D814" s="33"/>
      <c r="E814" s="34" t="s">
        <v>23</v>
      </c>
      <c r="F814" s="71">
        <f t="shared" si="182"/>
        <v>7771.1</v>
      </c>
      <c r="G814" s="71">
        <f t="shared" si="182"/>
        <v>0</v>
      </c>
      <c r="H814" s="71">
        <f t="shared" si="182"/>
        <v>7771.1</v>
      </c>
      <c r="I814" s="71">
        <f t="shared" si="183"/>
        <v>7896.6</v>
      </c>
      <c r="J814" s="71">
        <f t="shared" si="182"/>
        <v>0</v>
      </c>
      <c r="K814" s="71">
        <f t="shared" si="183"/>
        <v>7896.6</v>
      </c>
      <c r="L814" s="71">
        <f t="shared" si="183"/>
        <v>7848.3</v>
      </c>
      <c r="M814" s="71">
        <f t="shared" si="183"/>
        <v>0</v>
      </c>
      <c r="N814" s="71">
        <f t="shared" si="183"/>
        <v>7848.3</v>
      </c>
    </row>
    <row r="815" spans="1:14" ht="25.5" x14ac:dyDescent="0.25">
      <c r="A815" s="98"/>
      <c r="B815" s="98"/>
      <c r="C815" s="6" t="s">
        <v>26</v>
      </c>
      <c r="D815" s="6"/>
      <c r="E815" s="1" t="s">
        <v>27</v>
      </c>
      <c r="F815" s="70">
        <f t="shared" ref="F815:N815" si="184">F816+F817</f>
        <v>7771.1</v>
      </c>
      <c r="G815" s="70">
        <f t="shared" si="184"/>
        <v>0</v>
      </c>
      <c r="H815" s="70">
        <f t="shared" si="184"/>
        <v>7771.1</v>
      </c>
      <c r="I815" s="70">
        <f t="shared" si="184"/>
        <v>7896.6</v>
      </c>
      <c r="J815" s="70">
        <f t="shared" si="184"/>
        <v>0</v>
      </c>
      <c r="K815" s="70">
        <f t="shared" si="184"/>
        <v>7896.6</v>
      </c>
      <c r="L815" s="70">
        <f t="shared" si="184"/>
        <v>7848.3</v>
      </c>
      <c r="M815" s="70">
        <f t="shared" si="184"/>
        <v>0</v>
      </c>
      <c r="N815" s="70">
        <f t="shared" si="184"/>
        <v>7848.3</v>
      </c>
    </row>
    <row r="816" spans="1:14" ht="39" x14ac:dyDescent="0.25">
      <c r="A816" s="98"/>
      <c r="B816" s="98"/>
      <c r="C816" s="6"/>
      <c r="D816" s="6" t="s">
        <v>399</v>
      </c>
      <c r="E816" s="3" t="s">
        <v>400</v>
      </c>
      <c r="F816" s="70">
        <v>7240.9000000000005</v>
      </c>
      <c r="G816" s="70"/>
      <c r="H816" s="70">
        <f>SUM(F816:G816)</f>
        <v>7240.9000000000005</v>
      </c>
      <c r="I816" s="70">
        <v>7372.8</v>
      </c>
      <c r="J816" s="70"/>
      <c r="K816" s="70">
        <f>SUM(I816:J816)</f>
        <v>7372.8</v>
      </c>
      <c r="L816" s="70">
        <v>7372.8</v>
      </c>
      <c r="M816" s="70"/>
      <c r="N816" s="70">
        <f>SUM(L816:M816)</f>
        <v>7372.8</v>
      </c>
    </row>
    <row r="817" spans="1:14" x14ac:dyDescent="0.25">
      <c r="A817" s="98"/>
      <c r="B817" s="98"/>
      <c r="C817" s="6"/>
      <c r="D817" s="6" t="s">
        <v>281</v>
      </c>
      <c r="E817" s="3" t="s">
        <v>282</v>
      </c>
      <c r="F817" s="70">
        <v>530.19999999999993</v>
      </c>
      <c r="G817" s="70"/>
      <c r="H817" s="70">
        <f>SUM(F817:G817)</f>
        <v>530.19999999999993</v>
      </c>
      <c r="I817" s="70">
        <v>523.79999999999995</v>
      </c>
      <c r="J817" s="70"/>
      <c r="K817" s="70">
        <f>SUM(I817:J817)</f>
        <v>523.79999999999995</v>
      </c>
      <c r="L817" s="70">
        <v>475.49999999999989</v>
      </c>
      <c r="M817" s="70"/>
      <c r="N817" s="70">
        <f>SUM(L817:M817)</f>
        <v>475.49999999999989</v>
      </c>
    </row>
    <row r="818" spans="1:14" x14ac:dyDescent="0.25">
      <c r="A818" s="98"/>
      <c r="B818" s="17" t="s">
        <v>664</v>
      </c>
      <c r="C818" s="109"/>
      <c r="D818" s="17"/>
      <c r="E818" s="129" t="s">
        <v>665</v>
      </c>
      <c r="F818" s="74">
        <f t="shared" ref="F818:N821" si="185">F819</f>
        <v>1270</v>
      </c>
      <c r="G818" s="74">
        <f t="shared" si="185"/>
        <v>0</v>
      </c>
      <c r="H818" s="74">
        <f t="shared" si="185"/>
        <v>1270</v>
      </c>
      <c r="I818" s="74">
        <f t="shared" si="185"/>
        <v>1183.4000000000001</v>
      </c>
      <c r="J818" s="74"/>
      <c r="K818" s="74">
        <f t="shared" si="185"/>
        <v>1183.4000000000001</v>
      </c>
      <c r="L818" s="74">
        <f t="shared" si="185"/>
        <v>1183.4000000000001</v>
      </c>
      <c r="M818" s="74"/>
      <c r="N818" s="74">
        <f t="shared" si="185"/>
        <v>1183.4000000000001</v>
      </c>
    </row>
    <row r="819" spans="1:14" s="39" customFormat="1" x14ac:dyDescent="0.25">
      <c r="A819" s="148"/>
      <c r="B819" s="148"/>
      <c r="C819" s="139" t="s">
        <v>394</v>
      </c>
      <c r="D819" s="139"/>
      <c r="E819" s="140" t="s">
        <v>395</v>
      </c>
      <c r="F819" s="141">
        <f t="shared" si="185"/>
        <v>1270</v>
      </c>
      <c r="G819" s="141">
        <f t="shared" si="185"/>
        <v>0</v>
      </c>
      <c r="H819" s="141">
        <f t="shared" si="185"/>
        <v>1270</v>
      </c>
      <c r="I819" s="141">
        <f t="shared" si="185"/>
        <v>1183.4000000000001</v>
      </c>
      <c r="J819" s="141"/>
      <c r="K819" s="141">
        <f t="shared" si="185"/>
        <v>1183.4000000000001</v>
      </c>
      <c r="L819" s="141">
        <f t="shared" si="185"/>
        <v>1183.4000000000001</v>
      </c>
      <c r="M819" s="141"/>
      <c r="N819" s="141">
        <f t="shared" si="185"/>
        <v>1183.4000000000001</v>
      </c>
    </row>
    <row r="820" spans="1:14" s="39" customFormat="1" ht="26.25" x14ac:dyDescent="0.25">
      <c r="A820" s="150"/>
      <c r="B820" s="150"/>
      <c r="C820" s="61" t="s">
        <v>402</v>
      </c>
      <c r="D820" s="61"/>
      <c r="E820" s="63" t="s">
        <v>403</v>
      </c>
      <c r="F820" s="84">
        <f t="shared" si="185"/>
        <v>1270</v>
      </c>
      <c r="G820" s="84">
        <f t="shared" si="185"/>
        <v>0</v>
      </c>
      <c r="H820" s="84">
        <f t="shared" si="185"/>
        <v>1270</v>
      </c>
      <c r="I820" s="84">
        <f t="shared" si="185"/>
        <v>1183.4000000000001</v>
      </c>
      <c r="J820" s="84"/>
      <c r="K820" s="84">
        <f t="shared" si="185"/>
        <v>1183.4000000000001</v>
      </c>
      <c r="L820" s="84">
        <f t="shared" si="185"/>
        <v>1183.4000000000001</v>
      </c>
      <c r="M820" s="84"/>
      <c r="N820" s="84">
        <f t="shared" si="185"/>
        <v>1183.4000000000001</v>
      </c>
    </row>
    <row r="821" spans="1:14" x14ac:dyDescent="0.25">
      <c r="A821" s="98"/>
      <c r="B821" s="98"/>
      <c r="C821" s="6" t="s">
        <v>422</v>
      </c>
      <c r="D821" s="6"/>
      <c r="E821" s="3" t="s">
        <v>423</v>
      </c>
      <c r="F821" s="70">
        <f t="shared" si="185"/>
        <v>1270</v>
      </c>
      <c r="G821" s="70">
        <f t="shared" si="185"/>
        <v>0</v>
      </c>
      <c r="H821" s="70">
        <f t="shared" si="185"/>
        <v>1270</v>
      </c>
      <c r="I821" s="70">
        <f>I822</f>
        <v>1183.4000000000001</v>
      </c>
      <c r="J821" s="70"/>
      <c r="K821" s="70">
        <f>K822</f>
        <v>1183.4000000000001</v>
      </c>
      <c r="L821" s="70">
        <f>L822</f>
        <v>1183.4000000000001</v>
      </c>
      <c r="M821" s="70"/>
      <c r="N821" s="70">
        <f>N822</f>
        <v>1183.4000000000001</v>
      </c>
    </row>
    <row r="822" spans="1:14" x14ac:dyDescent="0.25">
      <c r="A822" s="98"/>
      <c r="B822" s="98"/>
      <c r="C822" s="6"/>
      <c r="D822" s="6" t="s">
        <v>406</v>
      </c>
      <c r="E822" s="3" t="s">
        <v>407</v>
      </c>
      <c r="F822" s="70">
        <v>1270</v>
      </c>
      <c r="G822" s="70"/>
      <c r="H822" s="70">
        <v>1270</v>
      </c>
      <c r="I822" s="70">
        <v>1183.4000000000001</v>
      </c>
      <c r="J822" s="70"/>
      <c r="K822" s="70">
        <v>1183.4000000000001</v>
      </c>
      <c r="L822" s="70">
        <v>1183.4000000000001</v>
      </c>
      <c r="M822" s="70"/>
      <c r="N822" s="70">
        <v>1183.4000000000001</v>
      </c>
    </row>
    <row r="823" spans="1:14" x14ac:dyDescent="0.25">
      <c r="A823" s="108"/>
      <c r="B823" s="17" t="s">
        <v>570</v>
      </c>
      <c r="C823" s="109"/>
      <c r="D823" s="108"/>
      <c r="E823" s="102" t="s">
        <v>581</v>
      </c>
      <c r="F823" s="130">
        <f t="shared" ref="F823:N823" si="186">F824+F858</f>
        <v>24574.0193</v>
      </c>
      <c r="G823" s="130">
        <f t="shared" si="186"/>
        <v>0</v>
      </c>
      <c r="H823" s="130">
        <f t="shared" si="186"/>
        <v>24574.0193</v>
      </c>
      <c r="I823" s="130">
        <f t="shared" si="186"/>
        <v>24658.457700000003</v>
      </c>
      <c r="J823" s="130">
        <f t="shared" si="186"/>
        <v>0</v>
      </c>
      <c r="K823" s="130">
        <f t="shared" si="186"/>
        <v>24658.457700000003</v>
      </c>
      <c r="L823" s="130">
        <f t="shared" si="186"/>
        <v>24465.117300000002</v>
      </c>
      <c r="M823" s="130">
        <f t="shared" si="186"/>
        <v>0</v>
      </c>
      <c r="N823" s="130">
        <f t="shared" si="186"/>
        <v>24465.117300000002</v>
      </c>
    </row>
    <row r="824" spans="1:14" x14ac:dyDescent="0.25">
      <c r="A824" s="139"/>
      <c r="B824" s="139"/>
      <c r="C824" s="139" t="s">
        <v>394</v>
      </c>
      <c r="D824" s="139"/>
      <c r="E824" s="140" t="s">
        <v>395</v>
      </c>
      <c r="F824" s="141">
        <f t="shared" ref="F824:N824" si="187">F825</f>
        <v>24574.0193</v>
      </c>
      <c r="G824" s="141">
        <f t="shared" si="187"/>
        <v>0</v>
      </c>
      <c r="H824" s="141">
        <f t="shared" si="187"/>
        <v>24574.0193</v>
      </c>
      <c r="I824" s="141">
        <f t="shared" si="187"/>
        <v>24658.457700000003</v>
      </c>
      <c r="J824" s="141">
        <f t="shared" si="187"/>
        <v>0</v>
      </c>
      <c r="K824" s="141">
        <f t="shared" si="187"/>
        <v>24658.457700000003</v>
      </c>
      <c r="L824" s="141">
        <f t="shared" si="187"/>
        <v>24465.117300000002</v>
      </c>
      <c r="M824" s="141">
        <f t="shared" si="187"/>
        <v>0</v>
      </c>
      <c r="N824" s="141">
        <f t="shared" si="187"/>
        <v>24465.117300000002</v>
      </c>
    </row>
    <row r="825" spans="1:14" ht="26.25" x14ac:dyDescent="0.25">
      <c r="A825" s="61"/>
      <c r="B825" s="61"/>
      <c r="C825" s="61" t="s">
        <v>402</v>
      </c>
      <c r="D825" s="61"/>
      <c r="E825" s="63" t="s">
        <v>403</v>
      </c>
      <c r="F825" s="84">
        <f>F826+F829+F831+F833+F835</f>
        <v>24574.0193</v>
      </c>
      <c r="G825" s="84">
        <f t="shared" ref="G825:N825" si="188">G826+G829+G831+G833+G835</f>
        <v>0</v>
      </c>
      <c r="H825" s="84">
        <f t="shared" si="188"/>
        <v>24574.0193</v>
      </c>
      <c r="I825" s="84">
        <f t="shared" si="188"/>
        <v>24658.457700000003</v>
      </c>
      <c r="J825" s="84">
        <f t="shared" si="188"/>
        <v>0</v>
      </c>
      <c r="K825" s="84">
        <f t="shared" si="188"/>
        <v>24658.457700000003</v>
      </c>
      <c r="L825" s="84">
        <f t="shared" si="188"/>
        <v>24465.117300000002</v>
      </c>
      <c r="M825" s="84">
        <f t="shared" si="188"/>
        <v>0</v>
      </c>
      <c r="N825" s="84">
        <f t="shared" si="188"/>
        <v>24465.117300000002</v>
      </c>
    </row>
    <row r="826" spans="1:14" ht="26.25" x14ac:dyDescent="0.25">
      <c r="A826" s="98"/>
      <c r="B826" s="98"/>
      <c r="C826" s="6" t="s">
        <v>408</v>
      </c>
      <c r="D826" s="6"/>
      <c r="E826" s="54" t="s">
        <v>792</v>
      </c>
      <c r="F826" s="70">
        <f>F827+F828</f>
        <v>18237.900000000001</v>
      </c>
      <c r="G826" s="70">
        <f>G827</f>
        <v>0</v>
      </c>
      <c r="H826" s="70">
        <f>H827+H828</f>
        <v>18237.900000000001</v>
      </c>
      <c r="I826" s="70">
        <f>I827+I828</f>
        <v>18453.300000000003</v>
      </c>
      <c r="J826" s="70">
        <f>J827</f>
        <v>0</v>
      </c>
      <c r="K826" s="70">
        <f>K827+K828</f>
        <v>18453.300000000003</v>
      </c>
      <c r="L826" s="70">
        <f>L827+L828</f>
        <v>18453.300000000003</v>
      </c>
      <c r="M826" s="70">
        <f>M827</f>
        <v>0</v>
      </c>
      <c r="N826" s="70">
        <f>N827+N828</f>
        <v>18453.300000000003</v>
      </c>
    </row>
    <row r="827" spans="1:14" ht="39" x14ac:dyDescent="0.25">
      <c r="A827" s="98"/>
      <c r="B827" s="98"/>
      <c r="C827" s="6"/>
      <c r="D827" s="6" t="s">
        <v>399</v>
      </c>
      <c r="E827" s="3" t="s">
        <v>400</v>
      </c>
      <c r="F827" s="85">
        <v>17271.5</v>
      </c>
      <c r="G827" s="85"/>
      <c r="H827" s="85">
        <v>17271.5</v>
      </c>
      <c r="I827" s="85">
        <v>17486.900000000001</v>
      </c>
      <c r="J827" s="85"/>
      <c r="K827" s="85">
        <f>18235-748.1</f>
        <v>17486.900000000001</v>
      </c>
      <c r="L827" s="85">
        <v>17486.900000000001</v>
      </c>
      <c r="M827" s="85"/>
      <c r="N827" s="85">
        <f>18235-748.1</f>
        <v>17486.900000000001</v>
      </c>
    </row>
    <row r="828" spans="1:14" x14ac:dyDescent="0.25">
      <c r="A828" s="98"/>
      <c r="B828" s="98"/>
      <c r="C828" s="6"/>
      <c r="D828" s="6" t="s">
        <v>281</v>
      </c>
      <c r="E828" s="3" t="s">
        <v>282</v>
      </c>
      <c r="F828" s="70">
        <f>986.1-19.7</f>
        <v>966.4</v>
      </c>
      <c r="G828" s="70"/>
      <c r="H828" s="70">
        <f>986.1-19.7</f>
        <v>966.4</v>
      </c>
      <c r="I828" s="70">
        <f t="shared" ref="I828:N828" si="189">986.1-19.7</f>
        <v>966.4</v>
      </c>
      <c r="J828" s="70"/>
      <c r="K828" s="70">
        <f t="shared" si="189"/>
        <v>966.4</v>
      </c>
      <c r="L828" s="70">
        <f t="shared" si="189"/>
        <v>966.4</v>
      </c>
      <c r="M828" s="70"/>
      <c r="N828" s="70">
        <f t="shared" si="189"/>
        <v>966.4</v>
      </c>
    </row>
    <row r="829" spans="1:14" ht="39" x14ac:dyDescent="0.25">
      <c r="A829" s="98"/>
      <c r="B829" s="98"/>
      <c r="C829" s="6" t="s">
        <v>409</v>
      </c>
      <c r="D829" s="6"/>
      <c r="E829" s="3" t="s">
        <v>68</v>
      </c>
      <c r="F829" s="70">
        <f>F830</f>
        <v>0</v>
      </c>
      <c r="G829" s="70"/>
      <c r="H829" s="70">
        <f>H830</f>
        <v>0</v>
      </c>
      <c r="I829" s="70">
        <f>I830</f>
        <v>0</v>
      </c>
      <c r="J829" s="70"/>
      <c r="K829" s="70">
        <f>K830</f>
        <v>0</v>
      </c>
      <c r="L829" s="70">
        <f>L830</f>
        <v>0</v>
      </c>
      <c r="M829" s="70"/>
      <c r="N829" s="70">
        <f>N830</f>
        <v>0</v>
      </c>
    </row>
    <row r="830" spans="1:14" ht="39" x14ac:dyDescent="0.25">
      <c r="A830" s="98"/>
      <c r="B830" s="98"/>
      <c r="C830" s="6"/>
      <c r="D830" s="6" t="s">
        <v>399</v>
      </c>
      <c r="E830" s="3" t="s">
        <v>400</v>
      </c>
      <c r="F830" s="70">
        <v>0</v>
      </c>
      <c r="G830" s="70"/>
      <c r="H830" s="70">
        <v>0</v>
      </c>
      <c r="I830" s="70">
        <v>0</v>
      </c>
      <c r="J830" s="70"/>
      <c r="K830" s="70">
        <v>0</v>
      </c>
      <c r="L830" s="70">
        <v>0</v>
      </c>
      <c r="M830" s="70"/>
      <c r="N830" s="70">
        <v>0</v>
      </c>
    </row>
    <row r="831" spans="1:14" ht="25.5" x14ac:dyDescent="0.25">
      <c r="A831" s="98"/>
      <c r="B831" s="98"/>
      <c r="C831" s="6" t="s">
        <v>410</v>
      </c>
      <c r="D831" s="6"/>
      <c r="E831" s="1" t="s">
        <v>411</v>
      </c>
      <c r="F831" s="80">
        <f>F832</f>
        <v>0</v>
      </c>
      <c r="G831" s="80"/>
      <c r="H831" s="80">
        <f>H832</f>
        <v>0</v>
      </c>
      <c r="I831" s="80">
        <f>I832</f>
        <v>0</v>
      </c>
      <c r="J831" s="80"/>
      <c r="K831" s="80">
        <f>K832</f>
        <v>0</v>
      </c>
      <c r="L831" s="80">
        <f>L832</f>
        <v>0</v>
      </c>
      <c r="M831" s="80"/>
      <c r="N831" s="80">
        <f>N832</f>
        <v>0</v>
      </c>
    </row>
    <row r="832" spans="1:14" ht="39" x14ac:dyDescent="0.25">
      <c r="A832" s="98"/>
      <c r="B832" s="98"/>
      <c r="C832" s="6"/>
      <c r="D832" s="6" t="s">
        <v>399</v>
      </c>
      <c r="E832" s="3" t="s">
        <v>400</v>
      </c>
      <c r="F832" s="70">
        <v>0</v>
      </c>
      <c r="G832" s="70"/>
      <c r="H832" s="70">
        <v>0</v>
      </c>
      <c r="I832" s="70">
        <v>0</v>
      </c>
      <c r="J832" s="70"/>
      <c r="K832" s="70">
        <v>0</v>
      </c>
      <c r="L832" s="70">
        <v>0</v>
      </c>
      <c r="M832" s="70"/>
      <c r="N832" s="70">
        <v>0</v>
      </c>
    </row>
    <row r="833" spans="1:14" ht="39" x14ac:dyDescent="0.25">
      <c r="A833" s="98"/>
      <c r="B833" s="98"/>
      <c r="C833" s="6" t="s">
        <v>412</v>
      </c>
      <c r="D833" s="6"/>
      <c r="E833" s="3" t="s">
        <v>413</v>
      </c>
      <c r="F833" s="70">
        <f>F834</f>
        <v>6137.6347999999998</v>
      </c>
      <c r="G833" s="70"/>
      <c r="H833" s="70">
        <f>H834</f>
        <v>6137.6347999999998</v>
      </c>
      <c r="I833" s="70">
        <f>I834</f>
        <v>6005.0562</v>
      </c>
      <c r="J833" s="70"/>
      <c r="K833" s="70">
        <f>K834</f>
        <v>6005.0562</v>
      </c>
      <c r="L833" s="70">
        <f>L834</f>
        <v>5811.7157999999999</v>
      </c>
      <c r="M833" s="70"/>
      <c r="N833" s="70">
        <f>N834</f>
        <v>5811.7157999999999</v>
      </c>
    </row>
    <row r="834" spans="1:14" ht="39" x14ac:dyDescent="0.25">
      <c r="A834" s="98"/>
      <c r="B834" s="98"/>
      <c r="C834" s="6"/>
      <c r="D834" s="6" t="s">
        <v>399</v>
      </c>
      <c r="E834" s="3" t="s">
        <v>400</v>
      </c>
      <c r="F834" s="70">
        <v>6137.6347999999998</v>
      </c>
      <c r="G834" s="80"/>
      <c r="H834" s="80">
        <f>1779.151+4358.4838</f>
        <v>6137.6347999999998</v>
      </c>
      <c r="I834" s="80">
        <v>6005.0562</v>
      </c>
      <c r="J834" s="80"/>
      <c r="K834" s="80">
        <f>1697.6278+4307.4284</f>
        <v>6005.0562</v>
      </c>
      <c r="L834" s="80">
        <v>5811.7157999999999</v>
      </c>
      <c r="M834" s="80"/>
      <c r="N834" s="70">
        <f>1606.5192+4205.1966</f>
        <v>5811.7157999999999</v>
      </c>
    </row>
    <row r="835" spans="1:14" ht="51.75" x14ac:dyDescent="0.25">
      <c r="A835" s="98"/>
      <c r="B835" s="98"/>
      <c r="C835" s="6" t="s">
        <v>844</v>
      </c>
      <c r="D835" s="6"/>
      <c r="E835" s="3" t="s">
        <v>845</v>
      </c>
      <c r="F835" s="70">
        <f>F836</f>
        <v>198.4845</v>
      </c>
      <c r="G835" s="70"/>
      <c r="H835" s="70">
        <f>H836</f>
        <v>198.4845</v>
      </c>
      <c r="I835" s="70">
        <f>I836</f>
        <v>200.10149999999999</v>
      </c>
      <c r="J835" s="70"/>
      <c r="K835" s="70">
        <f>K836</f>
        <v>200.10149999999999</v>
      </c>
      <c r="L835" s="70">
        <f>L836</f>
        <v>200.10149999999999</v>
      </c>
      <c r="M835" s="70"/>
      <c r="N835" s="70">
        <f>N836</f>
        <v>200.10149999999999</v>
      </c>
    </row>
    <row r="836" spans="1:14" ht="39" x14ac:dyDescent="0.25">
      <c r="A836" s="98"/>
      <c r="B836" s="98"/>
      <c r="C836" s="6"/>
      <c r="D836" s="6" t="s">
        <v>399</v>
      </c>
      <c r="E836" s="3" t="s">
        <v>400</v>
      </c>
      <c r="F836" s="80">
        <v>198.4845</v>
      </c>
      <c r="G836" s="80"/>
      <c r="H836" s="80">
        <v>198.4845</v>
      </c>
      <c r="I836" s="80">
        <v>200.10149999999999</v>
      </c>
      <c r="J836" s="80"/>
      <c r="K836" s="80">
        <v>200.10149999999999</v>
      </c>
      <c r="L836" s="80">
        <v>200.10149999999999</v>
      </c>
      <c r="M836" s="80"/>
      <c r="N836" s="70">
        <v>200.10149999999999</v>
      </c>
    </row>
    <row r="837" spans="1:14" x14ac:dyDescent="0.25">
      <c r="A837" s="64"/>
      <c r="B837" s="64"/>
      <c r="C837" s="64"/>
      <c r="D837" s="64"/>
      <c r="E837" s="60" t="s">
        <v>430</v>
      </c>
      <c r="F837" s="86">
        <f t="shared" ref="F837:N837" si="190">SUM(F808+F795+F672+F488+F10)</f>
        <v>1036244.4448000001</v>
      </c>
      <c r="G837" s="86">
        <f t="shared" si="190"/>
        <v>1256.2</v>
      </c>
      <c r="H837" s="86">
        <f t="shared" si="190"/>
        <v>1037500.6448</v>
      </c>
      <c r="I837" s="86">
        <f t="shared" si="190"/>
        <v>937817.43851000012</v>
      </c>
      <c r="J837" s="86">
        <f t="shared" si="190"/>
        <v>116.3</v>
      </c>
      <c r="K837" s="86">
        <f t="shared" si="190"/>
        <v>937933.73851000029</v>
      </c>
      <c r="L837" s="86">
        <f t="shared" si="190"/>
        <v>860508.71525999997</v>
      </c>
      <c r="M837" s="86">
        <f t="shared" si="190"/>
        <v>116.3</v>
      </c>
      <c r="N837" s="86">
        <f t="shared" si="190"/>
        <v>860625.01526000001</v>
      </c>
    </row>
    <row r="838" spans="1:14" x14ac:dyDescent="0.25">
      <c r="E838" s="25" t="s">
        <v>896</v>
      </c>
    </row>
    <row r="839" spans="1:14" x14ac:dyDescent="0.25">
      <c r="E839" s="25" t="s">
        <v>897</v>
      </c>
    </row>
    <row r="840" spans="1:14" x14ac:dyDescent="0.25">
      <c r="E840" s="25" t="s">
        <v>898</v>
      </c>
      <c r="G840" s="25">
        <v>48.9</v>
      </c>
    </row>
    <row r="841" spans="1:14" x14ac:dyDescent="0.25">
      <c r="E841" s="25" t="s">
        <v>901</v>
      </c>
      <c r="G841" s="273"/>
    </row>
  </sheetData>
  <autoFilter ref="A9:O837"/>
  <mergeCells count="6">
    <mergeCell ref="A7:L7"/>
    <mergeCell ref="H1:N1"/>
    <mergeCell ref="H2:N2"/>
    <mergeCell ref="H3:N3"/>
    <mergeCell ref="H4:N4"/>
    <mergeCell ref="H5:N5"/>
  </mergeCells>
  <pageMargins left="1.1023622047244095" right="0.31496062992125984" top="0.74803149606299213" bottom="0.74803149606299213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view="pageBreakPreview" topLeftCell="A73" zoomScale="85" zoomScaleNormal="85" zoomScaleSheetLayoutView="85" workbookViewId="0">
      <selection activeCell="B21" sqref="B21"/>
    </sheetView>
  </sheetViews>
  <sheetFormatPr defaultRowHeight="15" x14ac:dyDescent="0.25"/>
  <cols>
    <col min="1" max="1" width="8.7109375" customWidth="1"/>
    <col min="2" max="2" width="54.2851562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4" width="13.5703125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90"/>
      <c r="H1" s="190"/>
      <c r="I1" s="190"/>
      <c r="J1" s="190"/>
      <c r="K1" s="321" t="s">
        <v>729</v>
      </c>
      <c r="L1" s="321"/>
      <c r="M1" s="321"/>
    </row>
    <row r="2" spans="1:13" ht="15.75" x14ac:dyDescent="0.25">
      <c r="G2" s="190"/>
      <c r="H2" s="190"/>
      <c r="I2" s="190"/>
      <c r="J2" s="190"/>
      <c r="K2" s="321" t="s">
        <v>730</v>
      </c>
      <c r="L2" s="321"/>
      <c r="M2" s="321"/>
    </row>
    <row r="3" spans="1:13" ht="15.75" x14ac:dyDescent="0.25">
      <c r="K3" s="321" t="s">
        <v>731</v>
      </c>
      <c r="L3" s="321"/>
      <c r="M3" s="321"/>
    </row>
    <row r="4" spans="1:13" ht="15.75" x14ac:dyDescent="0.25">
      <c r="K4" s="321" t="s">
        <v>768</v>
      </c>
      <c r="L4" s="321"/>
      <c r="M4" s="321"/>
    </row>
    <row r="5" spans="1:13" ht="15.75" x14ac:dyDescent="0.25">
      <c r="K5" s="321" t="s">
        <v>954</v>
      </c>
      <c r="L5" s="321"/>
      <c r="M5" s="321"/>
    </row>
    <row r="7" spans="1:13" ht="16.5" customHeight="1" x14ac:dyDescent="0.25">
      <c r="A7" s="325" t="s">
        <v>747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</row>
    <row r="8" spans="1:13" ht="16.5" x14ac:dyDescent="0.25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</row>
    <row r="9" spans="1:13" ht="16.5" x14ac:dyDescent="0.25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</row>
    <row r="10" spans="1:13" ht="16.5" x14ac:dyDescent="0.25">
      <c r="A10" s="302"/>
      <c r="B10" s="270" t="s">
        <v>866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</row>
    <row r="11" spans="1:13" ht="16.5" x14ac:dyDescent="0.25">
      <c r="A11" s="302"/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</row>
    <row r="12" spans="1:13" ht="16.5" customHeight="1" x14ac:dyDescent="0.25">
      <c r="A12" s="325" t="s">
        <v>766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</row>
    <row r="13" spans="1:13" ht="16.5" x14ac:dyDescent="0.25">
      <c r="A13" s="302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</row>
    <row r="14" spans="1:13" s="25" customFormat="1" ht="15" customHeight="1" x14ac:dyDescent="0.25">
      <c r="A14" s="326" t="s">
        <v>727</v>
      </c>
      <c r="B14" s="326" t="s">
        <v>760</v>
      </c>
      <c r="C14" s="326" t="s">
        <v>733</v>
      </c>
      <c r="D14" s="326"/>
      <c r="E14" s="326"/>
      <c r="F14" s="326"/>
      <c r="G14" s="326"/>
      <c r="H14" s="326"/>
      <c r="I14" s="326"/>
      <c r="J14" s="326"/>
      <c r="K14" s="326"/>
      <c r="L14" s="326"/>
      <c r="M14" s="326"/>
    </row>
    <row r="15" spans="1:13" s="25" customFormat="1" ht="15" customHeight="1" x14ac:dyDescent="0.25">
      <c r="A15" s="326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</row>
    <row r="16" spans="1:13" s="25" customFormat="1" ht="15.75" x14ac:dyDescent="0.25">
      <c r="A16" s="326"/>
      <c r="B16" s="326"/>
      <c r="C16" s="327" t="s">
        <v>3</v>
      </c>
      <c r="D16" s="333" t="s">
        <v>239</v>
      </c>
      <c r="E16" s="334"/>
      <c r="F16" s="335"/>
      <c r="G16" s="327" t="s">
        <v>4</v>
      </c>
      <c r="H16" s="333" t="s">
        <v>239</v>
      </c>
      <c r="I16" s="334"/>
      <c r="J16" s="335"/>
      <c r="K16" s="327" t="s">
        <v>497</v>
      </c>
      <c r="L16" s="333" t="s">
        <v>239</v>
      </c>
      <c r="M16" s="335"/>
    </row>
    <row r="17" spans="1:13" s="25" customFormat="1" ht="47.25" x14ac:dyDescent="0.25">
      <c r="A17" s="326"/>
      <c r="B17" s="326"/>
      <c r="C17" s="328"/>
      <c r="D17" s="301" t="s">
        <v>755</v>
      </c>
      <c r="E17" s="303" t="s">
        <v>726</v>
      </c>
      <c r="F17" s="303" t="s">
        <v>725</v>
      </c>
      <c r="G17" s="328"/>
      <c r="H17" s="301" t="s">
        <v>755</v>
      </c>
      <c r="I17" s="303" t="s">
        <v>726</v>
      </c>
      <c r="J17" s="303" t="s">
        <v>725</v>
      </c>
      <c r="K17" s="328"/>
      <c r="L17" s="303" t="s">
        <v>726</v>
      </c>
      <c r="M17" s="303" t="s">
        <v>725</v>
      </c>
    </row>
    <row r="18" spans="1:13" s="25" customFormat="1" ht="31.5" x14ac:dyDescent="0.25">
      <c r="A18" s="257" t="s">
        <v>734</v>
      </c>
      <c r="B18" s="258" t="s">
        <v>761</v>
      </c>
      <c r="C18" s="259">
        <f>SUM(C20:C24)</f>
        <v>105180.42739000001</v>
      </c>
      <c r="D18" s="259">
        <f>SUM(D20:D24)</f>
        <v>39572.673840000003</v>
      </c>
      <c r="E18" s="259">
        <f>SUM(E20:E24)</f>
        <v>30871.573509999998</v>
      </c>
      <c r="F18" s="259">
        <f>SUM(F20:F24)</f>
        <v>34736.180039999999</v>
      </c>
      <c r="G18" s="259">
        <f>SUM(G20:G23)</f>
        <v>104452.15174999999</v>
      </c>
      <c r="H18" s="259">
        <f t="shared" ref="H18:M18" si="0">SUM(H20:H23)</f>
        <v>47403.956680000003</v>
      </c>
      <c r="I18" s="259">
        <f t="shared" si="0"/>
        <v>28622.04507</v>
      </c>
      <c r="J18" s="259">
        <f t="shared" si="0"/>
        <v>28426.15</v>
      </c>
      <c r="K18" s="259">
        <f t="shared" si="0"/>
        <v>58326.9</v>
      </c>
      <c r="L18" s="259">
        <f t="shared" si="0"/>
        <v>26127.1</v>
      </c>
      <c r="M18" s="259">
        <f t="shared" si="0"/>
        <v>32199.8</v>
      </c>
    </row>
    <row r="19" spans="1:13" s="25" customFormat="1" ht="16.5" x14ac:dyDescent="0.25">
      <c r="A19" s="222"/>
      <c r="B19" s="223" t="s">
        <v>762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6"/>
    </row>
    <row r="20" spans="1:13" s="25" customFormat="1" ht="94.5" x14ac:dyDescent="0.25">
      <c r="A20" s="222" t="s">
        <v>736</v>
      </c>
      <c r="B20" s="227" t="s">
        <v>947</v>
      </c>
      <c r="C20" s="228">
        <f>SUM(E20:F20)</f>
        <v>26774</v>
      </c>
      <c r="D20" s="229">
        <v>0</v>
      </c>
      <c r="E20" s="226">
        <v>0</v>
      </c>
      <c r="F20" s="229">
        <v>26774</v>
      </c>
      <c r="G20" s="228">
        <f>SUM(I20:J20)</f>
        <v>25500.5</v>
      </c>
      <c r="H20" s="229">
        <v>0</v>
      </c>
      <c r="I20" s="226">
        <v>0</v>
      </c>
      <c r="J20" s="229">
        <v>25500.5</v>
      </c>
      <c r="K20" s="224">
        <f>SUM(L20:M20)</f>
        <v>26180.7</v>
      </c>
      <c r="L20" s="230">
        <f>I20-E20</f>
        <v>0</v>
      </c>
      <c r="M20" s="230">
        <v>26180.7</v>
      </c>
    </row>
    <row r="21" spans="1:13" s="25" customFormat="1" ht="84.75" customHeight="1" x14ac:dyDescent="0.25">
      <c r="A21" s="222" t="s">
        <v>744</v>
      </c>
      <c r="B21" s="227" t="s">
        <v>948</v>
      </c>
      <c r="C21" s="228">
        <f>SUM(E21:F21)</f>
        <v>26107.599999999999</v>
      </c>
      <c r="D21" s="229">
        <v>0</v>
      </c>
      <c r="E21" s="229">
        <v>26107.599999999999</v>
      </c>
      <c r="F21" s="229">
        <v>0</v>
      </c>
      <c r="G21" s="228">
        <f>SUM(I21:J21)</f>
        <v>26127.1</v>
      </c>
      <c r="H21" s="229">
        <v>0</v>
      </c>
      <c r="I21" s="226">
        <v>26127.1</v>
      </c>
      <c r="J21" s="226">
        <v>0</v>
      </c>
      <c r="K21" s="224">
        <f>SUM(L21:M21)</f>
        <v>26127.1</v>
      </c>
      <c r="L21" s="226">
        <v>26127.1</v>
      </c>
      <c r="M21" s="230">
        <f>J21-F21</f>
        <v>0</v>
      </c>
    </row>
    <row r="22" spans="1:13" s="25" customFormat="1" ht="63" x14ac:dyDescent="0.25">
      <c r="A22" s="222" t="s">
        <v>763</v>
      </c>
      <c r="B22" s="227" t="s">
        <v>523</v>
      </c>
      <c r="C22" s="228">
        <f>SUM(D22:F22)</f>
        <v>41655.446150000003</v>
      </c>
      <c r="D22" s="229">
        <v>39572.673840000003</v>
      </c>
      <c r="E22" s="229">
        <v>2082.7723099999998</v>
      </c>
      <c r="F22" s="229">
        <v>0</v>
      </c>
      <c r="G22" s="228">
        <f>SUM(H22:J22)</f>
        <v>49898.901750000005</v>
      </c>
      <c r="H22" s="229">
        <v>47403.956680000003</v>
      </c>
      <c r="I22" s="229">
        <v>2494.9450700000002</v>
      </c>
      <c r="J22" s="229">
        <v>0</v>
      </c>
      <c r="K22" s="224">
        <f>SUM(L22:M22)</f>
        <v>0</v>
      </c>
      <c r="L22" s="230">
        <v>0</v>
      </c>
      <c r="M22" s="230">
        <v>0</v>
      </c>
    </row>
    <row r="23" spans="1:13" s="25" customFormat="1" ht="31.5" x14ac:dyDescent="0.25">
      <c r="A23" s="222" t="s">
        <v>764</v>
      </c>
      <c r="B23" s="227" t="s">
        <v>765</v>
      </c>
      <c r="C23" s="228">
        <f>F23</f>
        <v>7962.1800400000002</v>
      </c>
      <c r="D23" s="228"/>
      <c r="E23" s="229"/>
      <c r="F23" s="229">
        <f>7978.18004-16</f>
        <v>7962.1800400000002</v>
      </c>
      <c r="G23" s="228">
        <f>SUM(I23:J23)</f>
        <v>2925.6500000000015</v>
      </c>
      <c r="H23" s="228"/>
      <c r="I23" s="229"/>
      <c r="J23" s="229">
        <f>J34-J20</f>
        <v>2925.6500000000015</v>
      </c>
      <c r="K23" s="224">
        <f>SUM(L23:M23)</f>
        <v>6019.0999999999985</v>
      </c>
      <c r="L23" s="230"/>
      <c r="M23" s="229">
        <f>M34-M20</f>
        <v>6019.0999999999985</v>
      </c>
    </row>
    <row r="24" spans="1:13" s="25" customFormat="1" ht="31.5" x14ac:dyDescent="0.25">
      <c r="A24" s="222" t="s">
        <v>829</v>
      </c>
      <c r="B24" s="227" t="s">
        <v>861</v>
      </c>
      <c r="C24" s="228">
        <f>D24+E24+F24</f>
        <v>2681.2012</v>
      </c>
      <c r="D24" s="228"/>
      <c r="E24" s="229">
        <v>2681.2012</v>
      </c>
      <c r="F24" s="229"/>
      <c r="G24" s="228"/>
      <c r="H24" s="228"/>
      <c r="I24" s="229"/>
      <c r="J24" s="229"/>
      <c r="K24" s="224"/>
      <c r="L24" s="230"/>
      <c r="M24" s="229"/>
    </row>
    <row r="25" spans="1:13" s="25" customFormat="1" ht="15.75" x14ac:dyDescent="0.25">
      <c r="A25" s="235"/>
      <c r="B25" s="236" t="s">
        <v>946</v>
      </c>
      <c r="C25" s="264">
        <f>4843.35506+C18</f>
        <v>110023.78245000001</v>
      </c>
      <c r="D25" s="264"/>
      <c r="E25" s="265"/>
      <c r="F25" s="265"/>
      <c r="G25" s="264"/>
      <c r="H25" s="264"/>
      <c r="I25" s="265"/>
      <c r="J25" s="265"/>
      <c r="K25" s="233"/>
      <c r="L25" s="234"/>
      <c r="M25" s="265"/>
    </row>
    <row r="26" spans="1:13" s="25" customFormat="1" ht="15.75" x14ac:dyDescent="0.25">
      <c r="A26" s="235"/>
      <c r="B26" s="236"/>
      <c r="C26" s="264"/>
      <c r="D26" s="264"/>
      <c r="E26" s="265"/>
      <c r="F26" s="265"/>
      <c r="G26" s="264"/>
      <c r="H26" s="264"/>
      <c r="I26" s="265"/>
      <c r="J26" s="265"/>
      <c r="K26" s="233"/>
      <c r="L26" s="234"/>
      <c r="M26" s="265"/>
    </row>
    <row r="27" spans="1:13" s="25" customFormat="1" ht="15.75" x14ac:dyDescent="0.25">
      <c r="A27" s="235"/>
      <c r="B27" s="236"/>
      <c r="C27" s="231"/>
      <c r="D27" s="231"/>
      <c r="E27" s="232"/>
      <c r="F27" s="232"/>
      <c r="G27" s="231"/>
      <c r="H27" s="231"/>
      <c r="I27" s="232"/>
      <c r="J27" s="232"/>
      <c r="K27" s="233"/>
      <c r="L27" s="234"/>
      <c r="M27" s="234"/>
    </row>
    <row r="28" spans="1:13" s="25" customFormat="1" ht="15.75" x14ac:dyDescent="0.25">
      <c r="A28" s="332" t="s">
        <v>767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</row>
    <row r="29" spans="1:13" ht="16.5" x14ac:dyDescent="0.25">
      <c r="A29" s="191"/>
      <c r="B29" s="191"/>
      <c r="C29" s="302"/>
      <c r="D29" s="302"/>
      <c r="E29" s="302"/>
      <c r="F29" s="302"/>
      <c r="G29" s="302"/>
      <c r="H29" s="302"/>
      <c r="I29" s="302"/>
      <c r="J29" s="302"/>
    </row>
    <row r="30" spans="1:13" ht="15" customHeight="1" x14ac:dyDescent="0.25">
      <c r="A30" s="326" t="s">
        <v>727</v>
      </c>
      <c r="B30" s="326" t="s">
        <v>732</v>
      </c>
      <c r="C30" s="326" t="s">
        <v>733</v>
      </c>
      <c r="D30" s="326"/>
      <c r="E30" s="326"/>
      <c r="F30" s="326"/>
      <c r="G30" s="326"/>
      <c r="H30" s="326"/>
      <c r="I30" s="326"/>
      <c r="J30" s="326"/>
      <c r="K30" s="326"/>
      <c r="L30" s="326"/>
      <c r="M30" s="326"/>
    </row>
    <row r="31" spans="1:13" ht="15" customHeight="1" x14ac:dyDescent="0.25">
      <c r="A31" s="326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</row>
    <row r="32" spans="1:13" ht="15.75" x14ac:dyDescent="0.25">
      <c r="A32" s="326"/>
      <c r="B32" s="326"/>
      <c r="C32" s="327" t="s">
        <v>3</v>
      </c>
      <c r="D32" s="329" t="s">
        <v>239</v>
      </c>
      <c r="E32" s="330"/>
      <c r="F32" s="331"/>
      <c r="G32" s="327" t="s">
        <v>4</v>
      </c>
      <c r="H32" s="329" t="s">
        <v>239</v>
      </c>
      <c r="I32" s="330"/>
      <c r="J32" s="331"/>
      <c r="K32" s="327" t="s">
        <v>497</v>
      </c>
      <c r="L32" s="330" t="s">
        <v>239</v>
      </c>
      <c r="M32" s="331"/>
    </row>
    <row r="33" spans="1:13" ht="47.25" x14ac:dyDescent="0.25">
      <c r="A33" s="326"/>
      <c r="B33" s="326"/>
      <c r="C33" s="328"/>
      <c r="D33" s="301" t="s">
        <v>755</v>
      </c>
      <c r="E33" s="303" t="s">
        <v>726</v>
      </c>
      <c r="F33" s="303" t="s">
        <v>725</v>
      </c>
      <c r="G33" s="328"/>
      <c r="H33" s="301" t="s">
        <v>755</v>
      </c>
      <c r="I33" s="303" t="s">
        <v>726</v>
      </c>
      <c r="J33" s="303" t="s">
        <v>725</v>
      </c>
      <c r="K33" s="328"/>
      <c r="L33" s="303" t="s">
        <v>726</v>
      </c>
      <c r="M33" s="303" t="s">
        <v>725</v>
      </c>
    </row>
    <row r="34" spans="1:13" ht="63" x14ac:dyDescent="0.25">
      <c r="A34" s="192" t="s">
        <v>734</v>
      </c>
      <c r="B34" s="193" t="s">
        <v>735</v>
      </c>
      <c r="C34" s="210">
        <f t="shared" ref="C34:M34" si="1">C35+C85</f>
        <v>110023.78245000001</v>
      </c>
      <c r="D34" s="210">
        <f t="shared" si="1"/>
        <v>39572.673840000003</v>
      </c>
      <c r="E34" s="210">
        <f t="shared" si="1"/>
        <v>28190.372309999999</v>
      </c>
      <c r="F34" s="210">
        <f t="shared" si="1"/>
        <v>39579.535100000001</v>
      </c>
      <c r="G34" s="210">
        <f t="shared" si="1"/>
        <v>104452.15175</v>
      </c>
      <c r="H34" s="210">
        <f t="shared" si="1"/>
        <v>47403.956680000003</v>
      </c>
      <c r="I34" s="210">
        <f t="shared" si="1"/>
        <v>28622.04507</v>
      </c>
      <c r="J34" s="210">
        <f t="shared" si="1"/>
        <v>28426.15</v>
      </c>
      <c r="K34" s="210">
        <f t="shared" si="1"/>
        <v>58326.899999999994</v>
      </c>
      <c r="L34" s="210">
        <f t="shared" si="1"/>
        <v>26127.1</v>
      </c>
      <c r="M34" s="210">
        <f t="shared" si="1"/>
        <v>32199.8</v>
      </c>
    </row>
    <row r="35" spans="1:13" s="196" customFormat="1" ht="47.25" x14ac:dyDescent="0.25">
      <c r="A35" s="194" t="s">
        <v>736</v>
      </c>
      <c r="B35" s="195" t="s">
        <v>737</v>
      </c>
      <c r="C35" s="211">
        <f t="shared" ref="C35:M35" si="2">C36+C38+C41+C43+C79+C81</f>
        <v>105173.87000000001</v>
      </c>
      <c r="D35" s="211">
        <f t="shared" si="2"/>
        <v>39572.673840000003</v>
      </c>
      <c r="E35" s="211">
        <f t="shared" si="2"/>
        <v>28190.372309999999</v>
      </c>
      <c r="F35" s="211">
        <f t="shared" si="2"/>
        <v>37410.823850000001</v>
      </c>
      <c r="G35" s="211">
        <f t="shared" si="2"/>
        <v>104452.15175</v>
      </c>
      <c r="H35" s="211">
        <f t="shared" si="2"/>
        <v>47403.956680000003</v>
      </c>
      <c r="I35" s="211">
        <f t="shared" si="2"/>
        <v>28622.04507</v>
      </c>
      <c r="J35" s="211">
        <f t="shared" si="2"/>
        <v>28426.15</v>
      </c>
      <c r="K35" s="211">
        <f t="shared" si="2"/>
        <v>58326.899999999994</v>
      </c>
      <c r="L35" s="211">
        <f t="shared" si="2"/>
        <v>26127.1</v>
      </c>
      <c r="M35" s="211">
        <f t="shared" si="2"/>
        <v>32199.8</v>
      </c>
    </row>
    <row r="36" spans="1:13" s="199" customFormat="1" ht="31.5" x14ac:dyDescent="0.25">
      <c r="A36" s="197" t="s">
        <v>738</v>
      </c>
      <c r="B36" s="198" t="s">
        <v>739</v>
      </c>
      <c r="C36" s="212">
        <f>C37</f>
        <v>500</v>
      </c>
      <c r="D36" s="212">
        <v>0</v>
      </c>
      <c r="E36" s="212">
        <v>0</v>
      </c>
      <c r="F36" s="212">
        <f>F37</f>
        <v>500</v>
      </c>
      <c r="G36" s="212">
        <f>G37</f>
        <v>516</v>
      </c>
      <c r="H36" s="212">
        <v>0</v>
      </c>
      <c r="I36" s="212">
        <v>0</v>
      </c>
      <c r="J36" s="212">
        <f>J37</f>
        <v>516</v>
      </c>
      <c r="K36" s="212">
        <f>K37</f>
        <v>0</v>
      </c>
      <c r="L36" s="212">
        <v>0</v>
      </c>
      <c r="M36" s="212">
        <f>M37</f>
        <v>0</v>
      </c>
    </row>
    <row r="37" spans="1:13" s="202" customFormat="1" ht="47.25" x14ac:dyDescent="0.25">
      <c r="A37" s="200"/>
      <c r="B37" s="201" t="s">
        <v>748</v>
      </c>
      <c r="C37" s="213">
        <f>F37</f>
        <v>500</v>
      </c>
      <c r="D37" s="213">
        <v>0</v>
      </c>
      <c r="E37" s="213">
        <v>0</v>
      </c>
      <c r="F37" s="213">
        <v>500</v>
      </c>
      <c r="G37" s="213">
        <f>J37</f>
        <v>516</v>
      </c>
      <c r="H37" s="213">
        <v>0</v>
      </c>
      <c r="I37" s="213">
        <v>0</v>
      </c>
      <c r="J37" s="213">
        <v>516</v>
      </c>
      <c r="K37" s="213">
        <f>M37</f>
        <v>0</v>
      </c>
      <c r="L37" s="213">
        <v>0</v>
      </c>
      <c r="M37" s="213">
        <v>0</v>
      </c>
    </row>
    <row r="38" spans="1:13" s="199" customFormat="1" ht="31.5" x14ac:dyDescent="0.25">
      <c r="A38" s="197" t="s">
        <v>740</v>
      </c>
      <c r="B38" s="198" t="s">
        <v>847</v>
      </c>
      <c r="C38" s="212">
        <f>C39+C40</f>
        <v>3220.5</v>
      </c>
      <c r="D38" s="212">
        <v>0</v>
      </c>
      <c r="E38" s="212">
        <v>0</v>
      </c>
      <c r="F38" s="212">
        <f>F39+F40</f>
        <v>3220.5</v>
      </c>
      <c r="G38" s="212">
        <f>G39</f>
        <v>0</v>
      </c>
      <c r="H38" s="212">
        <v>0</v>
      </c>
      <c r="I38" s="212">
        <v>0</v>
      </c>
      <c r="J38" s="212">
        <f>J39</f>
        <v>0</v>
      </c>
      <c r="K38" s="212">
        <f>K39</f>
        <v>0</v>
      </c>
      <c r="L38" s="212">
        <v>0</v>
      </c>
      <c r="M38" s="212">
        <f>M39</f>
        <v>0</v>
      </c>
    </row>
    <row r="39" spans="1:13" s="202" customFormat="1" ht="63" x14ac:dyDescent="0.25">
      <c r="A39" s="200"/>
      <c r="B39" s="201" t="s">
        <v>862</v>
      </c>
      <c r="C39" s="213">
        <f>F39</f>
        <v>3150</v>
      </c>
      <c r="D39" s="213">
        <v>0</v>
      </c>
      <c r="E39" s="213">
        <v>0</v>
      </c>
      <c r="F39" s="213">
        <v>3150</v>
      </c>
      <c r="G39" s="213">
        <v>0</v>
      </c>
      <c r="H39" s="213">
        <v>0</v>
      </c>
      <c r="I39" s="213">
        <v>0</v>
      </c>
      <c r="J39" s="213">
        <v>0</v>
      </c>
      <c r="K39" s="213">
        <f>M39</f>
        <v>0</v>
      </c>
      <c r="L39" s="213">
        <v>0</v>
      </c>
      <c r="M39" s="213">
        <v>0</v>
      </c>
    </row>
    <row r="40" spans="1:13" s="202" customFormat="1" ht="78.75" x14ac:dyDescent="0.25">
      <c r="A40" s="200"/>
      <c r="B40" s="201" t="s">
        <v>870</v>
      </c>
      <c r="C40" s="213">
        <v>70.5</v>
      </c>
      <c r="D40" s="213">
        <v>0</v>
      </c>
      <c r="E40" s="213">
        <v>0</v>
      </c>
      <c r="F40" s="213">
        <v>70.5</v>
      </c>
      <c r="G40" s="213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</row>
    <row r="41" spans="1:13" s="199" customFormat="1" ht="47.25" x14ac:dyDescent="0.25">
      <c r="A41" s="197" t="s">
        <v>741</v>
      </c>
      <c r="B41" s="198" t="s">
        <v>855</v>
      </c>
      <c r="C41" s="212">
        <f>C42</f>
        <v>974.9</v>
      </c>
      <c r="D41" s="212">
        <v>0</v>
      </c>
      <c r="E41" s="212">
        <v>0</v>
      </c>
      <c r="F41" s="212">
        <f>F42</f>
        <v>974.9</v>
      </c>
      <c r="G41" s="212">
        <f>G42</f>
        <v>0</v>
      </c>
      <c r="H41" s="212">
        <v>0</v>
      </c>
      <c r="I41" s="212">
        <v>0</v>
      </c>
      <c r="J41" s="212">
        <f>J42</f>
        <v>0</v>
      </c>
      <c r="K41" s="212">
        <f>K42</f>
        <v>0</v>
      </c>
      <c r="L41" s="212">
        <v>0</v>
      </c>
      <c r="M41" s="212">
        <f>M42</f>
        <v>0</v>
      </c>
    </row>
    <row r="42" spans="1:13" s="202" customFormat="1" ht="47.25" x14ac:dyDescent="0.25">
      <c r="A42" s="200"/>
      <c r="B42" s="201" t="s">
        <v>863</v>
      </c>
      <c r="C42" s="213">
        <f>F42</f>
        <v>974.9</v>
      </c>
      <c r="D42" s="213">
        <v>0</v>
      </c>
      <c r="E42" s="213">
        <v>0</v>
      </c>
      <c r="F42" s="213">
        <v>974.9</v>
      </c>
      <c r="G42" s="213">
        <v>0</v>
      </c>
      <c r="H42" s="213">
        <v>0</v>
      </c>
      <c r="I42" s="213">
        <v>0</v>
      </c>
      <c r="J42" s="213">
        <v>0</v>
      </c>
      <c r="K42" s="213">
        <f>M42</f>
        <v>0</v>
      </c>
      <c r="L42" s="213">
        <v>0</v>
      </c>
      <c r="M42" s="213">
        <v>0</v>
      </c>
    </row>
    <row r="43" spans="1:13" s="199" customFormat="1" ht="31.5" x14ac:dyDescent="0.25">
      <c r="A43" s="197" t="s">
        <v>742</v>
      </c>
      <c r="B43" s="203" t="s">
        <v>749</v>
      </c>
      <c r="C43" s="212">
        <f>C44+C72+C60</f>
        <v>35896</v>
      </c>
      <c r="D43" s="212">
        <v>0</v>
      </c>
      <c r="E43" s="212">
        <f>E44+E72+E60</f>
        <v>26107.599999999999</v>
      </c>
      <c r="F43" s="212">
        <f>F44+F72+F60</f>
        <v>9788.3999999999978</v>
      </c>
      <c r="G43" s="212">
        <f>G44+G72+G60</f>
        <v>30690.3</v>
      </c>
      <c r="H43" s="212">
        <v>0</v>
      </c>
      <c r="I43" s="212">
        <f>I44+I72+I60</f>
        <v>26127.1</v>
      </c>
      <c r="J43" s="212">
        <f>J44+J72+J60</f>
        <v>4563.2</v>
      </c>
      <c r="K43" s="212">
        <f>K44+K72+K60</f>
        <v>29030.1</v>
      </c>
      <c r="L43" s="212">
        <f>L44+L72+L60</f>
        <v>26127.1</v>
      </c>
      <c r="M43" s="212">
        <f>M44+M72+M60</f>
        <v>2903</v>
      </c>
    </row>
    <row r="44" spans="1:13" s="306" customFormat="1" ht="31.5" x14ac:dyDescent="0.25">
      <c r="A44" s="304"/>
      <c r="B44" s="266" t="s">
        <v>750</v>
      </c>
      <c r="C44" s="305">
        <f>E44+F44</f>
        <v>29008.6</v>
      </c>
      <c r="D44" s="305">
        <v>0</v>
      </c>
      <c r="E44" s="305">
        <v>26107.599999999999</v>
      </c>
      <c r="F44" s="305">
        <f>F45+F46+F47+F48+F49+F50+F51+F52+F53+F54+F55+F56+F57+F58+F59+0.1555</f>
        <v>2900.9999999999995</v>
      </c>
      <c r="G44" s="305">
        <f>SUM(I44+J44)</f>
        <v>29030.1</v>
      </c>
      <c r="H44" s="305">
        <v>0</v>
      </c>
      <c r="I44" s="305">
        <v>26127.1</v>
      </c>
      <c r="J44" s="305">
        <v>2903</v>
      </c>
      <c r="K44" s="305">
        <f>SUM(L44+M44)</f>
        <v>29030.1</v>
      </c>
      <c r="L44" s="305">
        <v>26127.1</v>
      </c>
      <c r="M44" s="305">
        <v>2903</v>
      </c>
    </row>
    <row r="45" spans="1:13" s="256" customFormat="1" ht="31.5" x14ac:dyDescent="0.25">
      <c r="A45" s="255">
        <v>1</v>
      </c>
      <c r="B45" s="268" t="s">
        <v>828</v>
      </c>
      <c r="C45" s="250">
        <f t="shared" ref="C45:C59" si="3">D45+E45+F45</f>
        <v>589.50175999999999</v>
      </c>
      <c r="D45" s="250">
        <v>0</v>
      </c>
      <c r="E45" s="250">
        <v>530.55157999999994</v>
      </c>
      <c r="F45" s="250">
        <v>58.950180000000003</v>
      </c>
      <c r="G45" s="250">
        <f t="shared" ref="G45:G59" si="4">H45+I45+J45</f>
        <v>0</v>
      </c>
      <c r="H45" s="250">
        <v>0</v>
      </c>
      <c r="I45" s="250">
        <v>0</v>
      </c>
      <c r="J45" s="250">
        <v>0</v>
      </c>
      <c r="K45" s="250">
        <f t="shared" ref="K45:K53" si="5">L45+M45</f>
        <v>0</v>
      </c>
      <c r="L45" s="250">
        <v>0</v>
      </c>
      <c r="M45" s="250">
        <v>0</v>
      </c>
    </row>
    <row r="46" spans="1:13" s="256" customFormat="1" ht="31.5" x14ac:dyDescent="0.25">
      <c r="A46" s="255">
        <v>2</v>
      </c>
      <c r="B46" s="268" t="s">
        <v>827</v>
      </c>
      <c r="C46" s="250">
        <f t="shared" si="3"/>
        <v>391.66</v>
      </c>
      <c r="D46" s="250">
        <v>0</v>
      </c>
      <c r="E46" s="250">
        <v>352.49400000000003</v>
      </c>
      <c r="F46" s="250">
        <v>39.165999999999997</v>
      </c>
      <c r="G46" s="250">
        <f t="shared" si="4"/>
        <v>0</v>
      </c>
      <c r="H46" s="250">
        <v>0</v>
      </c>
      <c r="I46" s="250">
        <v>0</v>
      </c>
      <c r="J46" s="250">
        <v>0</v>
      </c>
      <c r="K46" s="250">
        <f t="shared" si="5"/>
        <v>0</v>
      </c>
      <c r="L46" s="250">
        <v>0</v>
      </c>
      <c r="M46" s="250">
        <v>0</v>
      </c>
    </row>
    <row r="47" spans="1:13" s="256" customFormat="1" ht="31.5" x14ac:dyDescent="0.25">
      <c r="A47" s="255">
        <v>3</v>
      </c>
      <c r="B47" s="268" t="s">
        <v>826</v>
      </c>
      <c r="C47" s="250">
        <f t="shared" si="3"/>
        <v>599.95680000000004</v>
      </c>
      <c r="D47" s="250">
        <v>0</v>
      </c>
      <c r="E47" s="250">
        <v>539.96112000000005</v>
      </c>
      <c r="F47" s="250">
        <v>59.99568</v>
      </c>
      <c r="G47" s="250">
        <f t="shared" si="4"/>
        <v>0</v>
      </c>
      <c r="H47" s="250">
        <v>0</v>
      </c>
      <c r="I47" s="250">
        <v>0</v>
      </c>
      <c r="J47" s="250">
        <v>0</v>
      </c>
      <c r="K47" s="250">
        <f t="shared" si="5"/>
        <v>0</v>
      </c>
      <c r="L47" s="250">
        <v>0</v>
      </c>
      <c r="M47" s="250">
        <v>0</v>
      </c>
    </row>
    <row r="48" spans="1:13" s="256" customFormat="1" ht="31.5" x14ac:dyDescent="0.25">
      <c r="A48" s="255">
        <v>4</v>
      </c>
      <c r="B48" s="268" t="s">
        <v>825</v>
      </c>
      <c r="C48" s="250">
        <f t="shared" si="3"/>
        <v>955.16412000000003</v>
      </c>
      <c r="D48" s="250">
        <v>0</v>
      </c>
      <c r="E48" s="250">
        <v>859.64769999999999</v>
      </c>
      <c r="F48" s="250">
        <v>95.516419999999997</v>
      </c>
      <c r="G48" s="250">
        <f t="shared" si="4"/>
        <v>0</v>
      </c>
      <c r="H48" s="250">
        <v>0</v>
      </c>
      <c r="I48" s="250">
        <v>0</v>
      </c>
      <c r="J48" s="250">
        <v>0</v>
      </c>
      <c r="K48" s="250">
        <f t="shared" si="5"/>
        <v>0</v>
      </c>
      <c r="L48" s="250">
        <v>0</v>
      </c>
      <c r="M48" s="250">
        <v>0</v>
      </c>
    </row>
    <row r="49" spans="1:13" s="256" customFormat="1" ht="31.5" x14ac:dyDescent="0.25">
      <c r="A49" s="255">
        <v>5</v>
      </c>
      <c r="B49" s="268" t="s">
        <v>824</v>
      </c>
      <c r="C49" s="250">
        <f t="shared" si="3"/>
        <v>639.20119999999997</v>
      </c>
      <c r="D49" s="250">
        <v>0</v>
      </c>
      <c r="E49" s="250">
        <v>575.28107999999997</v>
      </c>
      <c r="F49" s="250">
        <v>63.920119999999997</v>
      </c>
      <c r="G49" s="250">
        <f t="shared" si="4"/>
        <v>0</v>
      </c>
      <c r="H49" s="250">
        <v>0</v>
      </c>
      <c r="I49" s="250">
        <v>0</v>
      </c>
      <c r="J49" s="250">
        <v>0</v>
      </c>
      <c r="K49" s="250">
        <f t="shared" si="5"/>
        <v>0</v>
      </c>
      <c r="L49" s="250">
        <v>0</v>
      </c>
      <c r="M49" s="250">
        <v>0</v>
      </c>
    </row>
    <row r="50" spans="1:13" s="256" customFormat="1" ht="31.5" x14ac:dyDescent="0.25">
      <c r="A50" s="255">
        <v>6</v>
      </c>
      <c r="B50" s="268" t="s">
        <v>823</v>
      </c>
      <c r="C50" s="250">
        <f t="shared" si="3"/>
        <v>836.15066000000002</v>
      </c>
      <c r="D50" s="250">
        <v>0</v>
      </c>
      <c r="E50" s="250">
        <v>752.53558999999996</v>
      </c>
      <c r="F50" s="250">
        <v>83.615070000000003</v>
      </c>
      <c r="G50" s="250">
        <f t="shared" si="4"/>
        <v>0</v>
      </c>
      <c r="H50" s="250">
        <v>0</v>
      </c>
      <c r="I50" s="250">
        <v>0</v>
      </c>
      <c r="J50" s="250">
        <v>0</v>
      </c>
      <c r="K50" s="250">
        <f t="shared" si="5"/>
        <v>0</v>
      </c>
      <c r="L50" s="250">
        <v>0</v>
      </c>
      <c r="M50" s="250">
        <v>0</v>
      </c>
    </row>
    <row r="51" spans="1:13" s="256" customFormat="1" ht="47.25" x14ac:dyDescent="0.25">
      <c r="A51" s="255">
        <v>7</v>
      </c>
      <c r="B51" s="268" t="s">
        <v>822</v>
      </c>
      <c r="C51" s="250">
        <f t="shared" si="3"/>
        <v>1311.2463499999999</v>
      </c>
      <c r="D51" s="250">
        <v>0</v>
      </c>
      <c r="E51" s="250">
        <v>1168.7763199999999</v>
      </c>
      <c r="F51" s="250">
        <v>142.47003000000001</v>
      </c>
      <c r="G51" s="250">
        <f t="shared" si="4"/>
        <v>0</v>
      </c>
      <c r="H51" s="250">
        <v>0</v>
      </c>
      <c r="I51" s="250">
        <v>0</v>
      </c>
      <c r="J51" s="250">
        <v>0</v>
      </c>
      <c r="K51" s="250">
        <f t="shared" si="5"/>
        <v>0</v>
      </c>
      <c r="L51" s="250">
        <v>0</v>
      </c>
      <c r="M51" s="250">
        <v>0</v>
      </c>
    </row>
    <row r="52" spans="1:13" s="256" customFormat="1" ht="31.5" x14ac:dyDescent="0.25">
      <c r="A52" s="255">
        <v>8</v>
      </c>
      <c r="B52" s="268" t="s">
        <v>821</v>
      </c>
      <c r="C52" s="250">
        <f t="shared" si="3"/>
        <v>1237.67299</v>
      </c>
      <c r="D52" s="250">
        <v>0</v>
      </c>
      <c r="E52" s="250">
        <v>1113.90569</v>
      </c>
      <c r="F52" s="250">
        <v>123.76730000000001</v>
      </c>
      <c r="G52" s="250">
        <f t="shared" si="4"/>
        <v>0</v>
      </c>
      <c r="H52" s="250">
        <v>0</v>
      </c>
      <c r="I52" s="250">
        <v>0</v>
      </c>
      <c r="J52" s="250">
        <v>0</v>
      </c>
      <c r="K52" s="250">
        <f t="shared" si="5"/>
        <v>0</v>
      </c>
      <c r="L52" s="250">
        <v>0</v>
      </c>
      <c r="M52" s="250">
        <v>0</v>
      </c>
    </row>
    <row r="53" spans="1:13" s="256" customFormat="1" ht="63" x14ac:dyDescent="0.25">
      <c r="A53" s="255">
        <v>9</v>
      </c>
      <c r="B53" s="268" t="s">
        <v>820</v>
      </c>
      <c r="C53" s="250">
        <f t="shared" si="3"/>
        <v>870.02467999999999</v>
      </c>
      <c r="D53" s="250">
        <v>0</v>
      </c>
      <c r="E53" s="250">
        <v>783.02220999999997</v>
      </c>
      <c r="F53" s="250">
        <v>87.002470000000002</v>
      </c>
      <c r="G53" s="250">
        <f t="shared" si="4"/>
        <v>0</v>
      </c>
      <c r="H53" s="250">
        <v>0</v>
      </c>
      <c r="I53" s="250">
        <v>0</v>
      </c>
      <c r="J53" s="250">
        <v>0</v>
      </c>
      <c r="K53" s="250">
        <f t="shared" si="5"/>
        <v>0</v>
      </c>
      <c r="L53" s="250">
        <v>0</v>
      </c>
      <c r="M53" s="250">
        <v>0</v>
      </c>
    </row>
    <row r="54" spans="1:13" s="256" customFormat="1" ht="31.5" x14ac:dyDescent="0.25">
      <c r="A54" s="255">
        <v>10</v>
      </c>
      <c r="B54" s="268" t="s">
        <v>851</v>
      </c>
      <c r="C54" s="250">
        <f>D54+E54+F54</f>
        <v>1009.57044</v>
      </c>
      <c r="D54" s="250">
        <v>0</v>
      </c>
      <c r="E54" s="250">
        <v>908.61338999999998</v>
      </c>
      <c r="F54" s="250">
        <v>100.95705</v>
      </c>
      <c r="G54" s="250">
        <f>H54+I54+J54</f>
        <v>0</v>
      </c>
      <c r="H54" s="250">
        <v>0</v>
      </c>
      <c r="I54" s="250">
        <v>0</v>
      </c>
      <c r="J54" s="250">
        <v>0</v>
      </c>
      <c r="K54" s="250">
        <v>0</v>
      </c>
      <c r="L54" s="250">
        <v>0</v>
      </c>
      <c r="M54" s="250">
        <v>0</v>
      </c>
    </row>
    <row r="55" spans="1:13" s="256" customFormat="1" ht="31.5" x14ac:dyDescent="0.25">
      <c r="A55" s="255">
        <v>10</v>
      </c>
      <c r="B55" s="268" t="s">
        <v>949</v>
      </c>
      <c r="C55" s="250">
        <f>D55+E55+F55</f>
        <v>1498.1799900000001</v>
      </c>
      <c r="D55" s="250">
        <v>0</v>
      </c>
      <c r="E55" s="250">
        <v>1348.3619900000001</v>
      </c>
      <c r="F55" s="250">
        <v>149.81800000000001</v>
      </c>
      <c r="G55" s="250">
        <f>H55+I55+J55</f>
        <v>0</v>
      </c>
      <c r="H55" s="250">
        <v>0</v>
      </c>
      <c r="I55" s="250">
        <v>0</v>
      </c>
      <c r="J55" s="250">
        <v>0</v>
      </c>
      <c r="K55" s="250">
        <v>0</v>
      </c>
      <c r="L55" s="250">
        <v>0</v>
      </c>
      <c r="M55" s="250">
        <v>0</v>
      </c>
    </row>
    <row r="56" spans="1:13" s="256" customFormat="1" ht="47.25" x14ac:dyDescent="0.25">
      <c r="A56" s="255">
        <v>10</v>
      </c>
      <c r="B56" s="268" t="s">
        <v>852</v>
      </c>
      <c r="C56" s="250">
        <f>D56+E56+F56</f>
        <v>763.09100999999998</v>
      </c>
      <c r="D56" s="250">
        <v>0</v>
      </c>
      <c r="E56" s="250">
        <v>686.78189999999995</v>
      </c>
      <c r="F56" s="250">
        <v>76.309110000000004</v>
      </c>
      <c r="G56" s="250">
        <f>H56+I56+J56</f>
        <v>0</v>
      </c>
      <c r="H56" s="250">
        <v>0</v>
      </c>
      <c r="I56" s="250">
        <v>0</v>
      </c>
      <c r="J56" s="250">
        <v>0</v>
      </c>
      <c r="K56" s="250">
        <v>0</v>
      </c>
      <c r="L56" s="250">
        <v>0</v>
      </c>
      <c r="M56" s="250">
        <v>0</v>
      </c>
    </row>
    <row r="57" spans="1:13" s="256" customFormat="1" ht="31.5" x14ac:dyDescent="0.25">
      <c r="A57" s="255">
        <v>10</v>
      </c>
      <c r="B57" s="268" t="s">
        <v>853</v>
      </c>
      <c r="C57" s="250">
        <f>D57+E57+F57</f>
        <v>3400.1456000000003</v>
      </c>
      <c r="D57" s="250">
        <v>0</v>
      </c>
      <c r="E57" s="250">
        <v>3060.1310400000002</v>
      </c>
      <c r="F57" s="250">
        <v>340.01456000000002</v>
      </c>
      <c r="G57" s="250">
        <f>H57+I57+J57</f>
        <v>0</v>
      </c>
      <c r="H57" s="250">
        <v>0</v>
      </c>
      <c r="I57" s="250">
        <v>0</v>
      </c>
      <c r="J57" s="250">
        <v>0</v>
      </c>
      <c r="K57" s="250">
        <v>0</v>
      </c>
      <c r="L57" s="250">
        <v>0</v>
      </c>
      <c r="M57" s="250">
        <v>0</v>
      </c>
    </row>
    <row r="58" spans="1:13" s="256" customFormat="1" ht="15.75" x14ac:dyDescent="0.25">
      <c r="A58" s="255">
        <v>10</v>
      </c>
      <c r="B58" s="268" t="s">
        <v>819</v>
      </c>
      <c r="C58" s="250">
        <f t="shared" si="3"/>
        <v>11755.270689999999</v>
      </c>
      <c r="D58" s="250">
        <v>0</v>
      </c>
      <c r="E58" s="250">
        <v>10579.743619999999</v>
      </c>
      <c r="F58" s="250">
        <v>1175.5270700000001</v>
      </c>
      <c r="G58" s="250">
        <f t="shared" si="4"/>
        <v>0</v>
      </c>
      <c r="H58" s="250">
        <v>0</v>
      </c>
      <c r="I58" s="250">
        <v>0</v>
      </c>
      <c r="J58" s="250">
        <v>0</v>
      </c>
      <c r="K58" s="250">
        <v>0</v>
      </c>
      <c r="L58" s="250">
        <v>0</v>
      </c>
      <c r="M58" s="250">
        <v>0</v>
      </c>
    </row>
    <row r="59" spans="1:13" s="256" customFormat="1" ht="15.75" x14ac:dyDescent="0.25">
      <c r="A59" s="255">
        <v>11</v>
      </c>
      <c r="B59" s="268" t="s">
        <v>854</v>
      </c>
      <c r="C59" s="250">
        <f t="shared" si="3"/>
        <v>3151.6082099999999</v>
      </c>
      <c r="D59" s="250">
        <v>0</v>
      </c>
      <c r="E59" s="250">
        <v>2847.79277</v>
      </c>
      <c r="F59" s="267">
        <v>303.81544000000002</v>
      </c>
      <c r="G59" s="250">
        <f t="shared" si="4"/>
        <v>29030.1</v>
      </c>
      <c r="H59" s="250">
        <v>0</v>
      </c>
      <c r="I59" s="250">
        <v>26127.1</v>
      </c>
      <c r="J59" s="250">
        <v>2903</v>
      </c>
      <c r="K59" s="250">
        <f>L59+M59</f>
        <v>29030.1</v>
      </c>
      <c r="L59" s="250">
        <v>26127.1</v>
      </c>
      <c r="M59" s="250">
        <v>2903</v>
      </c>
    </row>
    <row r="60" spans="1:13" s="306" customFormat="1" ht="31.5" x14ac:dyDescent="0.25">
      <c r="A60" s="304"/>
      <c r="B60" s="269" t="s">
        <v>751</v>
      </c>
      <c r="C60" s="305">
        <f>E60+F60</f>
        <v>4287.4999999999991</v>
      </c>
      <c r="D60" s="305">
        <v>0</v>
      </c>
      <c r="E60" s="305">
        <v>0</v>
      </c>
      <c r="F60" s="305">
        <f>SUM(F61:F71)</f>
        <v>4287.4999999999991</v>
      </c>
      <c r="G60" s="305">
        <v>0</v>
      </c>
      <c r="H60" s="305">
        <v>0</v>
      </c>
      <c r="I60" s="305">
        <v>0</v>
      </c>
      <c r="J60" s="305">
        <v>0</v>
      </c>
      <c r="K60" s="305">
        <v>0</v>
      </c>
      <c r="L60" s="305">
        <v>0</v>
      </c>
      <c r="M60" s="305">
        <v>0</v>
      </c>
    </row>
    <row r="61" spans="1:13" s="202" customFormat="1" ht="31.5" x14ac:dyDescent="0.25">
      <c r="A61" s="255">
        <v>1</v>
      </c>
      <c r="B61" s="268" t="s">
        <v>818</v>
      </c>
      <c r="C61" s="250">
        <f t="shared" ref="C61:C69" si="6">E61+F61</f>
        <v>307.8</v>
      </c>
      <c r="D61" s="250">
        <v>0</v>
      </c>
      <c r="E61" s="250">
        <v>0</v>
      </c>
      <c r="F61" s="250">
        <v>307.8</v>
      </c>
      <c r="G61" s="250">
        <v>0</v>
      </c>
      <c r="H61" s="250">
        <v>0</v>
      </c>
      <c r="I61" s="250">
        <v>0</v>
      </c>
      <c r="J61" s="250">
        <v>0</v>
      </c>
      <c r="K61" s="250">
        <v>0</v>
      </c>
      <c r="L61" s="250">
        <v>0</v>
      </c>
      <c r="M61" s="250">
        <v>0</v>
      </c>
    </row>
    <row r="62" spans="1:13" s="202" customFormat="1" ht="31.5" x14ac:dyDescent="0.25">
      <c r="A62" s="255">
        <v>2</v>
      </c>
      <c r="B62" s="268" t="s">
        <v>817</v>
      </c>
      <c r="C62" s="250">
        <f t="shared" si="6"/>
        <v>433.5</v>
      </c>
      <c r="D62" s="250">
        <v>0</v>
      </c>
      <c r="E62" s="250">
        <v>0</v>
      </c>
      <c r="F62" s="250">
        <v>433.5</v>
      </c>
      <c r="G62" s="250">
        <v>0</v>
      </c>
      <c r="H62" s="250">
        <v>0</v>
      </c>
      <c r="I62" s="250">
        <v>0</v>
      </c>
      <c r="J62" s="250">
        <v>0</v>
      </c>
      <c r="K62" s="250">
        <v>0</v>
      </c>
      <c r="L62" s="250">
        <v>0</v>
      </c>
      <c r="M62" s="250">
        <v>0</v>
      </c>
    </row>
    <row r="63" spans="1:13" s="202" customFormat="1" ht="47.25" x14ac:dyDescent="0.25">
      <c r="A63" s="255">
        <v>3</v>
      </c>
      <c r="B63" s="268" t="s">
        <v>816</v>
      </c>
      <c r="C63" s="250">
        <f t="shared" si="6"/>
        <v>487.9</v>
      </c>
      <c r="D63" s="250">
        <v>0</v>
      </c>
      <c r="E63" s="250">
        <v>0</v>
      </c>
      <c r="F63" s="250">
        <v>487.9</v>
      </c>
      <c r="G63" s="250">
        <v>0</v>
      </c>
      <c r="H63" s="250">
        <v>0</v>
      </c>
      <c r="I63" s="250">
        <v>0</v>
      </c>
      <c r="J63" s="250">
        <v>0</v>
      </c>
      <c r="K63" s="250">
        <v>0</v>
      </c>
      <c r="L63" s="250">
        <v>0</v>
      </c>
      <c r="M63" s="250">
        <v>0</v>
      </c>
    </row>
    <row r="64" spans="1:13" s="202" customFormat="1" ht="47.25" x14ac:dyDescent="0.25">
      <c r="A64" s="255">
        <v>4</v>
      </c>
      <c r="B64" s="268" t="s">
        <v>815</v>
      </c>
      <c r="C64" s="250">
        <f t="shared" si="6"/>
        <v>600</v>
      </c>
      <c r="D64" s="250">
        <v>0</v>
      </c>
      <c r="E64" s="250">
        <v>0</v>
      </c>
      <c r="F64" s="250">
        <v>600</v>
      </c>
      <c r="G64" s="250">
        <v>0</v>
      </c>
      <c r="H64" s="250">
        <v>0</v>
      </c>
      <c r="I64" s="250">
        <v>0</v>
      </c>
      <c r="J64" s="250">
        <v>0</v>
      </c>
      <c r="K64" s="250">
        <v>0</v>
      </c>
      <c r="L64" s="250">
        <v>0</v>
      </c>
      <c r="M64" s="250">
        <v>0</v>
      </c>
    </row>
    <row r="65" spans="1:14" s="202" customFormat="1" ht="31.5" x14ac:dyDescent="0.25">
      <c r="A65" s="255">
        <v>5</v>
      </c>
      <c r="B65" s="268" t="s">
        <v>814</v>
      </c>
      <c r="C65" s="250">
        <f t="shared" si="6"/>
        <v>600</v>
      </c>
      <c r="D65" s="250">
        <v>0</v>
      </c>
      <c r="E65" s="250">
        <v>0</v>
      </c>
      <c r="F65" s="250">
        <v>600</v>
      </c>
      <c r="G65" s="250">
        <v>0</v>
      </c>
      <c r="H65" s="250">
        <v>0</v>
      </c>
      <c r="I65" s="250">
        <v>0</v>
      </c>
      <c r="J65" s="250">
        <v>0</v>
      </c>
      <c r="K65" s="250">
        <v>0</v>
      </c>
      <c r="L65" s="250">
        <v>0</v>
      </c>
      <c r="M65" s="250">
        <v>0</v>
      </c>
    </row>
    <row r="66" spans="1:14" s="202" customFormat="1" ht="47.25" x14ac:dyDescent="0.25">
      <c r="A66" s="255">
        <v>6</v>
      </c>
      <c r="B66" s="268" t="s">
        <v>813</v>
      </c>
      <c r="C66" s="250">
        <f t="shared" si="6"/>
        <v>161.6</v>
      </c>
      <c r="D66" s="250">
        <v>0</v>
      </c>
      <c r="E66" s="250">
        <v>0</v>
      </c>
      <c r="F66" s="250">
        <v>161.6</v>
      </c>
      <c r="G66" s="250">
        <v>0</v>
      </c>
      <c r="H66" s="250">
        <v>0</v>
      </c>
      <c r="I66" s="250">
        <v>0</v>
      </c>
      <c r="J66" s="250">
        <v>0</v>
      </c>
      <c r="K66" s="250">
        <v>0</v>
      </c>
      <c r="L66" s="250">
        <v>0</v>
      </c>
      <c r="M66" s="250">
        <v>0</v>
      </c>
    </row>
    <row r="67" spans="1:14" s="202" customFormat="1" ht="47.25" x14ac:dyDescent="0.25">
      <c r="A67" s="255">
        <v>7</v>
      </c>
      <c r="B67" s="268" t="s">
        <v>812</v>
      </c>
      <c r="C67" s="250">
        <f t="shared" si="6"/>
        <v>581.6</v>
      </c>
      <c r="D67" s="250">
        <v>0</v>
      </c>
      <c r="E67" s="250">
        <v>0</v>
      </c>
      <c r="F67" s="250">
        <v>581.6</v>
      </c>
      <c r="G67" s="250">
        <v>0</v>
      </c>
      <c r="H67" s="250">
        <v>0</v>
      </c>
      <c r="I67" s="250">
        <v>0</v>
      </c>
      <c r="J67" s="250">
        <v>0</v>
      </c>
      <c r="K67" s="250">
        <v>0</v>
      </c>
      <c r="L67" s="250">
        <v>0</v>
      </c>
      <c r="M67" s="250">
        <v>0</v>
      </c>
    </row>
    <row r="68" spans="1:14" s="202" customFormat="1" ht="47.25" x14ac:dyDescent="0.25">
      <c r="A68" s="255">
        <v>8</v>
      </c>
      <c r="B68" s="254" t="s">
        <v>811</v>
      </c>
      <c r="C68" s="250">
        <f t="shared" si="6"/>
        <v>567.5</v>
      </c>
      <c r="D68" s="250">
        <v>0</v>
      </c>
      <c r="E68" s="250">
        <v>0</v>
      </c>
      <c r="F68" s="250">
        <v>567.5</v>
      </c>
      <c r="G68" s="250">
        <v>0</v>
      </c>
      <c r="H68" s="250">
        <v>0</v>
      </c>
      <c r="I68" s="250">
        <v>0</v>
      </c>
      <c r="J68" s="250">
        <v>0</v>
      </c>
      <c r="K68" s="250">
        <v>0</v>
      </c>
      <c r="L68" s="250">
        <v>0</v>
      </c>
      <c r="M68" s="250">
        <v>0</v>
      </c>
    </row>
    <row r="69" spans="1:14" s="202" customFormat="1" ht="31.5" x14ac:dyDescent="0.25">
      <c r="A69" s="255">
        <v>9</v>
      </c>
      <c r="B69" s="254" t="s">
        <v>810</v>
      </c>
      <c r="C69" s="250">
        <f t="shared" si="6"/>
        <v>298.40305000000001</v>
      </c>
      <c r="D69" s="250">
        <v>0</v>
      </c>
      <c r="E69" s="250">
        <v>0</v>
      </c>
      <c r="F69" s="250">
        <f>363.7-65.29695</f>
        <v>298.40305000000001</v>
      </c>
      <c r="G69" s="250">
        <v>0</v>
      </c>
      <c r="H69" s="250">
        <v>0</v>
      </c>
      <c r="I69" s="250">
        <v>0</v>
      </c>
      <c r="J69" s="250">
        <v>0</v>
      </c>
      <c r="K69" s="250">
        <v>0</v>
      </c>
      <c r="L69" s="250">
        <v>0</v>
      </c>
      <c r="M69" s="250">
        <v>0</v>
      </c>
    </row>
    <row r="70" spans="1:14" s="202" customFormat="1" ht="47.25" x14ac:dyDescent="0.25">
      <c r="A70" s="255">
        <v>10</v>
      </c>
      <c r="B70" s="279" t="s">
        <v>878</v>
      </c>
      <c r="C70" s="250">
        <f t="shared" ref="C70:C77" si="7">F70</f>
        <v>65.296949999999995</v>
      </c>
      <c r="D70" s="250">
        <v>0</v>
      </c>
      <c r="E70" s="250">
        <v>0</v>
      </c>
      <c r="F70" s="250">
        <v>65.296949999999995</v>
      </c>
      <c r="G70" s="250">
        <v>0</v>
      </c>
      <c r="H70" s="250">
        <v>0</v>
      </c>
      <c r="I70" s="250">
        <v>0</v>
      </c>
      <c r="J70" s="250">
        <v>0</v>
      </c>
      <c r="K70" s="250">
        <v>0</v>
      </c>
      <c r="L70" s="250">
        <v>0</v>
      </c>
      <c r="M70" s="250">
        <v>0</v>
      </c>
    </row>
    <row r="71" spans="1:14" s="202" customFormat="1" ht="31.5" x14ac:dyDescent="0.25">
      <c r="A71" s="255">
        <v>11</v>
      </c>
      <c r="B71" s="254" t="s">
        <v>871</v>
      </c>
      <c r="C71" s="250">
        <f t="shared" si="7"/>
        <v>183.9</v>
      </c>
      <c r="D71" s="250">
        <v>0</v>
      </c>
      <c r="E71" s="250">
        <v>0</v>
      </c>
      <c r="F71" s="250">
        <v>183.9</v>
      </c>
      <c r="G71" s="250">
        <v>0</v>
      </c>
      <c r="H71" s="250">
        <v>0</v>
      </c>
      <c r="I71" s="250">
        <v>0</v>
      </c>
      <c r="J71" s="250">
        <v>0</v>
      </c>
      <c r="K71" s="250">
        <v>0</v>
      </c>
      <c r="L71" s="250">
        <v>0</v>
      </c>
      <c r="M71" s="250">
        <v>0</v>
      </c>
    </row>
    <row r="72" spans="1:14" s="202" customFormat="1" ht="31.5" x14ac:dyDescent="0.25">
      <c r="A72" s="200"/>
      <c r="B72" s="266" t="s">
        <v>752</v>
      </c>
      <c r="C72" s="213">
        <f t="shared" si="7"/>
        <v>2599.9</v>
      </c>
      <c r="D72" s="213">
        <v>0</v>
      </c>
      <c r="E72" s="213">
        <v>0</v>
      </c>
      <c r="F72" s="213">
        <f>F73+F74+F75+F77+F78</f>
        <v>2599.9</v>
      </c>
      <c r="G72" s="213">
        <f>J72</f>
        <v>1660.2</v>
      </c>
      <c r="H72" s="213">
        <v>0</v>
      </c>
      <c r="I72" s="213">
        <v>0</v>
      </c>
      <c r="J72" s="213">
        <v>1660.2</v>
      </c>
      <c r="K72" s="213">
        <v>0</v>
      </c>
      <c r="L72" s="213">
        <v>0</v>
      </c>
      <c r="M72" s="213">
        <v>0</v>
      </c>
    </row>
    <row r="73" spans="1:14" s="202" customFormat="1" ht="47.25" x14ac:dyDescent="0.25">
      <c r="A73" s="255">
        <v>1</v>
      </c>
      <c r="B73" s="254" t="s">
        <v>809</v>
      </c>
      <c r="C73" s="250">
        <f t="shared" si="7"/>
        <v>200</v>
      </c>
      <c r="D73" s="250">
        <v>0</v>
      </c>
      <c r="E73" s="250">
        <v>0</v>
      </c>
      <c r="F73" s="250">
        <v>200</v>
      </c>
      <c r="G73" s="250">
        <v>0</v>
      </c>
      <c r="H73" s="250">
        <v>0</v>
      </c>
      <c r="I73" s="250">
        <v>0</v>
      </c>
      <c r="J73" s="250">
        <v>0</v>
      </c>
      <c r="K73" s="250">
        <v>0</v>
      </c>
      <c r="L73" s="250">
        <v>0</v>
      </c>
      <c r="M73" s="250">
        <v>0</v>
      </c>
    </row>
    <row r="74" spans="1:14" s="202" customFormat="1" ht="31.5" x14ac:dyDescent="0.25">
      <c r="A74" s="255">
        <v>2</v>
      </c>
      <c r="B74" s="254" t="s">
        <v>808</v>
      </c>
      <c r="C74" s="250">
        <f t="shared" si="7"/>
        <v>599.9</v>
      </c>
      <c r="D74" s="250">
        <v>0</v>
      </c>
      <c r="E74" s="250">
        <v>0</v>
      </c>
      <c r="F74" s="250">
        <v>599.9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0</v>
      </c>
      <c r="M74" s="250">
        <v>0</v>
      </c>
    </row>
    <row r="75" spans="1:14" s="202" customFormat="1" ht="15.75" x14ac:dyDescent="0.25">
      <c r="A75" s="255">
        <v>3</v>
      </c>
      <c r="B75" s="254" t="s">
        <v>885</v>
      </c>
      <c r="C75" s="250">
        <f t="shared" si="7"/>
        <v>600</v>
      </c>
      <c r="D75" s="250">
        <v>0</v>
      </c>
      <c r="E75" s="250">
        <v>0</v>
      </c>
      <c r="F75" s="250">
        <v>600</v>
      </c>
      <c r="G75" s="250">
        <v>0</v>
      </c>
      <c r="H75" s="250">
        <v>0</v>
      </c>
      <c r="I75" s="250">
        <v>0</v>
      </c>
      <c r="J75" s="250">
        <v>0</v>
      </c>
      <c r="K75" s="250">
        <v>0</v>
      </c>
      <c r="L75" s="250">
        <v>0</v>
      </c>
      <c r="M75" s="250">
        <v>0</v>
      </c>
      <c r="N75" s="253"/>
    </row>
    <row r="76" spans="1:14" s="202" customFormat="1" ht="31.5" x14ac:dyDescent="0.25">
      <c r="A76" s="255">
        <v>4</v>
      </c>
      <c r="B76" s="254" t="s">
        <v>807</v>
      </c>
      <c r="C76" s="250">
        <f t="shared" si="7"/>
        <v>0</v>
      </c>
      <c r="D76" s="250">
        <v>0</v>
      </c>
      <c r="E76" s="250">
        <v>0</v>
      </c>
      <c r="F76" s="250">
        <v>0</v>
      </c>
      <c r="G76" s="250">
        <f>J76</f>
        <v>1660.2</v>
      </c>
      <c r="H76" s="250">
        <v>0</v>
      </c>
      <c r="I76" s="250">
        <v>0</v>
      </c>
      <c r="J76" s="250">
        <v>1660.2</v>
      </c>
      <c r="K76" s="250">
        <v>0</v>
      </c>
      <c r="L76" s="250">
        <v>0</v>
      </c>
      <c r="M76" s="250">
        <v>0</v>
      </c>
      <c r="N76" s="253"/>
    </row>
    <row r="77" spans="1:14" s="202" customFormat="1" ht="31.5" x14ac:dyDescent="0.25">
      <c r="A77" s="255"/>
      <c r="B77" s="254" t="s">
        <v>945</v>
      </c>
      <c r="C77" s="250">
        <f t="shared" si="7"/>
        <v>600</v>
      </c>
      <c r="D77" s="250">
        <v>0</v>
      </c>
      <c r="E77" s="250">
        <v>0</v>
      </c>
      <c r="F77" s="250">
        <v>600</v>
      </c>
      <c r="G77" s="250">
        <v>0</v>
      </c>
      <c r="H77" s="250">
        <v>0</v>
      </c>
      <c r="I77" s="250">
        <v>0</v>
      </c>
      <c r="J77" s="250">
        <v>0</v>
      </c>
      <c r="K77" s="250">
        <v>0</v>
      </c>
      <c r="L77" s="250">
        <v>0</v>
      </c>
      <c r="M77" s="250">
        <v>0</v>
      </c>
      <c r="N77" s="253"/>
    </row>
    <row r="78" spans="1:14" s="202" customFormat="1" ht="33.75" customHeight="1" x14ac:dyDescent="0.25">
      <c r="A78" s="255"/>
      <c r="B78" s="254" t="s">
        <v>950</v>
      </c>
      <c r="C78" s="250">
        <v>600</v>
      </c>
      <c r="D78" s="250">
        <v>0</v>
      </c>
      <c r="E78" s="250">
        <v>0</v>
      </c>
      <c r="F78" s="250">
        <v>600</v>
      </c>
      <c r="G78" s="250">
        <v>0</v>
      </c>
      <c r="H78" s="250">
        <v>0</v>
      </c>
      <c r="I78" s="250">
        <v>0</v>
      </c>
      <c r="J78" s="250">
        <v>0</v>
      </c>
      <c r="K78" s="250">
        <v>0</v>
      </c>
      <c r="L78" s="250">
        <v>0</v>
      </c>
      <c r="M78" s="250">
        <v>0</v>
      </c>
      <c r="N78" s="253"/>
    </row>
    <row r="79" spans="1:14" s="199" customFormat="1" ht="31.5" x14ac:dyDescent="0.25">
      <c r="A79" s="197" t="s">
        <v>864</v>
      </c>
      <c r="B79" s="203" t="s">
        <v>743</v>
      </c>
      <c r="C79" s="212">
        <f>E79+F79</f>
        <v>22717.7</v>
      </c>
      <c r="D79" s="212">
        <v>0</v>
      </c>
      <c r="E79" s="212">
        <v>0</v>
      </c>
      <c r="F79" s="212">
        <f>F80</f>
        <v>22717.7</v>
      </c>
      <c r="G79" s="212">
        <f>I79+J79</f>
        <v>23096.2</v>
      </c>
      <c r="H79" s="212">
        <v>0</v>
      </c>
      <c r="I79" s="212">
        <v>0</v>
      </c>
      <c r="J79" s="212">
        <f>J80</f>
        <v>23096.2</v>
      </c>
      <c r="K79" s="212">
        <f t="shared" ref="K79:K84" si="8">L79+M79</f>
        <v>29296.799999999999</v>
      </c>
      <c r="L79" s="214">
        <v>0</v>
      </c>
      <c r="M79" s="212">
        <f>M80</f>
        <v>29296.799999999999</v>
      </c>
    </row>
    <row r="80" spans="1:14" s="202" customFormat="1" ht="64.5" customHeight="1" x14ac:dyDescent="0.25">
      <c r="A80" s="200"/>
      <c r="B80" s="209" t="s">
        <v>753</v>
      </c>
      <c r="C80" s="213">
        <f>E80+F80</f>
        <v>22717.7</v>
      </c>
      <c r="D80" s="213">
        <v>0</v>
      </c>
      <c r="E80" s="213">
        <v>0</v>
      </c>
      <c r="F80" s="213">
        <f>22207.9+509.8</f>
        <v>22717.7</v>
      </c>
      <c r="G80" s="213">
        <f>I80+J80</f>
        <v>23096.2</v>
      </c>
      <c r="H80" s="213">
        <v>0</v>
      </c>
      <c r="I80" s="213">
        <v>0</v>
      </c>
      <c r="J80" s="213">
        <v>23096.2</v>
      </c>
      <c r="K80" s="213">
        <f t="shared" si="8"/>
        <v>29296.799999999999</v>
      </c>
      <c r="L80" s="215">
        <v>0</v>
      </c>
      <c r="M80" s="213">
        <v>29296.799999999999</v>
      </c>
    </row>
    <row r="81" spans="1:13" s="199" customFormat="1" ht="31.5" x14ac:dyDescent="0.25">
      <c r="A81" s="197" t="s">
        <v>865</v>
      </c>
      <c r="B81" s="203" t="s">
        <v>514</v>
      </c>
      <c r="C81" s="212">
        <f>E81+F81+D81</f>
        <v>41864.770000000004</v>
      </c>
      <c r="D81" s="212">
        <f>D82</f>
        <v>39572.673840000003</v>
      </c>
      <c r="E81" s="212">
        <f>E82</f>
        <v>2082.7723099999998</v>
      </c>
      <c r="F81" s="212">
        <f>F82</f>
        <v>209.32384999999999</v>
      </c>
      <c r="G81" s="212">
        <f>I81+J81+H81</f>
        <v>50149.651750000005</v>
      </c>
      <c r="H81" s="212">
        <f>H82</f>
        <v>47403.956680000003</v>
      </c>
      <c r="I81" s="212">
        <f>I82</f>
        <v>2494.9450700000002</v>
      </c>
      <c r="J81" s="212">
        <f>J82</f>
        <v>250.75</v>
      </c>
      <c r="K81" s="212">
        <f t="shared" si="8"/>
        <v>0</v>
      </c>
      <c r="L81" s="214">
        <v>0</v>
      </c>
      <c r="M81" s="212">
        <f>M82</f>
        <v>0</v>
      </c>
    </row>
    <row r="82" spans="1:13" s="202" customFormat="1" ht="31.5" x14ac:dyDescent="0.25">
      <c r="A82" s="200"/>
      <c r="B82" s="209" t="s">
        <v>754</v>
      </c>
      <c r="C82" s="213">
        <f>E82+F82+D82</f>
        <v>41864.770000000004</v>
      </c>
      <c r="D82" s="213">
        <f>'[1]Приложение 2'!F218</f>
        <v>39572.673840000003</v>
      </c>
      <c r="E82" s="213">
        <f>'[1]Приложение 2'!F219</f>
        <v>2082.7723099999998</v>
      </c>
      <c r="F82" s="213">
        <f>'[1]Приложение 2'!F220</f>
        <v>209.32384999999999</v>
      </c>
      <c r="G82" s="213">
        <f>I82+J82+H82</f>
        <v>50149.651750000005</v>
      </c>
      <c r="H82" s="213">
        <f>'[1]Приложение 2'!G218</f>
        <v>47403.956680000003</v>
      </c>
      <c r="I82" s="213">
        <f>'[1]Приложение 2'!G219</f>
        <v>2494.9450700000002</v>
      </c>
      <c r="J82" s="213">
        <f>J84</f>
        <v>250.75</v>
      </c>
      <c r="K82" s="213">
        <f t="shared" si="8"/>
        <v>0</v>
      </c>
      <c r="L82" s="215">
        <v>0</v>
      </c>
      <c r="M82" s="213">
        <v>0</v>
      </c>
    </row>
    <row r="83" spans="1:13" s="202" customFormat="1" ht="31.5" customHeight="1" x14ac:dyDescent="0.25">
      <c r="A83" s="200"/>
      <c r="B83" s="252" t="s">
        <v>806</v>
      </c>
      <c r="C83" s="250">
        <f>D83+E83+F83</f>
        <v>41864.770000000004</v>
      </c>
      <c r="D83" s="250">
        <v>39572.673840000003</v>
      </c>
      <c r="E83" s="250">
        <v>2082.7723099999998</v>
      </c>
      <c r="F83" s="250">
        <v>209.32384999999999</v>
      </c>
      <c r="G83" s="250">
        <v>0</v>
      </c>
      <c r="H83" s="250">
        <v>0</v>
      </c>
      <c r="I83" s="250">
        <v>0</v>
      </c>
      <c r="J83" s="250">
        <v>0</v>
      </c>
      <c r="K83" s="250">
        <f t="shared" si="8"/>
        <v>0</v>
      </c>
      <c r="L83" s="251">
        <v>0</v>
      </c>
      <c r="M83" s="250">
        <v>0</v>
      </c>
    </row>
    <row r="84" spans="1:13" s="202" customFormat="1" ht="31.5" x14ac:dyDescent="0.25">
      <c r="A84" s="200"/>
      <c r="B84" s="252" t="s">
        <v>805</v>
      </c>
      <c r="C84" s="250">
        <v>0</v>
      </c>
      <c r="D84" s="250">
        <v>0</v>
      </c>
      <c r="E84" s="250">
        <v>0</v>
      </c>
      <c r="F84" s="250">
        <v>0</v>
      </c>
      <c r="G84" s="250">
        <f>H84+I84+J84</f>
        <v>50149.651750000005</v>
      </c>
      <c r="H84" s="250">
        <v>47403.956680000003</v>
      </c>
      <c r="I84" s="250">
        <v>2494.9450700000002</v>
      </c>
      <c r="J84" s="250">
        <v>250.75</v>
      </c>
      <c r="K84" s="250">
        <f t="shared" si="8"/>
        <v>0</v>
      </c>
      <c r="L84" s="251">
        <v>0</v>
      </c>
      <c r="M84" s="250">
        <v>0</v>
      </c>
    </row>
    <row r="85" spans="1:13" s="196" customFormat="1" ht="47.25" x14ac:dyDescent="0.25">
      <c r="A85" s="194" t="s">
        <v>744</v>
      </c>
      <c r="B85" s="195" t="s">
        <v>745</v>
      </c>
      <c r="C85" s="211">
        <f>C86+C94</f>
        <v>4849.9124499999998</v>
      </c>
      <c r="D85" s="211">
        <v>0</v>
      </c>
      <c r="E85" s="211">
        <v>0</v>
      </c>
      <c r="F85" s="211">
        <f>F86+F94</f>
        <v>2168.7112499999998</v>
      </c>
      <c r="G85" s="211">
        <f>J85</f>
        <v>0</v>
      </c>
      <c r="H85" s="211">
        <v>0</v>
      </c>
      <c r="I85" s="211">
        <v>0</v>
      </c>
      <c r="J85" s="211">
        <f>J87</f>
        <v>0</v>
      </c>
      <c r="K85" s="211">
        <f>K87</f>
        <v>0</v>
      </c>
      <c r="L85" s="216">
        <v>0</v>
      </c>
      <c r="M85" s="211">
        <f>M87</f>
        <v>0</v>
      </c>
    </row>
    <row r="86" spans="1:13" s="202" customFormat="1" ht="72.75" customHeight="1" x14ac:dyDescent="0.25">
      <c r="A86" s="197" t="s">
        <v>746</v>
      </c>
      <c r="B86" s="198" t="s">
        <v>552</v>
      </c>
      <c r="C86" s="217">
        <f>C87+C88</f>
        <v>4642.9124499999998</v>
      </c>
      <c r="D86" s="217">
        <f>D87+D88</f>
        <v>0</v>
      </c>
      <c r="E86" s="217">
        <f>E87+E88</f>
        <v>2681.2012</v>
      </c>
      <c r="F86" s="217">
        <f>F87+F88</f>
        <v>1961.7112499999998</v>
      </c>
      <c r="G86" s="217">
        <v>0</v>
      </c>
      <c r="H86" s="217">
        <v>0</v>
      </c>
      <c r="I86" s="217">
        <v>0</v>
      </c>
      <c r="J86" s="217">
        <v>0</v>
      </c>
      <c r="K86" s="217">
        <v>0</v>
      </c>
      <c r="L86" s="218">
        <v>0</v>
      </c>
      <c r="M86" s="217">
        <v>0</v>
      </c>
    </row>
    <row r="87" spans="1:13" ht="49.5" customHeight="1" x14ac:dyDescent="0.25">
      <c r="A87" s="204"/>
      <c r="B87" s="205" t="s">
        <v>758</v>
      </c>
      <c r="C87" s="219">
        <v>1663.8</v>
      </c>
      <c r="D87" s="219">
        <v>0</v>
      </c>
      <c r="E87" s="219">
        <v>0</v>
      </c>
      <c r="F87" s="219">
        <v>1663.8</v>
      </c>
      <c r="G87" s="219">
        <f>J87</f>
        <v>0</v>
      </c>
      <c r="H87" s="219">
        <v>0</v>
      </c>
      <c r="I87" s="219">
        <v>0</v>
      </c>
      <c r="J87" s="219">
        <v>0</v>
      </c>
      <c r="K87" s="219">
        <v>0</v>
      </c>
      <c r="L87" s="220">
        <v>0</v>
      </c>
      <c r="M87" s="221">
        <v>0</v>
      </c>
    </row>
    <row r="88" spans="1:13" ht="47.25" x14ac:dyDescent="0.25">
      <c r="A88" s="204"/>
      <c r="B88" s="205" t="s">
        <v>804</v>
      </c>
      <c r="C88" s="219">
        <f>C89+C90+C91+C92+C93</f>
        <v>2979.1124500000001</v>
      </c>
      <c r="D88" s="219">
        <f>D89+D90+D91+D92+D93</f>
        <v>0</v>
      </c>
      <c r="E88" s="219">
        <f>E89+E90+E91+E92+E93</f>
        <v>2681.2012</v>
      </c>
      <c r="F88" s="219">
        <f>F89+F90+F91+F92+F93</f>
        <v>297.91125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20">
        <v>0</v>
      </c>
      <c r="M88" s="221">
        <v>0</v>
      </c>
    </row>
    <row r="89" spans="1:13" ht="33" customHeight="1" x14ac:dyDescent="0.25">
      <c r="A89" s="204"/>
      <c r="B89" s="249" t="s">
        <v>803</v>
      </c>
      <c r="C89" s="248">
        <f>D89+E89+F89</f>
        <v>595.82249000000002</v>
      </c>
      <c r="D89" s="248">
        <v>0</v>
      </c>
      <c r="E89" s="248">
        <v>536.24023999999997</v>
      </c>
      <c r="F89" s="248">
        <v>59.582250000000002</v>
      </c>
      <c r="G89" s="248">
        <v>0</v>
      </c>
      <c r="H89" s="248">
        <v>0</v>
      </c>
      <c r="I89" s="248">
        <v>0</v>
      </c>
      <c r="J89" s="248">
        <v>0</v>
      </c>
      <c r="K89" s="248">
        <v>0</v>
      </c>
      <c r="L89" s="247">
        <v>0</v>
      </c>
      <c r="M89" s="246">
        <v>0</v>
      </c>
    </row>
    <row r="90" spans="1:13" ht="15.75" x14ac:dyDescent="0.25">
      <c r="A90" s="204"/>
      <c r="B90" s="249" t="s">
        <v>802</v>
      </c>
      <c r="C90" s="248">
        <f>D90+E90+F90</f>
        <v>595.82249000000002</v>
      </c>
      <c r="D90" s="248">
        <v>0</v>
      </c>
      <c r="E90" s="248">
        <v>536.24023999999997</v>
      </c>
      <c r="F90" s="248">
        <v>59.582250000000002</v>
      </c>
      <c r="G90" s="248">
        <v>0</v>
      </c>
      <c r="H90" s="248">
        <v>0</v>
      </c>
      <c r="I90" s="248">
        <v>0</v>
      </c>
      <c r="J90" s="248">
        <v>0</v>
      </c>
      <c r="K90" s="248">
        <v>0</v>
      </c>
      <c r="L90" s="247">
        <v>0</v>
      </c>
      <c r="M90" s="246">
        <v>0</v>
      </c>
    </row>
    <row r="91" spans="1:13" ht="32.25" customHeight="1" x14ac:dyDescent="0.25">
      <c r="A91" s="204"/>
      <c r="B91" s="249" t="s">
        <v>801</v>
      </c>
      <c r="C91" s="248">
        <f>D91+E91+F91</f>
        <v>595.82249000000002</v>
      </c>
      <c r="D91" s="248">
        <v>0</v>
      </c>
      <c r="E91" s="248">
        <v>536.24023999999997</v>
      </c>
      <c r="F91" s="248">
        <v>59.582250000000002</v>
      </c>
      <c r="G91" s="248">
        <v>0</v>
      </c>
      <c r="H91" s="248">
        <v>0</v>
      </c>
      <c r="I91" s="248">
        <v>0</v>
      </c>
      <c r="J91" s="248">
        <v>0</v>
      </c>
      <c r="K91" s="248">
        <v>0</v>
      </c>
      <c r="L91" s="247">
        <v>0</v>
      </c>
      <c r="M91" s="246">
        <v>0</v>
      </c>
    </row>
    <row r="92" spans="1:13" ht="30.75" customHeight="1" x14ac:dyDescent="0.25">
      <c r="A92" s="204"/>
      <c r="B92" s="249" t="s">
        <v>800</v>
      </c>
      <c r="C92" s="248">
        <f>D92+E92+F92</f>
        <v>595.82249000000002</v>
      </c>
      <c r="D92" s="248">
        <v>0</v>
      </c>
      <c r="E92" s="248">
        <v>536.24023999999997</v>
      </c>
      <c r="F92" s="248">
        <v>59.582250000000002</v>
      </c>
      <c r="G92" s="248">
        <v>0</v>
      </c>
      <c r="H92" s="248">
        <v>0</v>
      </c>
      <c r="I92" s="248">
        <v>0</v>
      </c>
      <c r="J92" s="248">
        <v>0</v>
      </c>
      <c r="K92" s="248">
        <v>0</v>
      </c>
      <c r="L92" s="247">
        <v>0</v>
      </c>
      <c r="M92" s="246">
        <v>0</v>
      </c>
    </row>
    <row r="93" spans="1:13" ht="15.75" x14ac:dyDescent="0.25">
      <c r="A93" s="204"/>
      <c r="B93" s="249" t="s">
        <v>799</v>
      </c>
      <c r="C93" s="248">
        <f>D93+E93+F93</f>
        <v>595.82249000000002</v>
      </c>
      <c r="D93" s="248">
        <v>0</v>
      </c>
      <c r="E93" s="248">
        <v>536.24023999999997</v>
      </c>
      <c r="F93" s="248">
        <v>59.582250000000002</v>
      </c>
      <c r="G93" s="248">
        <v>0</v>
      </c>
      <c r="H93" s="248">
        <v>0</v>
      </c>
      <c r="I93" s="248">
        <v>0</v>
      </c>
      <c r="J93" s="248">
        <v>0</v>
      </c>
      <c r="K93" s="248">
        <v>0</v>
      </c>
      <c r="L93" s="247">
        <v>0</v>
      </c>
      <c r="M93" s="246">
        <v>0</v>
      </c>
    </row>
    <row r="94" spans="1:13" s="202" customFormat="1" ht="47.25" x14ac:dyDescent="0.25">
      <c r="A94" s="197" t="s">
        <v>756</v>
      </c>
      <c r="B94" s="198" t="s">
        <v>498</v>
      </c>
      <c r="C94" s="217">
        <f>C95+C96</f>
        <v>207</v>
      </c>
      <c r="D94" s="217">
        <v>0</v>
      </c>
      <c r="E94" s="217">
        <v>0</v>
      </c>
      <c r="F94" s="217">
        <f>F95+F96</f>
        <v>207</v>
      </c>
      <c r="G94" s="217">
        <v>0</v>
      </c>
      <c r="H94" s="217">
        <v>0</v>
      </c>
      <c r="I94" s="217">
        <v>0</v>
      </c>
      <c r="J94" s="217">
        <v>0</v>
      </c>
      <c r="K94" s="217">
        <v>0</v>
      </c>
      <c r="L94" s="218">
        <v>0</v>
      </c>
      <c r="M94" s="217">
        <v>0</v>
      </c>
    </row>
    <row r="95" spans="1:13" ht="31.5" x14ac:dyDescent="0.25">
      <c r="A95" s="204"/>
      <c r="B95" s="205" t="s">
        <v>757</v>
      </c>
      <c r="C95" s="219">
        <f>F95</f>
        <v>192</v>
      </c>
      <c r="D95" s="219">
        <v>0</v>
      </c>
      <c r="E95" s="219">
        <v>0</v>
      </c>
      <c r="F95" s="219">
        <v>192</v>
      </c>
      <c r="G95" s="219">
        <f>J95</f>
        <v>0</v>
      </c>
      <c r="H95" s="219">
        <v>0</v>
      </c>
      <c r="I95" s="219">
        <v>0</v>
      </c>
      <c r="J95" s="219">
        <v>0</v>
      </c>
      <c r="K95" s="219">
        <v>0</v>
      </c>
      <c r="L95" s="220">
        <v>0</v>
      </c>
      <c r="M95" s="221">
        <v>0</v>
      </c>
    </row>
    <row r="96" spans="1:13" ht="47.25" x14ac:dyDescent="0.25">
      <c r="A96" s="204"/>
      <c r="B96" s="205" t="s">
        <v>759</v>
      </c>
      <c r="C96" s="219">
        <f>F96</f>
        <v>15</v>
      </c>
      <c r="D96" s="219">
        <v>0</v>
      </c>
      <c r="E96" s="219">
        <v>0</v>
      </c>
      <c r="F96" s="219">
        <v>15</v>
      </c>
      <c r="G96" s="219">
        <f>J96</f>
        <v>0</v>
      </c>
      <c r="H96" s="219">
        <v>0</v>
      </c>
      <c r="I96" s="219">
        <v>0</v>
      </c>
      <c r="J96" s="219">
        <v>0</v>
      </c>
      <c r="K96" s="219">
        <v>0</v>
      </c>
      <c r="L96" s="220">
        <v>0</v>
      </c>
      <c r="M96" s="221">
        <v>0</v>
      </c>
    </row>
    <row r="97" spans="1:13" ht="15.75" x14ac:dyDescent="0.25">
      <c r="A97" s="206"/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</row>
    <row r="98" spans="1:13" ht="16.5" x14ac:dyDescent="0.25">
      <c r="B98" s="271" t="s">
        <v>867</v>
      </c>
      <c r="D98" s="272">
        <f>4843.35506+C18-C34</f>
        <v>0</v>
      </c>
    </row>
    <row r="99" spans="1:13" ht="15.75" x14ac:dyDescent="0.25">
      <c r="B99" s="275"/>
    </row>
  </sheetData>
  <mergeCells count="26">
    <mergeCell ref="A12:M12"/>
    <mergeCell ref="A28:M28"/>
    <mergeCell ref="C14:M15"/>
    <mergeCell ref="H16:J16"/>
    <mergeCell ref="D16:F16"/>
    <mergeCell ref="A14:A17"/>
    <mergeCell ref="B14:B17"/>
    <mergeCell ref="C16:C17"/>
    <mergeCell ref="G16:G17"/>
    <mergeCell ref="K16:K17"/>
    <mergeCell ref="L16:M16"/>
    <mergeCell ref="A30:A33"/>
    <mergeCell ref="B30:B33"/>
    <mergeCell ref="C30:M31"/>
    <mergeCell ref="C32:C33"/>
    <mergeCell ref="G32:G33"/>
    <mergeCell ref="K32:K33"/>
    <mergeCell ref="D32:F32"/>
    <mergeCell ref="H32:J32"/>
    <mergeCell ref="L32:M32"/>
    <mergeCell ref="A7:M7"/>
    <mergeCell ref="K1:M1"/>
    <mergeCell ref="K2:M2"/>
    <mergeCell ref="K3:M3"/>
    <mergeCell ref="K4:M4"/>
    <mergeCell ref="K5:M5"/>
  </mergeCells>
  <pageMargins left="0.70866141732283472" right="0.70866141732283472" top="1.1417322834645669" bottom="0.35433070866141736" header="0.31496062992125984" footer="0.31496062992125984"/>
  <pageSetup paperSize="9" scale="53" orientation="landscape" r:id="rId1"/>
  <rowBreaks count="1" manualBreakCount="1">
    <brk id="27" max="12" man="1"/>
  </rowBreaks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="85" zoomScaleSheetLayoutView="85" workbookViewId="0">
      <selection activeCell="A5" sqref="C5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5" width="16.28515625" customWidth="1"/>
  </cols>
  <sheetData>
    <row r="1" spans="1:5" ht="15.75" x14ac:dyDescent="0.25">
      <c r="A1" s="186"/>
      <c r="B1" s="186"/>
      <c r="C1" s="321" t="s">
        <v>720</v>
      </c>
      <c r="D1" s="321"/>
      <c r="E1" s="321"/>
    </row>
    <row r="2" spans="1:5" ht="15.75" customHeight="1" x14ac:dyDescent="0.25">
      <c r="A2" s="186"/>
      <c r="B2" s="189"/>
      <c r="C2" s="337" t="s">
        <v>475</v>
      </c>
      <c r="D2" s="337"/>
      <c r="E2" s="337"/>
    </row>
    <row r="3" spans="1:5" ht="15.75" x14ac:dyDescent="0.25">
      <c r="A3" s="186"/>
      <c r="B3" s="188"/>
      <c r="C3" s="321" t="s">
        <v>719</v>
      </c>
      <c r="D3" s="321"/>
      <c r="E3" s="321"/>
    </row>
    <row r="4" spans="1:5" ht="15.75" x14ac:dyDescent="0.25">
      <c r="A4" s="186"/>
      <c r="B4" s="187"/>
      <c r="C4" s="321" t="s">
        <v>954</v>
      </c>
      <c r="D4" s="321"/>
      <c r="E4" s="321"/>
    </row>
    <row r="5" spans="1:5" ht="46.9" customHeight="1" x14ac:dyDescent="0.25">
      <c r="A5" s="338" t="s">
        <v>721</v>
      </c>
      <c r="B5" s="338"/>
      <c r="C5" s="338"/>
      <c r="D5" s="338"/>
      <c r="E5" s="338"/>
    </row>
    <row r="6" spans="1:5" x14ac:dyDescent="0.25">
      <c r="A6" s="186"/>
      <c r="B6" s="336" t="s">
        <v>718</v>
      </c>
      <c r="C6" s="336"/>
      <c r="D6" s="336"/>
      <c r="E6" s="336"/>
    </row>
    <row r="7" spans="1:5" ht="71.25" x14ac:dyDescent="0.25">
      <c r="A7" s="185" t="s">
        <v>717</v>
      </c>
      <c r="B7" s="185" t="s">
        <v>716</v>
      </c>
      <c r="C7" s="185" t="s">
        <v>3</v>
      </c>
      <c r="D7" s="185" t="s">
        <v>4</v>
      </c>
      <c r="E7" s="185" t="s">
        <v>497</v>
      </c>
    </row>
    <row r="8" spans="1:5" hidden="1" x14ac:dyDescent="0.25">
      <c r="A8" s="181"/>
      <c r="B8" s="181"/>
      <c r="C8" s="181"/>
      <c r="D8" s="181"/>
      <c r="E8" s="181"/>
    </row>
    <row r="9" spans="1:5" ht="45" x14ac:dyDescent="0.25">
      <c r="A9" s="184" t="s">
        <v>715</v>
      </c>
      <c r="B9" s="183" t="s">
        <v>714</v>
      </c>
      <c r="C9" s="182">
        <f>C10</f>
        <v>17590.268129999866</v>
      </c>
      <c r="D9" s="182">
        <f>D10</f>
        <v>-1.1641532182693481E-10</v>
      </c>
      <c r="E9" s="182">
        <f>E10</f>
        <v>-1.1641532182693481E-10</v>
      </c>
    </row>
    <row r="10" spans="1:5" ht="30" x14ac:dyDescent="0.25">
      <c r="A10" s="184" t="s">
        <v>713</v>
      </c>
      <c r="B10" s="183" t="s">
        <v>712</v>
      </c>
      <c r="C10" s="182">
        <f>(C14+C15)</f>
        <v>17590.268129999866</v>
      </c>
      <c r="D10" s="182">
        <f>(D14+D15)</f>
        <v>-1.1641532182693481E-10</v>
      </c>
      <c r="E10" s="182">
        <f>(E14+E15)</f>
        <v>-1.1641532182693481E-10</v>
      </c>
    </row>
    <row r="11" spans="1:5" x14ac:dyDescent="0.25">
      <c r="A11" s="181" t="s">
        <v>711</v>
      </c>
      <c r="B11" s="180" t="s">
        <v>710</v>
      </c>
      <c r="C11" s="179">
        <f t="shared" ref="C11:E13" si="0">C12</f>
        <v>-1019910.37667</v>
      </c>
      <c r="D11" s="179">
        <f t="shared" si="0"/>
        <v>-940724.18276</v>
      </c>
      <c r="E11" s="179">
        <f t="shared" si="0"/>
        <v>-863109.92134</v>
      </c>
    </row>
    <row r="12" spans="1:5" ht="30" x14ac:dyDescent="0.25">
      <c r="A12" s="181" t="s">
        <v>709</v>
      </c>
      <c r="B12" s="180" t="s">
        <v>708</v>
      </c>
      <c r="C12" s="179">
        <f t="shared" si="0"/>
        <v>-1019910.37667</v>
      </c>
      <c r="D12" s="179">
        <f t="shared" si="0"/>
        <v>-940724.18276</v>
      </c>
      <c r="E12" s="179">
        <f t="shared" si="0"/>
        <v>-863109.92134</v>
      </c>
    </row>
    <row r="13" spans="1:5" ht="30" x14ac:dyDescent="0.25">
      <c r="A13" s="181" t="s">
        <v>707</v>
      </c>
      <c r="B13" s="180" t="s">
        <v>706</v>
      </c>
      <c r="C13" s="179">
        <f t="shared" si="0"/>
        <v>-1019910.37667</v>
      </c>
      <c r="D13" s="179">
        <f t="shared" si="0"/>
        <v>-940724.18276</v>
      </c>
      <c r="E13" s="179">
        <f t="shared" si="0"/>
        <v>-863109.92134</v>
      </c>
    </row>
    <row r="14" spans="1:5" ht="45" x14ac:dyDescent="0.25">
      <c r="A14" s="181" t="s">
        <v>705</v>
      </c>
      <c r="B14" s="180" t="s">
        <v>704</v>
      </c>
      <c r="C14" s="179">
        <v>-1019910.37667</v>
      </c>
      <c r="D14" s="179">
        <v>-940724.18276</v>
      </c>
      <c r="E14" s="179">
        <v>-863109.92134</v>
      </c>
    </row>
    <row r="15" spans="1:5" ht="30" x14ac:dyDescent="0.25">
      <c r="A15" s="181" t="s">
        <v>703</v>
      </c>
      <c r="B15" s="180" t="s">
        <v>702</v>
      </c>
      <c r="C15" s="179">
        <f>C16</f>
        <v>1037500.6447999999</v>
      </c>
      <c r="D15" s="179">
        <f>D18</f>
        <v>940724.18275999988</v>
      </c>
      <c r="E15" s="179">
        <f>E18</f>
        <v>863109.92133999988</v>
      </c>
    </row>
    <row r="16" spans="1:5" ht="30" x14ac:dyDescent="0.25">
      <c r="A16" s="181" t="s">
        <v>701</v>
      </c>
      <c r="B16" s="180" t="s">
        <v>700</v>
      </c>
      <c r="C16" s="179">
        <f>C17</f>
        <v>1037500.6447999999</v>
      </c>
      <c r="D16" s="179">
        <f>D18</f>
        <v>940724.18275999988</v>
      </c>
      <c r="E16" s="179">
        <f>E18</f>
        <v>863109.92133999988</v>
      </c>
    </row>
    <row r="17" spans="1:5" ht="30" x14ac:dyDescent="0.25">
      <c r="A17" s="181" t="s">
        <v>699</v>
      </c>
      <c r="B17" s="180" t="s">
        <v>698</v>
      </c>
      <c r="C17" s="179">
        <f>C18</f>
        <v>1037500.6447999999</v>
      </c>
      <c r="D17" s="179">
        <f>D18</f>
        <v>940724.18275999988</v>
      </c>
      <c r="E17" s="179">
        <f>E18</f>
        <v>863109.92133999988</v>
      </c>
    </row>
    <row r="18" spans="1:5" ht="45" x14ac:dyDescent="0.25">
      <c r="A18" s="181" t="s">
        <v>697</v>
      </c>
      <c r="B18" s="180" t="s">
        <v>696</v>
      </c>
      <c r="C18" s="179">
        <f>'Приложение 1'!F576</f>
        <v>1037500.6447999999</v>
      </c>
      <c r="D18" s="179">
        <f>'Приложение 1'!I576+2790.44425</f>
        <v>940724.18275999988</v>
      </c>
      <c r="E18" s="179">
        <f>'Приложение 1'!L576+2484.90608</f>
        <v>863109.92133999988</v>
      </c>
    </row>
    <row r="19" spans="1:5" x14ac:dyDescent="0.25">
      <c r="A19" s="178"/>
      <c r="B19" s="177" t="s">
        <v>695</v>
      </c>
      <c r="C19" s="176">
        <f>C9</f>
        <v>17590.268129999866</v>
      </c>
      <c r="D19" s="176">
        <f>D9</f>
        <v>-1.1641532182693481E-10</v>
      </c>
      <c r="E19" s="176">
        <f>E9</f>
        <v>-1.1641532182693481E-10</v>
      </c>
    </row>
    <row r="21" spans="1:5" x14ac:dyDescent="0.25">
      <c r="C21" s="175"/>
    </row>
  </sheetData>
  <mergeCells count="6">
    <mergeCell ref="B6:E6"/>
    <mergeCell ref="C1:E1"/>
    <mergeCell ref="C2:E2"/>
    <mergeCell ref="C3:E3"/>
    <mergeCell ref="C4:E4"/>
    <mergeCell ref="A5:E5"/>
  </mergeCells>
  <pageMargins left="1.1023622047244095" right="0.51181102362204722" top="0.74803149606299213" bottom="0.74803149606299213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view="pageBreakPreview" topLeftCell="A29" zoomScale="93" zoomScaleSheetLayoutView="93" workbookViewId="0">
      <selection activeCell="D39" sqref="D39"/>
    </sheetView>
  </sheetViews>
  <sheetFormatPr defaultRowHeight="15" x14ac:dyDescent="0.25"/>
  <cols>
    <col min="1" max="1" width="13.85546875" customWidth="1"/>
    <col min="3" max="3" width="65.42578125" customWidth="1"/>
    <col min="4" max="4" width="15.140625" customWidth="1"/>
    <col min="5" max="5" width="12" customWidth="1"/>
    <col min="6" max="6" width="13.28515625" customWidth="1"/>
  </cols>
  <sheetData>
    <row r="1" spans="1:6" x14ac:dyDescent="0.25">
      <c r="A1" s="277" t="s">
        <v>883</v>
      </c>
      <c r="B1" s="277"/>
      <c r="C1" s="3" t="s">
        <v>884</v>
      </c>
      <c r="D1" s="278">
        <v>2024</v>
      </c>
      <c r="E1" s="278">
        <v>2025</v>
      </c>
      <c r="F1" s="278">
        <v>2026</v>
      </c>
    </row>
    <row r="2" spans="1:6" ht="26.25" x14ac:dyDescent="0.25">
      <c r="A2" s="312" t="s">
        <v>24</v>
      </c>
      <c r="B2" s="311"/>
      <c r="C2" s="289" t="s">
        <v>25</v>
      </c>
      <c r="D2" s="310">
        <v>192.5</v>
      </c>
      <c r="E2" s="278"/>
      <c r="F2" s="278"/>
    </row>
    <row r="3" spans="1:6" ht="26.25" x14ac:dyDescent="0.25">
      <c r="A3" s="92" t="s">
        <v>28</v>
      </c>
      <c r="B3" s="92"/>
      <c r="C3" s="309" t="s">
        <v>29</v>
      </c>
      <c r="D3" s="310">
        <v>-123.2</v>
      </c>
      <c r="E3" s="278"/>
      <c r="F3" s="278"/>
    </row>
    <row r="4" spans="1:6" ht="26.25" x14ac:dyDescent="0.25">
      <c r="A4" s="92" t="s">
        <v>63</v>
      </c>
      <c r="B4" s="92"/>
      <c r="C4" s="309" t="s">
        <v>64</v>
      </c>
      <c r="D4" s="310">
        <v>-2373.3000000000002</v>
      </c>
      <c r="E4" s="278"/>
      <c r="F4" s="278"/>
    </row>
    <row r="5" spans="1:6" ht="26.25" x14ac:dyDescent="0.25">
      <c r="A5" s="16" t="s">
        <v>71</v>
      </c>
      <c r="B5" s="6"/>
      <c r="C5" s="3" t="s">
        <v>72</v>
      </c>
      <c r="D5" s="70">
        <v>-116.99527</v>
      </c>
      <c r="E5" s="282"/>
      <c r="F5" s="283"/>
    </row>
    <row r="6" spans="1:6" ht="26.25" x14ac:dyDescent="0.25">
      <c r="A6" s="307" t="s">
        <v>77</v>
      </c>
      <c r="B6" s="92"/>
      <c r="C6" s="289" t="s">
        <v>78</v>
      </c>
      <c r="D6" s="288">
        <v>-891.6</v>
      </c>
      <c r="E6" s="282"/>
      <c r="F6" s="283"/>
    </row>
    <row r="7" spans="1:6" ht="26.25" x14ac:dyDescent="0.25">
      <c r="A7" s="307" t="s">
        <v>87</v>
      </c>
      <c r="B7" s="92"/>
      <c r="C7" s="289" t="s">
        <v>88</v>
      </c>
      <c r="D7" s="288">
        <v>80</v>
      </c>
      <c r="E7" s="282"/>
      <c r="F7" s="283"/>
    </row>
    <row r="8" spans="1:6" ht="26.25" x14ac:dyDescent="0.25">
      <c r="A8" s="6" t="s">
        <v>89</v>
      </c>
      <c r="B8" s="6"/>
      <c r="C8" s="3" t="s">
        <v>72</v>
      </c>
      <c r="D8" s="70">
        <v>116.99527</v>
      </c>
      <c r="E8" s="292"/>
      <c r="F8" s="291"/>
    </row>
    <row r="9" spans="1:6" ht="39" x14ac:dyDescent="0.25">
      <c r="A9" s="92" t="s">
        <v>111</v>
      </c>
      <c r="B9" s="92"/>
      <c r="C9" s="289" t="s">
        <v>680</v>
      </c>
      <c r="D9" s="288">
        <v>-10.5</v>
      </c>
      <c r="E9" s="292"/>
      <c r="F9" s="291"/>
    </row>
    <row r="10" spans="1:6" ht="39" x14ac:dyDescent="0.25">
      <c r="A10" s="92" t="s">
        <v>900</v>
      </c>
      <c r="B10" s="92"/>
      <c r="C10" s="289" t="s">
        <v>899</v>
      </c>
      <c r="D10" s="288">
        <v>452.9</v>
      </c>
      <c r="E10" s="292"/>
      <c r="F10" s="291"/>
    </row>
    <row r="11" spans="1:6" ht="51.75" x14ac:dyDescent="0.25">
      <c r="A11" s="92" t="s">
        <v>915</v>
      </c>
      <c r="B11" s="92"/>
      <c r="C11" s="289" t="s">
        <v>914</v>
      </c>
      <c r="D11" s="288">
        <v>1179.0999999999999</v>
      </c>
      <c r="E11" s="292"/>
      <c r="F11" s="291"/>
    </row>
    <row r="12" spans="1:6" ht="51.75" x14ac:dyDescent="0.25">
      <c r="A12" s="92" t="s">
        <v>232</v>
      </c>
      <c r="B12" s="92"/>
      <c r="C12" s="289" t="s">
        <v>233</v>
      </c>
      <c r="D12" s="288">
        <v>97</v>
      </c>
      <c r="E12" s="292"/>
      <c r="F12" s="291"/>
    </row>
    <row r="13" spans="1:6" ht="26.25" x14ac:dyDescent="0.25">
      <c r="A13" s="92" t="s">
        <v>941</v>
      </c>
      <c r="B13" s="92"/>
      <c r="C13" s="289" t="s">
        <v>939</v>
      </c>
      <c r="D13" s="288">
        <v>68.3</v>
      </c>
      <c r="E13" s="292"/>
      <c r="F13" s="291"/>
    </row>
    <row r="14" spans="1:6" x14ac:dyDescent="0.25">
      <c r="A14" s="6" t="s">
        <v>830</v>
      </c>
      <c r="B14" s="6"/>
      <c r="C14" s="3" t="s">
        <v>831</v>
      </c>
      <c r="D14" s="80">
        <v>-138.33000000000001</v>
      </c>
      <c r="E14" s="292"/>
      <c r="F14" s="291"/>
    </row>
    <row r="15" spans="1:6" ht="39" x14ac:dyDescent="0.25">
      <c r="A15" s="6" t="s">
        <v>933</v>
      </c>
      <c r="B15" s="6"/>
      <c r="C15" s="3" t="s">
        <v>934</v>
      </c>
      <c r="D15" s="80">
        <v>100</v>
      </c>
      <c r="E15" s="292"/>
      <c r="F15" s="291"/>
    </row>
    <row r="16" spans="1:6" ht="39" x14ac:dyDescent="0.25">
      <c r="A16" s="6" t="s">
        <v>273</v>
      </c>
      <c r="B16" s="6"/>
      <c r="C16" s="3" t="s">
        <v>274</v>
      </c>
      <c r="D16" s="80">
        <v>-6.5</v>
      </c>
      <c r="E16" s="292"/>
      <c r="F16" s="291"/>
    </row>
    <row r="17" spans="1:6" ht="51.75" x14ac:dyDescent="0.25">
      <c r="A17" s="6" t="s">
        <v>275</v>
      </c>
      <c r="B17" s="6"/>
      <c r="C17" s="3" t="s">
        <v>276</v>
      </c>
      <c r="D17" s="80">
        <f>-81.1</f>
        <v>-81.099999999999994</v>
      </c>
      <c r="E17" s="292"/>
      <c r="F17" s="291"/>
    </row>
    <row r="18" spans="1:6" ht="39" x14ac:dyDescent="0.25">
      <c r="A18" s="6" t="s">
        <v>446</v>
      </c>
      <c r="B18" s="6"/>
      <c r="C18" s="3" t="s">
        <v>479</v>
      </c>
      <c r="D18" s="80">
        <v>37.1</v>
      </c>
      <c r="E18" s="292"/>
      <c r="F18" s="291"/>
    </row>
    <row r="19" spans="1:6" ht="25.5" x14ac:dyDescent="0.25">
      <c r="A19" s="16" t="s">
        <v>305</v>
      </c>
      <c r="B19" s="16"/>
      <c r="C19" s="1" t="s">
        <v>459</v>
      </c>
      <c r="D19" s="80">
        <v>12.5</v>
      </c>
      <c r="E19" s="292"/>
      <c r="F19" s="291"/>
    </row>
    <row r="20" spans="1:6" x14ac:dyDescent="0.25">
      <c r="A20" s="6" t="s">
        <v>311</v>
      </c>
      <c r="B20" s="22"/>
      <c r="C20" s="54" t="s">
        <v>312</v>
      </c>
      <c r="D20" s="80">
        <v>0</v>
      </c>
      <c r="E20" s="290"/>
      <c r="F20" s="291"/>
    </row>
    <row r="21" spans="1:6" x14ac:dyDescent="0.25">
      <c r="A21" s="6" t="s">
        <v>315</v>
      </c>
      <c r="B21" s="22"/>
      <c r="C21" s="54" t="s">
        <v>316</v>
      </c>
      <c r="D21" s="80">
        <v>-180</v>
      </c>
      <c r="E21" s="282"/>
      <c r="F21" s="283"/>
    </row>
    <row r="22" spans="1:6" x14ac:dyDescent="0.25">
      <c r="A22" s="6" t="s">
        <v>322</v>
      </c>
      <c r="B22" s="6"/>
      <c r="C22" s="54" t="s">
        <v>323</v>
      </c>
      <c r="D22" s="80">
        <v>80</v>
      </c>
      <c r="E22" s="282"/>
      <c r="F22" s="283"/>
    </row>
    <row r="23" spans="1:6" x14ac:dyDescent="0.25">
      <c r="A23" s="16" t="s">
        <v>673</v>
      </c>
      <c r="B23" s="18"/>
      <c r="C23" s="1" t="s">
        <v>503</v>
      </c>
      <c r="D23" s="80">
        <v>0</v>
      </c>
      <c r="E23" s="282"/>
      <c r="F23" s="283"/>
    </row>
    <row r="24" spans="1:6" ht="26.25" x14ac:dyDescent="0.25">
      <c r="A24" s="22" t="s">
        <v>834</v>
      </c>
      <c r="B24" s="22"/>
      <c r="C24" s="54" t="s">
        <v>879</v>
      </c>
      <c r="D24" s="80">
        <v>-56.7</v>
      </c>
      <c r="E24" s="282"/>
      <c r="F24" s="283"/>
    </row>
    <row r="25" spans="1:6" ht="26.25" x14ac:dyDescent="0.25">
      <c r="A25" s="22" t="s">
        <v>335</v>
      </c>
      <c r="B25" s="22"/>
      <c r="C25" s="54" t="s">
        <v>554</v>
      </c>
      <c r="D25" s="80">
        <v>-16</v>
      </c>
      <c r="E25" s="282"/>
      <c r="F25" s="283"/>
    </row>
    <row r="26" spans="1:6" ht="26.25" x14ac:dyDescent="0.25">
      <c r="A26" s="6" t="s">
        <v>916</v>
      </c>
      <c r="B26" s="12"/>
      <c r="C26" s="3" t="s">
        <v>917</v>
      </c>
      <c r="D26" s="293">
        <f>200-200</f>
        <v>0</v>
      </c>
      <c r="E26" s="282"/>
      <c r="F26" s="283"/>
    </row>
    <row r="27" spans="1:6" x14ac:dyDescent="0.25">
      <c r="A27" s="6" t="s">
        <v>339</v>
      </c>
      <c r="B27" s="12"/>
      <c r="C27" s="3" t="s">
        <v>687</v>
      </c>
      <c r="D27" s="293">
        <v>1200</v>
      </c>
      <c r="E27" s="282"/>
      <c r="F27" s="283"/>
    </row>
    <row r="28" spans="1:6" ht="26.25" x14ac:dyDescent="0.25">
      <c r="A28" s="6" t="s">
        <v>346</v>
      </c>
      <c r="B28" s="12"/>
      <c r="C28" s="3" t="s">
        <v>347</v>
      </c>
      <c r="D28" s="293">
        <v>-17.399999999999999</v>
      </c>
      <c r="E28" s="282"/>
      <c r="F28" s="283"/>
    </row>
    <row r="29" spans="1:6" x14ac:dyDescent="0.25">
      <c r="A29" s="6" t="s">
        <v>518</v>
      </c>
      <c r="B29" s="6"/>
      <c r="C29" s="9" t="s">
        <v>499</v>
      </c>
      <c r="D29" s="293">
        <v>-169.7</v>
      </c>
      <c r="E29" s="282"/>
      <c r="F29" s="283"/>
    </row>
    <row r="30" spans="1:6" ht="26.25" x14ac:dyDescent="0.25">
      <c r="A30" s="6" t="s">
        <v>519</v>
      </c>
      <c r="B30" s="6"/>
      <c r="C30" s="9" t="s">
        <v>500</v>
      </c>
      <c r="D30" s="70">
        <f>-34.5-430.2</f>
        <v>-464.7</v>
      </c>
      <c r="E30" s="282"/>
      <c r="F30" s="283"/>
    </row>
    <row r="31" spans="1:6" x14ac:dyDescent="0.25">
      <c r="A31" s="4" t="s">
        <v>463</v>
      </c>
      <c r="B31" s="16"/>
      <c r="C31" s="1" t="s">
        <v>392</v>
      </c>
      <c r="D31" s="293">
        <v>-63.3</v>
      </c>
      <c r="E31" s="282"/>
      <c r="F31" s="283"/>
    </row>
    <row r="32" spans="1:6" ht="38.25" x14ac:dyDescent="0.25">
      <c r="A32" s="97" t="s">
        <v>361</v>
      </c>
      <c r="B32" s="307"/>
      <c r="C32" s="308" t="s">
        <v>559</v>
      </c>
      <c r="D32" s="292">
        <v>-20.2</v>
      </c>
      <c r="E32" s="282"/>
      <c r="F32" s="283"/>
    </row>
    <row r="33" spans="1:7" ht="25.5" x14ac:dyDescent="0.25">
      <c r="A33" s="97" t="s">
        <v>368</v>
      </c>
      <c r="B33" s="307"/>
      <c r="C33" s="308" t="s">
        <v>369</v>
      </c>
      <c r="D33" s="292">
        <v>-3.4</v>
      </c>
      <c r="E33" s="282"/>
      <c r="F33" s="283"/>
    </row>
    <row r="34" spans="1:7" x14ac:dyDescent="0.25">
      <c r="A34" s="97" t="s">
        <v>373</v>
      </c>
      <c r="B34" s="307"/>
      <c r="C34" s="308" t="s">
        <v>481</v>
      </c>
      <c r="D34" s="292">
        <v>23.6</v>
      </c>
      <c r="E34" s="282"/>
      <c r="F34" s="283"/>
    </row>
    <row r="35" spans="1:7" ht="26.25" x14ac:dyDescent="0.25">
      <c r="A35" s="6" t="s">
        <v>414</v>
      </c>
      <c r="B35" s="6"/>
      <c r="C35" s="8" t="s">
        <v>952</v>
      </c>
      <c r="D35" s="292">
        <f>118.5+110.3</f>
        <v>228.8</v>
      </c>
      <c r="E35" s="282"/>
      <c r="F35" s="283"/>
      <c r="G35" t="s">
        <v>918</v>
      </c>
    </row>
    <row r="36" spans="1:7" x14ac:dyDescent="0.25">
      <c r="A36" s="16" t="s">
        <v>416</v>
      </c>
      <c r="B36" s="16"/>
      <c r="C36" s="1" t="s">
        <v>417</v>
      </c>
      <c r="D36" s="293">
        <v>599.9</v>
      </c>
      <c r="E36" s="282"/>
      <c r="F36" s="283"/>
      <c r="G36" t="s">
        <v>920</v>
      </c>
    </row>
    <row r="37" spans="1:7" ht="26.25" x14ac:dyDescent="0.25">
      <c r="A37" s="6" t="s">
        <v>838</v>
      </c>
      <c r="B37" s="6"/>
      <c r="C37" s="3" t="s">
        <v>953</v>
      </c>
      <c r="D37" s="293">
        <v>40</v>
      </c>
      <c r="E37" s="282"/>
      <c r="F37" s="283"/>
      <c r="G37" t="s">
        <v>919</v>
      </c>
    </row>
    <row r="38" spans="1:7" x14ac:dyDescent="0.25">
      <c r="A38" s="6" t="s">
        <v>912</v>
      </c>
      <c r="B38" s="16"/>
      <c r="C38" s="1" t="s">
        <v>951</v>
      </c>
      <c r="D38" s="293">
        <v>1277.6300000000001</v>
      </c>
      <c r="E38" s="282"/>
      <c r="F38" s="283"/>
    </row>
    <row r="39" spans="1:7" ht="25.5" x14ac:dyDescent="0.25">
      <c r="A39" s="22" t="s">
        <v>936</v>
      </c>
      <c r="B39" s="16"/>
      <c r="C39" s="21" t="s">
        <v>937</v>
      </c>
      <c r="D39" s="293">
        <v>86.5</v>
      </c>
      <c r="E39" s="282"/>
      <c r="F39" s="283"/>
    </row>
    <row r="40" spans="1:7" x14ac:dyDescent="0.25">
      <c r="A40" s="6" t="s">
        <v>724</v>
      </c>
      <c r="B40" s="278"/>
      <c r="C40" s="278"/>
      <c r="D40" s="281">
        <f>SUM(D2:D39)</f>
        <v>1139.9000000000001</v>
      </c>
      <c r="E40" s="281">
        <f>SUM(E5:E38)</f>
        <v>0</v>
      </c>
      <c r="F40" s="281">
        <f>SUM(F5:F38)</f>
        <v>0</v>
      </c>
    </row>
    <row r="41" spans="1:7" x14ac:dyDescent="0.25">
      <c r="C41" t="s">
        <v>921</v>
      </c>
      <c r="D41" s="294">
        <v>1108</v>
      </c>
    </row>
    <row r="42" spans="1:7" x14ac:dyDescent="0.25">
      <c r="C42" t="s">
        <v>918</v>
      </c>
      <c r="D42" s="294"/>
    </row>
    <row r="43" spans="1:7" x14ac:dyDescent="0.25">
      <c r="C43" t="s">
        <v>940</v>
      </c>
      <c r="D43" s="294">
        <f>SUM(D44:D57)</f>
        <v>1155.1000000000001</v>
      </c>
    </row>
    <row r="44" spans="1:7" x14ac:dyDescent="0.25">
      <c r="C44" s="295" t="s">
        <v>938</v>
      </c>
      <c r="D44" s="294">
        <v>-246</v>
      </c>
    </row>
    <row r="45" spans="1:7" x14ac:dyDescent="0.25">
      <c r="C45" s="295" t="s">
        <v>922</v>
      </c>
      <c r="D45" s="294">
        <v>1853.7</v>
      </c>
    </row>
    <row r="46" spans="1:7" x14ac:dyDescent="0.25">
      <c r="C46" s="295" t="s">
        <v>923</v>
      </c>
      <c r="D46" s="294">
        <v>-280</v>
      </c>
    </row>
    <row r="47" spans="1:7" x14ac:dyDescent="0.25">
      <c r="C47" s="295" t="s">
        <v>924</v>
      </c>
      <c r="D47" s="294">
        <v>-271</v>
      </c>
    </row>
    <row r="48" spans="1:7" x14ac:dyDescent="0.25">
      <c r="C48" s="295" t="s">
        <v>925</v>
      </c>
      <c r="D48" s="294">
        <v>530</v>
      </c>
    </row>
    <row r="49" spans="3:4" x14ac:dyDescent="0.25">
      <c r="C49" s="295" t="s">
        <v>926</v>
      </c>
      <c r="D49" s="294">
        <v>249.3</v>
      </c>
    </row>
    <row r="50" spans="3:4" x14ac:dyDescent="0.25">
      <c r="C50" s="295" t="s">
        <v>927</v>
      </c>
      <c r="D50" s="294">
        <v>-73.2</v>
      </c>
    </row>
    <row r="51" spans="3:4" x14ac:dyDescent="0.25">
      <c r="C51" s="295" t="s">
        <v>928</v>
      </c>
      <c r="D51" s="294">
        <v>419.1</v>
      </c>
    </row>
    <row r="52" spans="3:4" x14ac:dyDescent="0.25">
      <c r="C52" s="295" t="s">
        <v>929</v>
      </c>
      <c r="D52" s="294">
        <v>20.9</v>
      </c>
    </row>
    <row r="53" spans="3:4" x14ac:dyDescent="0.25">
      <c r="C53" s="295" t="s">
        <v>918</v>
      </c>
      <c r="D53" s="294">
        <f>-1135.9+118.5</f>
        <v>-1017.4000000000001</v>
      </c>
    </row>
    <row r="54" spans="3:4" x14ac:dyDescent="0.25">
      <c r="C54" s="295" t="s">
        <v>930</v>
      </c>
      <c r="D54" s="294">
        <v>-157.69999999999999</v>
      </c>
    </row>
    <row r="55" spans="3:4" x14ac:dyDescent="0.25">
      <c r="C55" s="295" t="s">
        <v>931</v>
      </c>
      <c r="D55" s="294">
        <v>93.9</v>
      </c>
    </row>
    <row r="56" spans="3:4" x14ac:dyDescent="0.25">
      <c r="C56" s="295" t="s">
        <v>932</v>
      </c>
      <c r="D56" s="294">
        <v>21.7</v>
      </c>
    </row>
    <row r="57" spans="3:4" x14ac:dyDescent="0.25">
      <c r="C57" s="295">
        <v>218</v>
      </c>
      <c r="D57" s="294">
        <v>11.8</v>
      </c>
    </row>
    <row r="58" spans="3:4" x14ac:dyDescent="0.25">
      <c r="C58" t="s">
        <v>935</v>
      </c>
      <c r="D58" s="175">
        <f>D40-D41-D42-D43</f>
        <v>-1123.2</v>
      </c>
    </row>
    <row r="60" spans="3:4" x14ac:dyDescent="0.25">
      <c r="C60" t="s">
        <v>902</v>
      </c>
      <c r="D60">
        <f>4258.2+3935</f>
        <v>8193.2000000000007</v>
      </c>
    </row>
    <row r="61" spans="3:4" x14ac:dyDescent="0.25">
      <c r="C61" t="s">
        <v>904</v>
      </c>
      <c r="D61">
        <f>12531.77267-12067.56487</f>
        <v>464.20780000000013</v>
      </c>
    </row>
    <row r="62" spans="3:4" x14ac:dyDescent="0.25">
      <c r="D62" s="280">
        <f>D60-D40+D61</f>
        <v>7517.5078000000012</v>
      </c>
    </row>
    <row r="63" spans="3:4" x14ac:dyDescent="0.25">
      <c r="C63" t="s">
        <v>905</v>
      </c>
      <c r="D63">
        <v>18133.009750000001</v>
      </c>
    </row>
    <row r="64" spans="3:4" x14ac:dyDescent="0.25">
      <c r="C64" t="s">
        <v>910</v>
      </c>
      <c r="D64" s="280">
        <f>D40-D60</f>
        <v>-7053.3000000000011</v>
      </c>
    </row>
    <row r="65" spans="3:8" x14ac:dyDescent="0.25">
      <c r="D65" s="280">
        <f>D63-D64</f>
        <v>25186.30975</v>
      </c>
    </row>
    <row r="66" spans="3:8" x14ac:dyDescent="0.25">
      <c r="C66" t="s">
        <v>906</v>
      </c>
      <c r="D66">
        <v>12531.77267</v>
      </c>
    </row>
    <row r="67" spans="3:8" x14ac:dyDescent="0.25">
      <c r="C67" t="s">
        <v>907</v>
      </c>
      <c r="D67">
        <v>6065.44488</v>
      </c>
    </row>
    <row r="68" spans="3:8" x14ac:dyDescent="0.25">
      <c r="C68" t="s">
        <v>908</v>
      </c>
      <c r="D68">
        <f>D66+D67</f>
        <v>18597.217550000001</v>
      </c>
    </row>
    <row r="69" spans="3:8" x14ac:dyDescent="0.25">
      <c r="C69" t="s">
        <v>909</v>
      </c>
      <c r="D69">
        <f>D63-D68</f>
        <v>-464.20780000000013</v>
      </c>
    </row>
    <row r="74" spans="3:8" x14ac:dyDescent="0.25">
      <c r="G74" t="s">
        <v>921</v>
      </c>
      <c r="H74">
        <v>1108</v>
      </c>
    </row>
    <row r="75" spans="3:8" x14ac:dyDescent="0.25">
      <c r="G75" t="s">
        <v>918</v>
      </c>
      <c r="H75">
        <v>48.9</v>
      </c>
    </row>
  </sheetData>
  <pageMargins left="0.7" right="0.7" top="0.75" bottom="0.75" header="0.3" footer="0.3"/>
  <pageSetup paperSize="9" scale="67" orientation="portrait" r:id="rId1"/>
  <rowBreaks count="1" manualBreakCount="1">
    <brk id="58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Перечень приложений</vt:lpstr>
      <vt:lpstr>Приложение 1</vt:lpstr>
      <vt:lpstr>Приложение 2</vt:lpstr>
      <vt:lpstr>Приложение 4</vt:lpstr>
      <vt:lpstr>Приложение 5</vt:lpstr>
      <vt:lpstr>Лист1</vt:lpstr>
      <vt:lpstr>Лист1!Область_печати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2024-12-11T07:37:07Z</cp:lastPrinted>
  <dcterms:created xsi:type="dcterms:W3CDTF">2022-11-04T08:13:16Z</dcterms:created>
  <dcterms:modified xsi:type="dcterms:W3CDTF">2024-12-13T09:20:18Z</dcterms:modified>
</cp:coreProperties>
</file>