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968" yWindow="-252" windowWidth="23256" windowHeight="12648" tabRatio="919" activeTab="3"/>
  </bookViews>
  <sheets>
    <sheet name="приложение 1" sheetId="2" r:id="rId1"/>
    <sheet name="Приложение 2" sheetId="1" r:id="rId2"/>
    <sheet name="Приложение 4" sheetId="20" r:id="rId3"/>
    <sheet name="Приложение 5" sheetId="9" r:id="rId4"/>
    <sheet name="свод" sheetId="21" r:id="rId5"/>
  </sheets>
  <definedNames>
    <definedName name="_xlnm._FilterDatabase" localSheetId="0" hidden="1">'приложение 1'!$A$8:$G$601</definedName>
    <definedName name="_xlnm._FilterDatabase" localSheetId="1" hidden="1">'Приложение 2'!$A$9:$I$883</definedName>
    <definedName name="_xlnm.Print_Area" localSheetId="0">'приложение 1'!$A$1:$J$600</definedName>
    <definedName name="_xlnm.Print_Area" localSheetId="1">'Приложение 2'!$A$1:$L$883</definedName>
    <definedName name="_xlnm.Print_Area" localSheetId="2">'Приложение 4'!$A$1:$M$107</definedName>
    <definedName name="_xlnm.Print_Area" localSheetId="3">'Приложение 5'!$A$1:$E$20</definedName>
    <definedName name="_xlnm.Print_Area" localSheetId="4">свод!$A$1:$G$43</definedName>
  </definedNames>
  <calcPr calcId="145621"/>
</workbook>
</file>

<file path=xl/calcChain.xml><?xml version="1.0" encoding="utf-8"?>
<calcChain xmlns="http://schemas.openxmlformats.org/spreadsheetml/2006/main">
  <c r="I143" i="1" l="1"/>
  <c r="I142" i="1" s="1"/>
  <c r="J143" i="1"/>
  <c r="J142" i="1" s="1"/>
  <c r="K143" i="1"/>
  <c r="K142" i="1" s="1"/>
  <c r="L143" i="1"/>
  <c r="F143" i="1"/>
  <c r="F142" i="1" s="1"/>
  <c r="H144" i="1"/>
  <c r="H143" i="1" s="1"/>
  <c r="H142" i="1" s="1"/>
  <c r="G144" i="1"/>
  <c r="F144" i="1"/>
  <c r="L142" i="1"/>
  <c r="F576" i="2"/>
  <c r="G143" i="1" l="1"/>
  <c r="G142" i="1" s="1"/>
  <c r="F575" i="2"/>
  <c r="E575" i="2"/>
  <c r="D575" i="2"/>
  <c r="H260" i="1" l="1"/>
  <c r="F260" i="1"/>
  <c r="G262" i="1"/>
  <c r="G259" i="1" s="1"/>
  <c r="H262" i="1"/>
  <c r="F262" i="1"/>
  <c r="F196" i="2"/>
  <c r="F198" i="2"/>
  <c r="E198" i="2"/>
  <c r="E195" i="2" s="1"/>
  <c r="D196" i="2"/>
  <c r="D198" i="2"/>
  <c r="J198" i="2"/>
  <c r="I198" i="2"/>
  <c r="G198" i="2"/>
  <c r="I560" i="2" l="1"/>
  <c r="G523" i="1" l="1"/>
  <c r="G522" i="1" s="1"/>
  <c r="G521" i="1" s="1"/>
  <c r="G520" i="1" s="1"/>
  <c r="G519" i="1" s="1"/>
  <c r="G524" i="1"/>
  <c r="H525" i="1"/>
  <c r="G359" i="1"/>
  <c r="G356" i="1" s="1"/>
  <c r="G355" i="1" s="1"/>
  <c r="H359" i="1"/>
  <c r="F359" i="1"/>
  <c r="G361" i="1"/>
  <c r="H362" i="1"/>
  <c r="H689" i="1"/>
  <c r="G612" i="1"/>
  <c r="H602" i="1"/>
  <c r="H542" i="1"/>
  <c r="H868" i="1"/>
  <c r="K723" i="1"/>
  <c r="K722" i="1" s="1"/>
  <c r="L723" i="1"/>
  <c r="L722" i="1" s="1"/>
  <c r="K724" i="1"/>
  <c r="L724" i="1"/>
  <c r="G725" i="1"/>
  <c r="G724" i="1" s="1"/>
  <c r="G723" i="1" s="1"/>
  <c r="G722" i="1" s="1"/>
  <c r="H725" i="1"/>
  <c r="H724" i="1" s="1"/>
  <c r="H723" i="1" s="1"/>
  <c r="H722" i="1" s="1"/>
  <c r="I725" i="1"/>
  <c r="I724" i="1" s="1"/>
  <c r="I723" i="1" s="1"/>
  <c r="I722" i="1" s="1"/>
  <c r="K725" i="1"/>
  <c r="L725" i="1"/>
  <c r="F725" i="1"/>
  <c r="F724" i="1" s="1"/>
  <c r="F723" i="1" s="1"/>
  <c r="F722" i="1" s="1"/>
  <c r="N725" i="1"/>
  <c r="N724" i="1" s="1"/>
  <c r="H726" i="1"/>
  <c r="G726" i="1"/>
  <c r="F726" i="1"/>
  <c r="G89" i="1"/>
  <c r="H89" i="1"/>
  <c r="F89" i="1"/>
  <c r="E540" i="2"/>
  <c r="F540" i="2"/>
  <c r="D540" i="2"/>
  <c r="E565" i="2"/>
  <c r="F566" i="2"/>
  <c r="F590" i="2"/>
  <c r="E564" i="2"/>
  <c r="F447" i="2"/>
  <c r="E216" i="2"/>
  <c r="E215" i="2" s="1"/>
  <c r="F217" i="2"/>
  <c r="F152" i="2"/>
  <c r="F88" i="2"/>
  <c r="F60" i="2"/>
  <c r="D25" i="21"/>
  <c r="D2" i="21"/>
  <c r="D28" i="21"/>
  <c r="G671" i="1"/>
  <c r="H671" i="1"/>
  <c r="H670" i="1" s="1"/>
  <c r="H669" i="1" s="1"/>
  <c r="F671" i="1"/>
  <c r="F670" i="1" s="1"/>
  <c r="F669" i="1" s="1"/>
  <c r="N672" i="1"/>
  <c r="L672" i="1"/>
  <c r="K672" i="1"/>
  <c r="I672" i="1"/>
  <c r="F672" i="1"/>
  <c r="N670" i="1"/>
  <c r="N669" i="1" s="1"/>
  <c r="L670" i="1"/>
  <c r="L669" i="1" s="1"/>
  <c r="K670" i="1"/>
  <c r="K669" i="1" s="1"/>
  <c r="I670" i="1"/>
  <c r="I669" i="1" s="1"/>
  <c r="G670" i="1"/>
  <c r="G669" i="1" s="1"/>
  <c r="G628" i="1" s="1"/>
  <c r="E591" i="2"/>
  <c r="F591" i="2"/>
  <c r="D591" i="2"/>
  <c r="D7" i="21" l="1"/>
  <c r="D6" i="21" l="1"/>
  <c r="H611" i="1"/>
  <c r="H610" i="1" s="1"/>
  <c r="H609" i="1" s="1"/>
  <c r="G611" i="1"/>
  <c r="G610" i="1" s="1"/>
  <c r="G609" i="1" s="1"/>
  <c r="N612" i="1"/>
  <c r="L612" i="1"/>
  <c r="K612" i="1"/>
  <c r="I612" i="1"/>
  <c r="F612" i="1"/>
  <c r="N610" i="1"/>
  <c r="N609" i="1" s="1"/>
  <c r="L610" i="1"/>
  <c r="L609" i="1" s="1"/>
  <c r="K610" i="1"/>
  <c r="K609" i="1" s="1"/>
  <c r="I610" i="1"/>
  <c r="I609" i="1" s="1"/>
  <c r="F610" i="1"/>
  <c r="F609" i="1" s="1"/>
  <c r="F562" i="2"/>
  <c r="E562" i="2"/>
  <c r="H604" i="1"/>
  <c r="G604" i="1"/>
  <c r="F154" i="2"/>
  <c r="E154" i="2"/>
  <c r="G340" i="1" l="1"/>
  <c r="H340" i="1"/>
  <c r="F340" i="1"/>
  <c r="E414" i="2"/>
  <c r="J414" i="2"/>
  <c r="I414" i="2"/>
  <c r="G414" i="2"/>
  <c r="F414" i="2"/>
  <c r="D414" i="2"/>
  <c r="C43" i="21" l="1"/>
  <c r="H91" i="20" l="1"/>
  <c r="I91" i="20"/>
  <c r="J91" i="20"/>
  <c r="G94" i="20"/>
  <c r="F67" i="20"/>
  <c r="F58" i="20" s="1"/>
  <c r="C58" i="20" s="1"/>
  <c r="C73" i="20"/>
  <c r="C72" i="20"/>
  <c r="C71" i="20"/>
  <c r="F76" i="20"/>
  <c r="F85" i="20"/>
  <c r="H328" i="1"/>
  <c r="I326" i="1"/>
  <c r="F385" i="2"/>
  <c r="H577" i="1"/>
  <c r="F86" i="2"/>
  <c r="H681" i="1"/>
  <c r="F69" i="2"/>
  <c r="I383" i="2" l="1"/>
  <c r="G688" i="1"/>
  <c r="G683" i="1" s="1"/>
  <c r="G682" i="1" s="1"/>
  <c r="E87" i="2"/>
  <c r="G867" i="1"/>
  <c r="G866" i="1" s="1"/>
  <c r="G865" i="1" s="1"/>
  <c r="G864" i="1" s="1"/>
  <c r="G855" i="1" s="1"/>
  <c r="G854" i="1" s="1"/>
  <c r="E589" i="2"/>
  <c r="G258" i="1"/>
  <c r="G257" i="1" s="1"/>
  <c r="G256" i="1" s="1"/>
  <c r="E194" i="2"/>
  <c r="G677" i="1" l="1"/>
  <c r="G676" i="1" s="1"/>
  <c r="G675" i="1" s="1"/>
  <c r="G674" i="1" s="1"/>
  <c r="H228" i="1" l="1"/>
  <c r="H136" i="1"/>
  <c r="G136" i="1"/>
  <c r="G133" i="1" s="1"/>
  <c r="G132" i="1" s="1"/>
  <c r="G131" i="1" s="1"/>
  <c r="G130" i="1" s="1"/>
  <c r="F507" i="2"/>
  <c r="E507" i="2"/>
  <c r="E504" i="2" s="1"/>
  <c r="G125" i="1"/>
  <c r="G120" i="1" s="1"/>
  <c r="G119" i="1" s="1"/>
  <c r="G118" i="1" s="1"/>
  <c r="G117" i="1" s="1"/>
  <c r="G169" i="1"/>
  <c r="G168" i="1" s="1"/>
  <c r="G167" i="1" s="1"/>
  <c r="G147" i="1" s="1"/>
  <c r="G146" i="1" s="1"/>
  <c r="E514" i="2"/>
  <c r="E513" i="2" s="1"/>
  <c r="E499" i="2"/>
  <c r="E494" i="2"/>
  <c r="G333" i="1"/>
  <c r="H333" i="1"/>
  <c r="E407" i="2"/>
  <c r="F407" i="2"/>
  <c r="F560" i="2"/>
  <c r="G98" i="1"/>
  <c r="G93" i="1"/>
  <c r="E560" i="2"/>
  <c r="D23" i="21"/>
  <c r="D34" i="21" s="1"/>
  <c r="C45" i="21" s="1"/>
  <c r="G576" i="1"/>
  <c r="G575" i="1" s="1"/>
  <c r="E85" i="2"/>
  <c r="E84" i="2" s="1"/>
  <c r="G541" i="1"/>
  <c r="G540" i="1" s="1"/>
  <c r="G539" i="1" s="1"/>
  <c r="G538" i="1" s="1"/>
  <c r="G537" i="1" s="1"/>
  <c r="G536" i="1" s="1"/>
  <c r="E59" i="2"/>
  <c r="E58" i="2" s="1"/>
  <c r="E57" i="2" s="1"/>
  <c r="G330" i="1" l="1"/>
  <c r="G329" i="1" s="1"/>
  <c r="G323" i="1" s="1"/>
  <c r="G322" i="1" s="1"/>
  <c r="G321" i="1" s="1"/>
  <c r="G295" i="1" s="1"/>
  <c r="E404" i="2"/>
  <c r="E403" i="2" s="1"/>
  <c r="G116" i="1"/>
  <c r="E493" i="2"/>
  <c r="E23" i="21"/>
  <c r="E34" i="21" s="1"/>
  <c r="H383" i="2"/>
  <c r="H376" i="2" s="1"/>
  <c r="H355" i="2" s="1"/>
  <c r="H354" i="2" s="1"/>
  <c r="E383" i="2"/>
  <c r="E376" i="2" s="1"/>
  <c r="E355" i="2" s="1"/>
  <c r="G533" i="1"/>
  <c r="G532" i="1" s="1"/>
  <c r="G531" i="1" s="1"/>
  <c r="G530" i="1" s="1"/>
  <c r="G529" i="1" s="1"/>
  <c r="G528" i="1" s="1"/>
  <c r="G527" i="1" s="1"/>
  <c r="J533" i="1"/>
  <c r="J532" i="1" s="1"/>
  <c r="J531" i="1" s="1"/>
  <c r="J530" i="1" s="1"/>
  <c r="J529" i="1" s="1"/>
  <c r="J528" i="1" s="1"/>
  <c r="J527" i="1" s="1"/>
  <c r="J526" i="1" s="1"/>
  <c r="K533" i="1"/>
  <c r="K532" i="1" s="1"/>
  <c r="K531" i="1" s="1"/>
  <c r="K530" i="1" s="1"/>
  <c r="K529" i="1" s="1"/>
  <c r="K528" i="1" s="1"/>
  <c r="K527" i="1" s="1"/>
  <c r="H533" i="1"/>
  <c r="H532" i="1" s="1"/>
  <c r="H531" i="1" s="1"/>
  <c r="H530" i="1" s="1"/>
  <c r="H529" i="1" s="1"/>
  <c r="H528" i="1" s="1"/>
  <c r="H527" i="1" s="1"/>
  <c r="F541" i="1"/>
  <c r="H541" i="1"/>
  <c r="I541" i="1"/>
  <c r="K541" i="1"/>
  <c r="L541" i="1"/>
  <c r="N541" i="1"/>
  <c r="G601" i="1"/>
  <c r="E151" i="2"/>
  <c r="G567" i="1"/>
  <c r="G566" i="1" s="1"/>
  <c r="G565" i="1" s="1"/>
  <c r="E76" i="2"/>
  <c r="E75" i="2" s="1"/>
  <c r="E74" i="2" s="1"/>
  <c r="E153" i="2"/>
  <c r="G603" i="1"/>
  <c r="G97" i="1"/>
  <c r="E573" i="2"/>
  <c r="G91" i="1"/>
  <c r="G88" i="1" s="1"/>
  <c r="E558" i="2"/>
  <c r="J62" i="1"/>
  <c r="J91" i="1"/>
  <c r="J88" i="1" s="1"/>
  <c r="J87" i="1" s="1"/>
  <c r="H558" i="2"/>
  <c r="G778" i="1"/>
  <c r="G777" i="1" s="1"/>
  <c r="G762" i="1" s="1"/>
  <c r="G761" i="1" s="1"/>
  <c r="G760" i="1" s="1"/>
  <c r="G759" i="1" s="1"/>
  <c r="G758" i="1" s="1"/>
  <c r="G721" i="1" s="1"/>
  <c r="E252" i="2"/>
  <c r="E251" i="2" s="1"/>
  <c r="E219" i="2" s="1"/>
  <c r="E218" i="2" s="1"/>
  <c r="G228" i="1"/>
  <c r="G227" i="1" s="1"/>
  <c r="G220" i="1" s="1"/>
  <c r="E447" i="2"/>
  <c r="E446" i="2" s="1"/>
  <c r="E439" i="2" s="1"/>
  <c r="J240" i="1"/>
  <c r="J239" i="1" s="1"/>
  <c r="J238" i="1" s="1"/>
  <c r="J209" i="1" s="1"/>
  <c r="J208" i="1" s="1"/>
  <c r="J207" i="1" s="1"/>
  <c r="J206" i="1" s="1"/>
  <c r="J171" i="1" s="1"/>
  <c r="K243" i="1"/>
  <c r="K240" i="1" s="1"/>
  <c r="K239" i="1" s="1"/>
  <c r="K238" i="1" s="1"/>
  <c r="G204" i="1"/>
  <c r="G203" i="1" s="1"/>
  <c r="G202" i="1" s="1"/>
  <c r="G201" i="1" s="1"/>
  <c r="E467" i="2"/>
  <c r="E466" i="2" s="1"/>
  <c r="E465" i="2" s="1"/>
  <c r="G236" i="1"/>
  <c r="G235" i="1" s="1"/>
  <c r="G234" i="1" s="1"/>
  <c r="N881" i="1"/>
  <c r="N880" i="1"/>
  <c r="N879" i="1" s="1"/>
  <c r="N877" i="1"/>
  <c r="N875" i="1"/>
  <c r="N872" i="1"/>
  <c r="N867" i="1"/>
  <c r="N866" i="1" s="1"/>
  <c r="N865" i="1" s="1"/>
  <c r="N864" i="1" s="1"/>
  <c r="N861" i="1"/>
  <c r="N860" i="1" s="1"/>
  <c r="N859" i="1" s="1"/>
  <c r="N857" i="1" s="1"/>
  <c r="N856" i="1" s="1"/>
  <c r="N852" i="1"/>
  <c r="N851" i="1" s="1"/>
  <c r="N848" i="1"/>
  <c r="N846" i="1"/>
  <c r="N839" i="1"/>
  <c r="N838" i="1" s="1"/>
  <c r="N837" i="1" s="1"/>
  <c r="N836" i="1" s="1"/>
  <c r="N835" i="1" s="1"/>
  <c r="N834" i="1" s="1"/>
  <c r="N831" i="1"/>
  <c r="N830" i="1" s="1"/>
  <c r="N829" i="1" s="1"/>
  <c r="N828" i="1" s="1"/>
  <c r="N827" i="1" s="1"/>
  <c r="N826" i="1" s="1"/>
  <c r="N825" i="1" s="1"/>
  <c r="N823" i="1"/>
  <c r="N822" i="1" s="1"/>
  <c r="N820" i="1"/>
  <c r="N819" i="1" s="1"/>
  <c r="N817" i="1"/>
  <c r="N816" i="1" s="1"/>
  <c r="N814" i="1"/>
  <c r="N812" i="1"/>
  <c r="N806" i="1"/>
  <c r="N805" i="1" s="1"/>
  <c r="N804" i="1" s="1"/>
  <c r="N803" i="1" s="1"/>
  <c r="N776" i="1"/>
  <c r="N775" i="1" s="1"/>
  <c r="N774" i="1" s="1"/>
  <c r="N768" i="1"/>
  <c r="N767" i="1" s="1"/>
  <c r="N766" i="1" s="1"/>
  <c r="N765" i="1"/>
  <c r="N764" i="1" s="1"/>
  <c r="N763" i="1" s="1"/>
  <c r="N756" i="1"/>
  <c r="N755" i="1" s="1"/>
  <c r="N754" i="1" s="1"/>
  <c r="N753" i="1" s="1"/>
  <c r="N752" i="1" s="1"/>
  <c r="N751" i="1" s="1"/>
  <c r="N748" i="1"/>
  <c r="N747" i="1" s="1"/>
  <c r="N745" i="1"/>
  <c r="N739" i="1"/>
  <c r="N737" i="1"/>
  <c r="N736" i="1" s="1"/>
  <c r="N734" i="1"/>
  <c r="N733" i="1" s="1"/>
  <c r="N732" i="1" s="1"/>
  <c r="N731" i="1" s="1"/>
  <c r="N730" i="1" s="1"/>
  <c r="N729" i="1" s="1"/>
  <c r="N715" i="1"/>
  <c r="N714" i="1"/>
  <c r="N712" i="1"/>
  <c r="N711" i="1" s="1"/>
  <c r="N709" i="1"/>
  <c r="N702" i="1"/>
  <c r="N701" i="1" s="1"/>
  <c r="N700" i="1" s="1"/>
  <c r="N699" i="1" s="1"/>
  <c r="N698" i="1" s="1"/>
  <c r="N697" i="1" s="1"/>
  <c r="N694" i="1"/>
  <c r="N692" i="1"/>
  <c r="N691" i="1" s="1"/>
  <c r="N690" i="1" s="1"/>
  <c r="N688" i="1"/>
  <c r="N686" i="1"/>
  <c r="N684" i="1"/>
  <c r="N680" i="1"/>
  <c r="N679" i="1" s="1"/>
  <c r="N678" i="1" s="1"/>
  <c r="N667" i="1"/>
  <c r="N666" i="1" s="1"/>
  <c r="N665" i="1" s="1"/>
  <c r="N663" i="1"/>
  <c r="N661" i="1"/>
  <c r="N655" i="1"/>
  <c r="N654" i="1"/>
  <c r="N653" i="1" s="1"/>
  <c r="N651" i="1"/>
  <c r="N647" i="1"/>
  <c r="N645" i="1"/>
  <c r="N643" i="1"/>
  <c r="N639" i="1"/>
  <c r="N633" i="1"/>
  <c r="N632" i="1" s="1"/>
  <c r="N631" i="1" s="1"/>
  <c r="N630" i="1" s="1"/>
  <c r="N623" i="1"/>
  <c r="N622" i="1" s="1"/>
  <c r="N620" i="1"/>
  <c r="N618" i="1"/>
  <c r="N598" i="1"/>
  <c r="N597" i="1" s="1"/>
  <c r="N596" i="1" s="1"/>
  <c r="N595" i="1" s="1"/>
  <c r="N593" i="1"/>
  <c r="N592" i="1" s="1"/>
  <c r="N591" i="1" s="1"/>
  <c r="N589" i="1"/>
  <c r="N587" i="1"/>
  <c r="N585" i="1"/>
  <c r="N582" i="1"/>
  <c r="N580" i="1"/>
  <c r="N578" i="1"/>
  <c r="N576" i="1"/>
  <c r="N572" i="1"/>
  <c r="N571" i="1"/>
  <c r="N569" i="1"/>
  <c r="N567" i="1"/>
  <c r="N557" i="1"/>
  <c r="N556" i="1" s="1"/>
  <c r="N554" i="1"/>
  <c r="N553" i="1" s="1"/>
  <c r="N552" i="1" s="1"/>
  <c r="N549" i="1"/>
  <c r="N548" i="1" s="1"/>
  <c r="N546" i="1"/>
  <c r="N543" i="1"/>
  <c r="N524" i="1"/>
  <c r="N523" i="1" s="1"/>
  <c r="N522" i="1" s="1"/>
  <c r="N521" i="1" s="1"/>
  <c r="N520" i="1" s="1"/>
  <c r="N519" i="1" s="1"/>
  <c r="N517" i="1"/>
  <c r="N516" i="1" s="1"/>
  <c r="N515" i="1" s="1"/>
  <c r="N514" i="1" s="1"/>
  <c r="N513" i="1" s="1"/>
  <c r="N511" i="1"/>
  <c r="N510" i="1" s="1"/>
  <c r="N506" i="1"/>
  <c r="N505" i="1" s="1"/>
  <c r="N503" i="1"/>
  <c r="N497" i="1"/>
  <c r="N495" i="1"/>
  <c r="N493" i="1"/>
  <c r="N489" i="1"/>
  <c r="N488" i="1" s="1"/>
  <c r="N487" i="1" s="1"/>
  <c r="N483" i="1"/>
  <c r="N482" i="1" s="1"/>
  <c r="N481" i="1" s="1"/>
  <c r="N479" i="1"/>
  <c r="N478" i="1" s="1"/>
  <c r="N477" i="1" s="1"/>
  <c r="N473" i="1"/>
  <c r="N472" i="1" s="1"/>
  <c r="N471" i="1" s="1"/>
  <c r="N470" i="1" s="1"/>
  <c r="N469" i="1" s="1"/>
  <c r="N468" i="1" s="1"/>
  <c r="N457" i="1"/>
  <c r="N456" i="1" s="1"/>
  <c r="N455" i="1" s="1"/>
  <c r="N454" i="1" s="1"/>
  <c r="N453" i="1" s="1"/>
  <c r="N452" i="1" s="1"/>
  <c r="N451" i="1" s="1"/>
  <c r="N439" i="1"/>
  <c r="N438" i="1" s="1"/>
  <c r="N437" i="1" s="1"/>
  <c r="N434" i="1"/>
  <c r="N433" i="1"/>
  <c r="N432" i="1" s="1"/>
  <c r="N428" i="1"/>
  <c r="N427" i="1" s="1"/>
  <c r="N426" i="1" s="1"/>
  <c r="N424" i="1"/>
  <c r="N423" i="1" s="1"/>
  <c r="N422" i="1" s="1"/>
  <c r="N417" i="1"/>
  <c r="N415" i="1"/>
  <c r="N413" i="1"/>
  <c r="N412" i="1"/>
  <c r="N411" i="1"/>
  <c r="N406" i="1"/>
  <c r="N402" i="1"/>
  <c r="N397" i="1"/>
  <c r="N388" i="1"/>
  <c r="N386" i="1"/>
  <c r="N372" i="1"/>
  <c r="N371" i="1"/>
  <c r="N370" i="1" s="1"/>
  <c r="N356" i="1"/>
  <c r="N355" i="1" s="1"/>
  <c r="N351" i="1"/>
  <c r="N350" i="1" s="1"/>
  <c r="N348" i="1"/>
  <c r="N346" i="1"/>
  <c r="N336" i="1"/>
  <c r="N333" i="1"/>
  <c r="N325" i="1"/>
  <c r="N324" i="1" s="1"/>
  <c r="N318" i="1"/>
  <c r="N317" i="1" s="1"/>
  <c r="N315" i="1"/>
  <c r="N314" i="1" s="1"/>
  <c r="N313" i="1" s="1"/>
  <c r="N312" i="1" s="1"/>
  <c r="N306" i="1"/>
  <c r="N304" i="1"/>
  <c r="N302" i="1"/>
  <c r="N300" i="1"/>
  <c r="N291" i="1"/>
  <c r="N290" i="1" s="1"/>
  <c r="N289" i="1" s="1"/>
  <c r="N286" i="1"/>
  <c r="N285" i="1" s="1"/>
  <c r="N283" i="1"/>
  <c r="N279" i="1"/>
  <c r="N278" i="1" s="1"/>
  <c r="N277" i="1" s="1"/>
  <c r="N275" i="1"/>
  <c r="N274" i="1" s="1"/>
  <c r="N272" i="1"/>
  <c r="N271" i="1" s="1"/>
  <c r="N267" i="1"/>
  <c r="N266" i="1" s="1"/>
  <c r="N260" i="1"/>
  <c r="N259" i="1" s="1"/>
  <c r="N246" i="1"/>
  <c r="N245" i="1" s="1"/>
  <c r="N244" i="1" s="1"/>
  <c r="N235" i="1"/>
  <c r="N234" i="1" s="1"/>
  <c r="N232" i="1"/>
  <c r="N231" i="1" s="1"/>
  <c r="N227" i="1"/>
  <c r="N225" i="1"/>
  <c r="N222" i="1"/>
  <c r="N221" i="1"/>
  <c r="N214" i="1"/>
  <c r="N213" i="1" s="1"/>
  <c r="N211" i="1"/>
  <c r="N210" i="1" s="1"/>
  <c r="N204" i="1"/>
  <c r="N203" i="1" s="1"/>
  <c r="N202" i="1" s="1"/>
  <c r="N201" i="1" s="1"/>
  <c r="N197" i="1"/>
  <c r="N196" i="1" s="1"/>
  <c r="N195" i="1" s="1"/>
  <c r="N193" i="1"/>
  <c r="N192" i="1" s="1"/>
  <c r="N191" i="1" s="1"/>
  <c r="N190" i="1" s="1"/>
  <c r="N188" i="1"/>
  <c r="N186" i="1"/>
  <c r="N184" i="1"/>
  <c r="N182" i="1"/>
  <c r="N180" i="1"/>
  <c r="N177" i="1"/>
  <c r="N176" i="1" s="1"/>
  <c r="N169" i="1"/>
  <c r="N168" i="1" s="1"/>
  <c r="N167" i="1" s="1"/>
  <c r="N165" i="1"/>
  <c r="N163" i="1"/>
  <c r="N161" i="1"/>
  <c r="N160" i="1"/>
  <c r="N158" i="1" s="1"/>
  <c r="N153" i="1"/>
  <c r="N151" i="1"/>
  <c r="N140" i="1"/>
  <c r="N136" i="1"/>
  <c r="N134" i="1"/>
  <c r="N127" i="1"/>
  <c r="N125" i="1"/>
  <c r="N123" i="1"/>
  <c r="N121" i="1"/>
  <c r="N115" i="1"/>
  <c r="N113" i="1" s="1"/>
  <c r="N112" i="1" s="1"/>
  <c r="N111" i="1" s="1"/>
  <c r="N110" i="1" s="1"/>
  <c r="N109" i="1" s="1"/>
  <c r="N108" i="1" s="1"/>
  <c r="N107" i="1" s="1"/>
  <c r="N105" i="1"/>
  <c r="N101" i="1"/>
  <c r="N99" i="1"/>
  <c r="N96" i="1"/>
  <c r="N91" i="1"/>
  <c r="N84" i="1"/>
  <c r="N83" i="1"/>
  <c r="N82" i="1" s="1"/>
  <c r="N81" i="1" s="1"/>
  <c r="N79" i="1"/>
  <c r="N77" i="1"/>
  <c r="N72" i="1"/>
  <c r="N71" i="1" s="1"/>
  <c r="N70" i="1" s="1"/>
  <c r="N68" i="1"/>
  <c r="N66" i="1"/>
  <c r="N59" i="1"/>
  <c r="N58" i="1" s="1"/>
  <c r="N57" i="1" s="1"/>
  <c r="N56" i="1" s="1"/>
  <c r="N55" i="1" s="1"/>
  <c r="N54" i="1" s="1"/>
  <c r="N50" i="1"/>
  <c r="N49" i="1" s="1"/>
  <c r="N48" i="1" s="1"/>
  <c r="N45" i="1"/>
  <c r="N44" i="1" s="1"/>
  <c r="N43" i="1" s="1"/>
  <c r="N41" i="1"/>
  <c r="N38" i="1"/>
  <c r="N36" i="1"/>
  <c r="N33" i="1"/>
  <c r="N30" i="1"/>
  <c r="N25" i="1"/>
  <c r="N24" i="1" s="1"/>
  <c r="N23" i="1" s="1"/>
  <c r="N18" i="1"/>
  <c r="N17" i="1" s="1"/>
  <c r="N16" i="1" s="1"/>
  <c r="N15" i="1" s="1"/>
  <c r="N14" i="1" s="1"/>
  <c r="N13" i="1" s="1"/>
  <c r="K881" i="1"/>
  <c r="K880" i="1"/>
  <c r="K879" i="1" s="1"/>
  <c r="K877" i="1"/>
  <c r="K875" i="1"/>
  <c r="K872" i="1"/>
  <c r="K867" i="1"/>
  <c r="K866" i="1" s="1"/>
  <c r="K865" i="1" s="1"/>
  <c r="K864" i="1" s="1"/>
  <c r="K861" i="1"/>
  <c r="K860" i="1" s="1"/>
  <c r="K859" i="1" s="1"/>
  <c r="K857" i="1" s="1"/>
  <c r="K856" i="1" s="1"/>
  <c r="K852" i="1"/>
  <c r="K851" i="1" s="1"/>
  <c r="K848" i="1"/>
  <c r="K846" i="1"/>
  <c r="K839" i="1"/>
  <c r="K838" i="1" s="1"/>
  <c r="K837" i="1" s="1"/>
  <c r="K836" i="1" s="1"/>
  <c r="K835" i="1" s="1"/>
  <c r="K834" i="1" s="1"/>
  <c r="K831" i="1"/>
  <c r="K830" i="1" s="1"/>
  <c r="K829" i="1" s="1"/>
  <c r="K828" i="1" s="1"/>
  <c r="K827" i="1" s="1"/>
  <c r="K826" i="1" s="1"/>
  <c r="K825" i="1" s="1"/>
  <c r="K823" i="1"/>
  <c r="K822" i="1" s="1"/>
  <c r="K820" i="1"/>
  <c r="K819" i="1" s="1"/>
  <c r="K817" i="1"/>
  <c r="K816" i="1" s="1"/>
  <c r="K814" i="1"/>
  <c r="K812" i="1"/>
  <c r="K806" i="1"/>
  <c r="K805" i="1" s="1"/>
  <c r="K804" i="1" s="1"/>
  <c r="K803" i="1" s="1"/>
  <c r="K776" i="1"/>
  <c r="K775" i="1" s="1"/>
  <c r="K774" i="1" s="1"/>
  <c r="K768" i="1"/>
  <c r="K767" i="1" s="1"/>
  <c r="K766" i="1" s="1"/>
  <c r="K765" i="1"/>
  <c r="K764" i="1" s="1"/>
  <c r="K763" i="1" s="1"/>
  <c r="K756" i="1"/>
  <c r="K755" i="1" s="1"/>
  <c r="K754" i="1" s="1"/>
  <c r="K753" i="1" s="1"/>
  <c r="K752" i="1" s="1"/>
  <c r="K751" i="1" s="1"/>
  <c r="K748" i="1"/>
  <c r="K747" i="1" s="1"/>
  <c r="K745" i="1"/>
  <c r="K739" i="1"/>
  <c r="K737" i="1"/>
  <c r="K736" i="1" s="1"/>
  <c r="K734" i="1"/>
  <c r="K733" i="1" s="1"/>
  <c r="K732" i="1" s="1"/>
  <c r="K731" i="1" s="1"/>
  <c r="K730" i="1" s="1"/>
  <c r="K729" i="1" s="1"/>
  <c r="K718" i="1"/>
  <c r="K717" i="1" s="1"/>
  <c r="K714" i="1" s="1"/>
  <c r="K715" i="1"/>
  <c r="K712" i="1"/>
  <c r="K711" i="1" s="1"/>
  <c r="K709" i="1"/>
  <c r="K702" i="1"/>
  <c r="K701" i="1" s="1"/>
  <c r="K700" i="1" s="1"/>
  <c r="K699" i="1" s="1"/>
  <c r="K698" i="1" s="1"/>
  <c r="K697" i="1" s="1"/>
  <c r="K694" i="1"/>
  <c r="K692" i="1"/>
  <c r="K688" i="1"/>
  <c r="K686" i="1"/>
  <c r="K684" i="1"/>
  <c r="K680" i="1"/>
  <c r="K679" i="1" s="1"/>
  <c r="K678" i="1" s="1"/>
  <c r="K667" i="1"/>
  <c r="K666" i="1" s="1"/>
  <c r="K665" i="1" s="1"/>
  <c r="K663" i="1"/>
  <c r="K661" i="1"/>
  <c r="K655" i="1"/>
  <c r="K653" i="1"/>
  <c r="K651" i="1"/>
  <c r="K647" i="1"/>
  <c r="K645" i="1"/>
  <c r="K643" i="1"/>
  <c r="K639" i="1"/>
  <c r="K633" i="1"/>
  <c r="K632" i="1" s="1"/>
  <c r="K631" i="1" s="1"/>
  <c r="K630" i="1" s="1"/>
  <c r="K623" i="1"/>
  <c r="K622" i="1" s="1"/>
  <c r="K620" i="1"/>
  <c r="K618" i="1"/>
  <c r="K598" i="1"/>
  <c r="K597" i="1" s="1"/>
  <c r="K596" i="1" s="1"/>
  <c r="K595" i="1" s="1"/>
  <c r="K593" i="1"/>
  <c r="K592" i="1" s="1"/>
  <c r="K591" i="1" s="1"/>
  <c r="K589" i="1"/>
  <c r="K587" i="1"/>
  <c r="K585" i="1"/>
  <c r="K582" i="1"/>
  <c r="K580" i="1"/>
  <c r="K578" i="1"/>
  <c r="K576" i="1"/>
  <c r="K572" i="1"/>
  <c r="K571" i="1"/>
  <c r="K569" i="1"/>
  <c r="K567" i="1"/>
  <c r="K557" i="1"/>
  <c r="K556" i="1" s="1"/>
  <c r="K554" i="1"/>
  <c r="K553" i="1" s="1"/>
  <c r="K552" i="1" s="1"/>
  <c r="K549" i="1"/>
  <c r="K548" i="1" s="1"/>
  <c r="K546" i="1"/>
  <c r="K543" i="1"/>
  <c r="K524" i="1"/>
  <c r="K523" i="1" s="1"/>
  <c r="K522" i="1" s="1"/>
  <c r="K521" i="1" s="1"/>
  <c r="K520" i="1" s="1"/>
  <c r="K519" i="1" s="1"/>
  <c r="K517" i="1"/>
  <c r="K516" i="1" s="1"/>
  <c r="K515" i="1" s="1"/>
  <c r="K514" i="1" s="1"/>
  <c r="K513" i="1" s="1"/>
  <c r="K511" i="1"/>
  <c r="K510" i="1" s="1"/>
  <c r="K506" i="1"/>
  <c r="K505" i="1" s="1"/>
  <c r="K503" i="1"/>
  <c r="K497" i="1"/>
  <c r="K495" i="1"/>
  <c r="K493" i="1"/>
  <c r="K489" i="1"/>
  <c r="K488" i="1" s="1"/>
  <c r="K487" i="1" s="1"/>
  <c r="K483" i="1"/>
  <c r="K482" i="1" s="1"/>
  <c r="K481" i="1" s="1"/>
  <c r="K479" i="1"/>
  <c r="K478" i="1" s="1"/>
  <c r="K477" i="1" s="1"/>
  <c r="K473" i="1"/>
  <c r="K472" i="1" s="1"/>
  <c r="K471" i="1" s="1"/>
  <c r="K470" i="1" s="1"/>
  <c r="K469" i="1" s="1"/>
  <c r="K468" i="1" s="1"/>
  <c r="K457" i="1"/>
  <c r="K456" i="1" s="1"/>
  <c r="K455" i="1" s="1"/>
  <c r="K454" i="1" s="1"/>
  <c r="K453" i="1" s="1"/>
  <c r="K452" i="1" s="1"/>
  <c r="K451" i="1" s="1"/>
  <c r="K439" i="1"/>
  <c r="K438" i="1" s="1"/>
  <c r="K437" i="1" s="1"/>
  <c r="K434" i="1"/>
  <c r="K433" i="1"/>
  <c r="K432" i="1" s="1"/>
  <c r="K428" i="1"/>
  <c r="K427" i="1" s="1"/>
  <c r="K426" i="1" s="1"/>
  <c r="K425" i="1" s="1"/>
  <c r="K424" i="1"/>
  <c r="K423" i="1" s="1"/>
  <c r="K422" i="1" s="1"/>
  <c r="K417" i="1"/>
  <c r="K415" i="1"/>
  <c r="K413" i="1"/>
  <c r="K411" i="1"/>
  <c r="K407" i="1"/>
  <c r="K406" i="1" s="1"/>
  <c r="K402" i="1"/>
  <c r="K397" i="1"/>
  <c r="K388" i="1"/>
  <c r="K386" i="1"/>
  <c r="K372" i="1"/>
  <c r="K371" i="1"/>
  <c r="K370" i="1" s="1"/>
  <c r="K356" i="1"/>
  <c r="K355" i="1" s="1"/>
  <c r="K352" i="1"/>
  <c r="K351" i="1" s="1"/>
  <c r="K350" i="1" s="1"/>
  <c r="K348" i="1"/>
  <c r="K336" i="1"/>
  <c r="K333" i="1"/>
  <c r="K331" i="1"/>
  <c r="K326" i="1"/>
  <c r="K325" i="1" s="1"/>
  <c r="K324" i="1" s="1"/>
  <c r="K318" i="1"/>
  <c r="K317" i="1" s="1"/>
  <c r="K315" i="1"/>
  <c r="K314" i="1" s="1"/>
  <c r="K313" i="1" s="1"/>
  <c r="K312" i="1" s="1"/>
  <c r="K309" i="1"/>
  <c r="K308" i="1" s="1"/>
  <c r="K306" i="1"/>
  <c r="K304" i="1"/>
  <c r="K302" i="1"/>
  <c r="K300" i="1"/>
  <c r="K291" i="1"/>
  <c r="K290" i="1" s="1"/>
  <c r="K289" i="1" s="1"/>
  <c r="K286" i="1"/>
  <c r="K285" i="1" s="1"/>
  <c r="K283" i="1"/>
  <c r="K279" i="1"/>
  <c r="K278" i="1" s="1"/>
  <c r="K277" i="1" s="1"/>
  <c r="K275" i="1"/>
  <c r="K274" i="1" s="1"/>
  <c r="K272" i="1"/>
  <c r="K271" i="1" s="1"/>
  <c r="K267" i="1"/>
  <c r="K266" i="1" s="1"/>
  <c r="K260" i="1"/>
  <c r="K259" i="1" s="1"/>
  <c r="K246" i="1"/>
  <c r="K245" i="1" s="1"/>
  <c r="K244" i="1" s="1"/>
  <c r="K235" i="1"/>
  <c r="K234" i="1" s="1"/>
  <c r="K232" i="1"/>
  <c r="K231" i="1" s="1"/>
  <c r="K227" i="1"/>
  <c r="K225" i="1"/>
  <c r="K222" i="1"/>
  <c r="K221" i="1"/>
  <c r="K214" i="1"/>
  <c r="K213" i="1" s="1"/>
  <c r="K211" i="1"/>
  <c r="K210" i="1" s="1"/>
  <c r="K204" i="1"/>
  <c r="K203" i="1" s="1"/>
  <c r="K202" i="1" s="1"/>
  <c r="K201" i="1" s="1"/>
  <c r="K197" i="1"/>
  <c r="K196" i="1" s="1"/>
  <c r="K195" i="1" s="1"/>
  <c r="K193" i="1"/>
  <c r="K192" i="1" s="1"/>
  <c r="K191" i="1" s="1"/>
  <c r="K190" i="1" s="1"/>
  <c r="K188" i="1"/>
  <c r="K186" i="1"/>
  <c r="K184" i="1"/>
  <c r="K182" i="1"/>
  <c r="K180" i="1"/>
  <c r="K177" i="1"/>
  <c r="K176" i="1" s="1"/>
  <c r="K169" i="1"/>
  <c r="K168" i="1" s="1"/>
  <c r="K167" i="1" s="1"/>
  <c r="K165" i="1"/>
  <c r="K163" i="1"/>
  <c r="K161" i="1"/>
  <c r="K160" i="1"/>
  <c r="K158" i="1" s="1"/>
  <c r="K153" i="1"/>
  <c r="K151" i="1"/>
  <c r="K140" i="1"/>
  <c r="K136" i="1"/>
  <c r="K134" i="1"/>
  <c r="K127" i="1"/>
  <c r="K125" i="1"/>
  <c r="K123" i="1"/>
  <c r="K121" i="1"/>
  <c r="K115" i="1"/>
  <c r="K113" i="1"/>
  <c r="K112" i="1" s="1"/>
  <c r="K111" i="1" s="1"/>
  <c r="K110" i="1" s="1"/>
  <c r="K109" i="1" s="1"/>
  <c r="K108" i="1" s="1"/>
  <c r="K107" i="1" s="1"/>
  <c r="K105" i="1"/>
  <c r="K101" i="1"/>
  <c r="K99" i="1"/>
  <c r="K96" i="1"/>
  <c r="K91" i="1"/>
  <c r="K84" i="1"/>
  <c r="K83" i="1" s="1"/>
  <c r="K82" i="1" s="1"/>
  <c r="K81" i="1" s="1"/>
  <c r="K79" i="1"/>
  <c r="K77" i="1"/>
  <c r="K72" i="1"/>
  <c r="K71" i="1" s="1"/>
  <c r="K70" i="1" s="1"/>
  <c r="K68" i="1"/>
  <c r="K66" i="1"/>
  <c r="K59" i="1"/>
  <c r="K58" i="1" s="1"/>
  <c r="K57" i="1" s="1"/>
  <c r="K56" i="1" s="1"/>
  <c r="K55" i="1" s="1"/>
  <c r="K54" i="1" s="1"/>
  <c r="K50" i="1"/>
  <c r="K49" i="1" s="1"/>
  <c r="K48" i="1" s="1"/>
  <c r="K45" i="1"/>
  <c r="K44" i="1" s="1"/>
  <c r="K43" i="1" s="1"/>
  <c r="K41" i="1"/>
  <c r="K38" i="1"/>
  <c r="K36" i="1"/>
  <c r="K33" i="1"/>
  <c r="K30" i="1"/>
  <c r="K25" i="1"/>
  <c r="K24" i="1" s="1"/>
  <c r="K23" i="1" s="1"/>
  <c r="K18" i="1"/>
  <c r="K17" i="1" s="1"/>
  <c r="K16" i="1" s="1"/>
  <c r="K15" i="1" s="1"/>
  <c r="K14" i="1" s="1"/>
  <c r="K13" i="1" s="1"/>
  <c r="L424" i="1"/>
  <c r="I240" i="1"/>
  <c r="I239" i="1" s="1"/>
  <c r="I352" i="1"/>
  <c r="I351" i="1" s="1"/>
  <c r="I407" i="1"/>
  <c r="I406" i="1" s="1"/>
  <c r="I424" i="1"/>
  <c r="H881" i="1"/>
  <c r="H880" i="1"/>
  <c r="H879" i="1" s="1"/>
  <c r="H877" i="1"/>
  <c r="H875" i="1"/>
  <c r="H873" i="1"/>
  <c r="H872" i="1" s="1"/>
  <c r="H867" i="1"/>
  <c r="H866" i="1" s="1"/>
  <c r="H865" i="1" s="1"/>
  <c r="H864" i="1" s="1"/>
  <c r="H861" i="1"/>
  <c r="H860" i="1" s="1"/>
  <c r="H859" i="1" s="1"/>
  <c r="H852" i="1"/>
  <c r="H851" i="1" s="1"/>
  <c r="H848" i="1"/>
  <c r="H846" i="1"/>
  <c r="H839" i="1"/>
  <c r="H838" i="1" s="1"/>
  <c r="H837" i="1" s="1"/>
  <c r="H836" i="1" s="1"/>
  <c r="H835" i="1" s="1"/>
  <c r="H834" i="1" s="1"/>
  <c r="H831" i="1"/>
  <c r="H830" i="1" s="1"/>
  <c r="H829" i="1" s="1"/>
  <c r="H828" i="1" s="1"/>
  <c r="H827" i="1" s="1"/>
  <c r="H826" i="1" s="1"/>
  <c r="H825" i="1" s="1"/>
  <c r="H823" i="1"/>
  <c r="H822" i="1" s="1"/>
  <c r="H820" i="1"/>
  <c r="H819" i="1" s="1"/>
  <c r="H817" i="1"/>
  <c r="H814" i="1"/>
  <c r="H812" i="1"/>
  <c r="H806" i="1"/>
  <c r="H805" i="1" s="1"/>
  <c r="H804" i="1" s="1"/>
  <c r="H803" i="1" s="1"/>
  <c r="H794" i="1"/>
  <c r="H793" i="1" s="1"/>
  <c r="H790" i="1"/>
  <c r="H789" i="1" s="1"/>
  <c r="H786" i="1"/>
  <c r="H785" i="1" s="1"/>
  <c r="H783" i="1"/>
  <c r="H782" i="1" s="1"/>
  <c r="H780" i="1"/>
  <c r="H778" i="1"/>
  <c r="H775" i="1"/>
  <c r="H774" i="1" s="1"/>
  <c r="H772" i="1"/>
  <c r="H771" i="1" s="1"/>
  <c r="H768" i="1"/>
  <c r="H767" i="1" s="1"/>
  <c r="H764" i="1"/>
  <c r="H763" i="1" s="1"/>
  <c r="H756" i="1"/>
  <c r="H755" i="1" s="1"/>
  <c r="H754" i="1" s="1"/>
  <c r="H753" i="1" s="1"/>
  <c r="H752" i="1" s="1"/>
  <c r="H751" i="1" s="1"/>
  <c r="H748" i="1"/>
  <c r="H747" i="1" s="1"/>
  <c r="H745" i="1"/>
  <c r="H739" i="1"/>
  <c r="H737" i="1"/>
  <c r="H736" i="1" s="1"/>
  <c r="H734" i="1"/>
  <c r="H733" i="1" s="1"/>
  <c r="H732" i="1" s="1"/>
  <c r="H731" i="1" s="1"/>
  <c r="H730" i="1" s="1"/>
  <c r="H729" i="1" s="1"/>
  <c r="H715" i="1"/>
  <c r="H714" i="1" s="1"/>
  <c r="H712" i="1"/>
  <c r="H711" i="1" s="1"/>
  <c r="H709" i="1"/>
  <c r="H702" i="1"/>
  <c r="H701" i="1" s="1"/>
  <c r="H700" i="1" s="1"/>
  <c r="H699" i="1" s="1"/>
  <c r="H698" i="1" s="1"/>
  <c r="H697" i="1" s="1"/>
  <c r="H694" i="1"/>
  <c r="H692" i="1"/>
  <c r="H688" i="1"/>
  <c r="H686" i="1"/>
  <c r="H684" i="1"/>
  <c r="H680" i="1"/>
  <c r="H679" i="1" s="1"/>
  <c r="H678" i="1" s="1"/>
  <c r="H667" i="1"/>
  <c r="H666" i="1" s="1"/>
  <c r="H665" i="1" s="1"/>
  <c r="H663" i="1"/>
  <c r="H661" i="1"/>
  <c r="H655" i="1"/>
  <c r="H653" i="1"/>
  <c r="H651" i="1"/>
  <c r="H647" i="1"/>
  <c r="H645" i="1"/>
  <c r="H643" i="1"/>
  <c r="H639" i="1"/>
  <c r="H633" i="1"/>
  <c r="H632" i="1" s="1"/>
  <c r="H631" i="1" s="1"/>
  <c r="H630" i="1" s="1"/>
  <c r="H625" i="1"/>
  <c r="H624" i="1" s="1"/>
  <c r="H623" i="1" s="1"/>
  <c r="H622" i="1" s="1"/>
  <c r="H620" i="1"/>
  <c r="H618" i="1"/>
  <c r="H607" i="1"/>
  <c r="H605" i="1"/>
  <c r="H603" i="1"/>
  <c r="H601" i="1"/>
  <c r="H598" i="1"/>
  <c r="H597" i="1" s="1"/>
  <c r="H593" i="1"/>
  <c r="H592" i="1" s="1"/>
  <c r="H591" i="1" s="1"/>
  <c r="H589" i="1"/>
  <c r="H587" i="1"/>
  <c r="H585" i="1"/>
  <c r="H582" i="1"/>
  <c r="H580" i="1"/>
  <c r="H578" i="1"/>
  <c r="H576" i="1"/>
  <c r="H572" i="1"/>
  <c r="H571" i="1"/>
  <c r="H569" i="1"/>
  <c r="H567" i="1"/>
  <c r="H560" i="1"/>
  <c r="H558" i="1"/>
  <c r="H554" i="1"/>
  <c r="H553" i="1" s="1"/>
  <c r="H552" i="1" s="1"/>
  <c r="H549" i="1"/>
  <c r="H548" i="1" s="1"/>
  <c r="H546" i="1"/>
  <c r="H543" i="1"/>
  <c r="H524" i="1"/>
  <c r="H523" i="1" s="1"/>
  <c r="H522" i="1" s="1"/>
  <c r="H521" i="1" s="1"/>
  <c r="H520" i="1" s="1"/>
  <c r="H519" i="1" s="1"/>
  <c r="H517" i="1"/>
  <c r="H516" i="1" s="1"/>
  <c r="H515" i="1" s="1"/>
  <c r="H514" i="1" s="1"/>
  <c r="H513" i="1" s="1"/>
  <c r="H511" i="1"/>
  <c r="H510" i="1" s="1"/>
  <c r="H506" i="1"/>
  <c r="H505" i="1" s="1"/>
  <c r="H503" i="1"/>
  <c r="H497" i="1"/>
  <c r="H495" i="1"/>
  <c r="H493" i="1"/>
  <c r="H489" i="1"/>
  <c r="H488" i="1" s="1"/>
  <c r="H487" i="1" s="1"/>
  <c r="H483" i="1"/>
  <c r="H482" i="1" s="1"/>
  <c r="H481" i="1" s="1"/>
  <c r="H479" i="1"/>
  <c r="H478" i="1" s="1"/>
  <c r="H473" i="1"/>
  <c r="H472" i="1" s="1"/>
  <c r="H471" i="1" s="1"/>
  <c r="H470" i="1" s="1"/>
  <c r="H469" i="1" s="1"/>
  <c r="H468" i="1" s="1"/>
  <c r="H464" i="1"/>
  <c r="H462" i="1" s="1"/>
  <c r="H459" i="1"/>
  <c r="H458" i="1" s="1"/>
  <c r="H457" i="1" s="1"/>
  <c r="H440" i="1"/>
  <c r="H439" i="1" s="1"/>
  <c r="H438" i="1" s="1"/>
  <c r="H437" i="1" s="1"/>
  <c r="H434" i="1"/>
  <c r="H433" i="1"/>
  <c r="H432" i="1" s="1"/>
  <c r="H428" i="1"/>
  <c r="H427" i="1" s="1"/>
  <c r="H426" i="1" s="1"/>
  <c r="H423" i="1"/>
  <c r="H422" i="1" s="1"/>
  <c r="H417" i="1"/>
  <c r="H415" i="1"/>
  <c r="H413" i="1"/>
  <c r="H412" i="1"/>
  <c r="H411" i="1" s="1"/>
  <c r="H407" i="1"/>
  <c r="H406" i="1" s="1"/>
  <c r="H403" i="1"/>
  <c r="H402" i="1" s="1"/>
  <c r="H399" i="1"/>
  <c r="H397" i="1" s="1"/>
  <c r="H394" i="1"/>
  <c r="H390" i="1"/>
  <c r="H388" i="1"/>
  <c r="H386" i="1"/>
  <c r="H383" i="1"/>
  <c r="H382" i="1" s="1"/>
  <c r="H379" i="1"/>
  <c r="H378" i="1" s="1"/>
  <c r="H372" i="1"/>
  <c r="H371" i="1"/>
  <c r="H370" i="1" s="1"/>
  <c r="H365" i="1"/>
  <c r="H363" i="1"/>
  <c r="H361" i="1"/>
  <c r="H357" i="1"/>
  <c r="H352" i="1"/>
  <c r="H351" i="1" s="1"/>
  <c r="H350" i="1" s="1"/>
  <c r="H348" i="1"/>
  <c r="H346" i="1"/>
  <c r="H342" i="1"/>
  <c r="H338" i="1"/>
  <c r="H336" i="1"/>
  <c r="H330" i="1" s="1"/>
  <c r="H331" i="1"/>
  <c r="H327" i="1"/>
  <c r="H326" i="1" s="1"/>
  <c r="H325" i="1" s="1"/>
  <c r="H324" i="1" s="1"/>
  <c r="H319" i="1"/>
  <c r="H318" i="1" s="1"/>
  <c r="H317" i="1" s="1"/>
  <c r="H315" i="1"/>
  <c r="H314" i="1" s="1"/>
  <c r="H313" i="1" s="1"/>
  <c r="H312" i="1" s="1"/>
  <c r="H306" i="1"/>
  <c r="H304" i="1"/>
  <c r="H302" i="1"/>
  <c r="H300" i="1"/>
  <c r="H291" i="1"/>
  <c r="H290" i="1" s="1"/>
  <c r="H289" i="1" s="1"/>
  <c r="H286" i="1"/>
  <c r="H285" i="1" s="1"/>
  <c r="H283" i="1"/>
  <c r="H279" i="1"/>
  <c r="H278" i="1" s="1"/>
  <c r="H277" i="1" s="1"/>
  <c r="H275" i="1"/>
  <c r="H274" i="1" s="1"/>
  <c r="H272" i="1"/>
  <c r="H271" i="1" s="1"/>
  <c r="H267" i="1"/>
  <c r="H266" i="1" s="1"/>
  <c r="H264" i="1"/>
  <c r="H259" i="1" s="1"/>
  <c r="H253" i="1"/>
  <c r="H252" i="1" s="1"/>
  <c r="H251" i="1" s="1"/>
  <c r="H249" i="1"/>
  <c r="H248" i="1" s="1"/>
  <c r="H246" i="1"/>
  <c r="H245" i="1" s="1"/>
  <c r="H240" i="1"/>
  <c r="H239" i="1" s="1"/>
  <c r="H238" i="1" s="1"/>
  <c r="H236" i="1"/>
  <c r="H235" i="1" s="1"/>
  <c r="H234" i="1" s="1"/>
  <c r="H232" i="1"/>
  <c r="H231" i="1" s="1"/>
  <c r="H227" i="1"/>
  <c r="H225" i="1"/>
  <c r="H222" i="1"/>
  <c r="H221" i="1"/>
  <c r="H218" i="1"/>
  <c r="H216" i="1"/>
  <c r="H214" i="1"/>
  <c r="H212" i="1"/>
  <c r="H211" i="1" s="1"/>
  <c r="H210" i="1" s="1"/>
  <c r="H204" i="1"/>
  <c r="H203" i="1" s="1"/>
  <c r="H202" i="1" s="1"/>
  <c r="H201" i="1" s="1"/>
  <c r="H197" i="1"/>
  <c r="H196" i="1" s="1"/>
  <c r="H195" i="1" s="1"/>
  <c r="H193" i="1"/>
  <c r="H192" i="1" s="1"/>
  <c r="H191" i="1" s="1"/>
  <c r="H190" i="1" s="1"/>
  <c r="H188" i="1"/>
  <c r="H186" i="1"/>
  <c r="H184" i="1"/>
  <c r="H182" i="1"/>
  <c r="H180" i="1"/>
  <c r="H177" i="1"/>
  <c r="H176" i="1" s="1"/>
  <c r="H169" i="1"/>
  <c r="H168" i="1" s="1"/>
  <c r="H167" i="1" s="1"/>
  <c r="H165" i="1"/>
  <c r="H163" i="1"/>
  <c r="H161" i="1"/>
  <c r="H160" i="1"/>
  <c r="H158" i="1"/>
  <c r="H153" i="1"/>
  <c r="H150" i="1" s="1"/>
  <c r="H149" i="1" s="1"/>
  <c r="H151" i="1"/>
  <c r="H140" i="1"/>
  <c r="H134" i="1"/>
  <c r="H127" i="1"/>
  <c r="H125" i="1"/>
  <c r="H123" i="1"/>
  <c r="H121" i="1"/>
  <c r="H115" i="1"/>
  <c r="H113" i="1" s="1"/>
  <c r="H112" i="1" s="1"/>
  <c r="H111" i="1" s="1"/>
  <c r="H110" i="1" s="1"/>
  <c r="H109" i="1" s="1"/>
  <c r="H108" i="1" s="1"/>
  <c r="H107" i="1" s="1"/>
  <c r="H105" i="1"/>
  <c r="H101" i="1"/>
  <c r="H99" i="1"/>
  <c r="H97" i="1"/>
  <c r="H95" i="1"/>
  <c r="H91" i="1"/>
  <c r="H84" i="1"/>
  <c r="H83" i="1" s="1"/>
  <c r="H82" i="1" s="1"/>
  <c r="H81" i="1" s="1"/>
  <c r="H79" i="1"/>
  <c r="H77" i="1"/>
  <c r="H72" i="1"/>
  <c r="H71" i="1" s="1"/>
  <c r="H70" i="1" s="1"/>
  <c r="H68" i="1"/>
  <c r="H66" i="1"/>
  <c r="H59" i="1"/>
  <c r="H58" i="1" s="1"/>
  <c r="H57" i="1" s="1"/>
  <c r="H56" i="1" s="1"/>
  <c r="H55" i="1" s="1"/>
  <c r="H54" i="1" s="1"/>
  <c r="H50" i="1"/>
  <c r="H49" i="1" s="1"/>
  <c r="H48" i="1" s="1"/>
  <c r="H45" i="1"/>
  <c r="H44" i="1" s="1"/>
  <c r="H43" i="1" s="1"/>
  <c r="H41" i="1"/>
  <c r="H38" i="1"/>
  <c r="H36" i="1"/>
  <c r="H33" i="1"/>
  <c r="H30" i="1"/>
  <c r="H27" i="1"/>
  <c r="H25" i="1" s="1"/>
  <c r="H24" i="1" s="1"/>
  <c r="H23" i="1" s="1"/>
  <c r="H18" i="1"/>
  <c r="H17" i="1" s="1"/>
  <c r="H16" i="1" s="1"/>
  <c r="H15" i="1" s="1"/>
  <c r="H14" i="1" s="1"/>
  <c r="H13" i="1" s="1"/>
  <c r="H539" i="2" l="1"/>
  <c r="H532" i="2" s="1"/>
  <c r="E539" i="2"/>
  <c r="H88" i="1"/>
  <c r="E354" i="2"/>
  <c r="E532" i="2"/>
  <c r="K88" i="1"/>
  <c r="K87" i="1" s="1"/>
  <c r="K650" i="1"/>
  <c r="K649" i="1" s="1"/>
  <c r="N811" i="1"/>
  <c r="H456" i="1"/>
  <c r="H455" i="1" s="1"/>
  <c r="H454" i="1" s="1"/>
  <c r="H453" i="1" s="1"/>
  <c r="H452" i="1" s="1"/>
  <c r="H451" i="1" s="1"/>
  <c r="K502" i="1"/>
  <c r="H213" i="1"/>
  <c r="K377" i="1"/>
  <c r="K744" i="1"/>
  <c r="K743" i="1" s="1"/>
  <c r="K742" i="1" s="1"/>
  <c r="K741" i="1" s="1"/>
  <c r="K740" i="1" s="1"/>
  <c r="H584" i="1"/>
  <c r="H282" i="1"/>
  <c r="H281" i="1" s="1"/>
  <c r="H157" i="1"/>
  <c r="H156" i="1" s="1"/>
  <c r="H155" i="1" s="1"/>
  <c r="H148" i="1" s="1"/>
  <c r="H147" i="1" s="1"/>
  <c r="H146" i="1" s="1"/>
  <c r="K660" i="1"/>
  <c r="K659" i="1" s="1"/>
  <c r="K811" i="1"/>
  <c r="K638" i="1"/>
  <c r="K637" i="1" s="1"/>
  <c r="N492" i="1"/>
  <c r="N491" i="1" s="1"/>
  <c r="N476" i="1" s="1"/>
  <c r="N475" i="1" s="1"/>
  <c r="G596" i="1"/>
  <c r="G595" i="1" s="1"/>
  <c r="H566" i="1"/>
  <c r="K76" i="1"/>
  <c r="K75" i="1" s="1"/>
  <c r="K63" i="1" s="1"/>
  <c r="K62" i="1" s="1"/>
  <c r="K61" i="1" s="1"/>
  <c r="N150" i="1"/>
  <c r="N149" i="1" s="1"/>
  <c r="N377" i="1"/>
  <c r="E146" i="2"/>
  <c r="E145" i="2" s="1"/>
  <c r="E56" i="2" s="1"/>
  <c r="N157" i="1"/>
  <c r="N156" i="1" s="1"/>
  <c r="N155" i="1" s="1"/>
  <c r="N148" i="1" s="1"/>
  <c r="N147" i="1" s="1"/>
  <c r="N146" i="1" s="1"/>
  <c r="N143" i="1" s="1"/>
  <c r="N142" i="1" s="1"/>
  <c r="N744" i="1"/>
  <c r="N743" i="1" s="1"/>
  <c r="N742" i="1" s="1"/>
  <c r="N741" i="1" s="1"/>
  <c r="N740" i="1" s="1"/>
  <c r="N728" i="1" s="1"/>
  <c r="K150" i="1"/>
  <c r="K149" i="1" s="1"/>
  <c r="K566" i="1"/>
  <c r="N88" i="1"/>
  <c r="N87" i="1" s="1"/>
  <c r="N299" i="1"/>
  <c r="N298" i="1" s="1"/>
  <c r="N297" i="1" s="1"/>
  <c r="N296" i="1" s="1"/>
  <c r="K575" i="1"/>
  <c r="G87" i="1"/>
  <c r="G61" i="1" s="1"/>
  <c r="G12" i="1" s="1"/>
  <c r="K29" i="1"/>
  <c r="K28" i="1" s="1"/>
  <c r="K22" i="1" s="1"/>
  <c r="K21" i="1" s="1"/>
  <c r="K20" i="1" s="1"/>
  <c r="K65" i="1"/>
  <c r="K64" i="1" s="1"/>
  <c r="K157" i="1"/>
  <c r="K156" i="1" s="1"/>
  <c r="K155" i="1" s="1"/>
  <c r="K584" i="1"/>
  <c r="K845" i="1"/>
  <c r="K844" i="1" s="1"/>
  <c r="K843" i="1" s="1"/>
  <c r="K842" i="1" s="1"/>
  <c r="K841" i="1" s="1"/>
  <c r="N282" i="1"/>
  <c r="N281" i="1" s="1"/>
  <c r="N566" i="1"/>
  <c r="N584" i="1"/>
  <c r="K120" i="1"/>
  <c r="K119" i="1" s="1"/>
  <c r="K118" i="1" s="1"/>
  <c r="K117" i="1" s="1"/>
  <c r="K691" i="1"/>
  <c r="K690" i="1" s="1"/>
  <c r="K871" i="1"/>
  <c r="K870" i="1" s="1"/>
  <c r="K869" i="1" s="1"/>
  <c r="N220" i="1"/>
  <c r="N209" i="1" s="1"/>
  <c r="N208" i="1" s="1"/>
  <c r="N207" i="1" s="1"/>
  <c r="N206" i="1" s="1"/>
  <c r="H650" i="1"/>
  <c r="H649" i="1" s="1"/>
  <c r="K179" i="1"/>
  <c r="K175" i="1" s="1"/>
  <c r="K174" i="1" s="1"/>
  <c r="K173" i="1" s="1"/>
  <c r="K172" i="1" s="1"/>
  <c r="K708" i="1"/>
  <c r="K707" i="1" s="1"/>
  <c r="K706" i="1" s="1"/>
  <c r="K705" i="1" s="1"/>
  <c r="K704" i="1" s="1"/>
  <c r="N425" i="1"/>
  <c r="N638" i="1"/>
  <c r="N637" i="1" s="1"/>
  <c r="J61" i="1"/>
  <c r="J12" i="1" s="1"/>
  <c r="J11" i="1" s="1"/>
  <c r="J883" i="1" s="1"/>
  <c r="H29" i="1"/>
  <c r="H28" i="1" s="1"/>
  <c r="H22" i="1" s="1"/>
  <c r="H21" i="1" s="1"/>
  <c r="H20" i="1" s="1"/>
  <c r="H557" i="1"/>
  <c r="H556" i="1" s="1"/>
  <c r="K617" i="1"/>
  <c r="K616" i="1" s="1"/>
  <c r="K615" i="1" s="1"/>
  <c r="K614" i="1" s="1"/>
  <c r="K613" i="1" s="1"/>
  <c r="N29" i="1"/>
  <c r="N28" i="1" s="1"/>
  <c r="N76" i="1"/>
  <c r="N75" i="1" s="1"/>
  <c r="N179" i="1"/>
  <c r="N175" i="1" s="1"/>
  <c r="N174" i="1" s="1"/>
  <c r="N173" i="1" s="1"/>
  <c r="N172" i="1" s="1"/>
  <c r="N330" i="1"/>
  <c r="N329" i="1" s="1"/>
  <c r="N323" i="1" s="1"/>
  <c r="N322" i="1" s="1"/>
  <c r="N321" i="1" s="1"/>
  <c r="N401" i="1"/>
  <c r="N660" i="1"/>
  <c r="N659" i="1" s="1"/>
  <c r="K540" i="1"/>
  <c r="K539" i="1" s="1"/>
  <c r="K538" i="1" s="1"/>
  <c r="K537" i="1" s="1"/>
  <c r="K536" i="1" s="1"/>
  <c r="K220" i="1"/>
  <c r="K209" i="1" s="1"/>
  <c r="K208" i="1" s="1"/>
  <c r="K207" i="1" s="1"/>
  <c r="K206" i="1" s="1"/>
  <c r="K683" i="1"/>
  <c r="K682" i="1" s="1"/>
  <c r="N575" i="1"/>
  <c r="H299" i="1"/>
  <c r="H298" i="1" s="1"/>
  <c r="H356" i="1"/>
  <c r="H355" i="1" s="1"/>
  <c r="G209" i="1"/>
  <c r="G208" i="1" s="1"/>
  <c r="G207" i="1" s="1"/>
  <c r="G206" i="1" s="1"/>
  <c r="N540" i="1"/>
  <c r="N539" i="1" s="1"/>
  <c r="N538" i="1" s="1"/>
  <c r="N537" i="1" s="1"/>
  <c r="N536" i="1" s="1"/>
  <c r="H540" i="1"/>
  <c r="H539" i="1" s="1"/>
  <c r="K299" i="1"/>
  <c r="K298" i="1" s="1"/>
  <c r="K297" i="1" s="1"/>
  <c r="K296" i="1" s="1"/>
  <c r="N502" i="1"/>
  <c r="N501" i="1" s="1"/>
  <c r="N500" i="1" s="1"/>
  <c r="N499" i="1" s="1"/>
  <c r="N617" i="1"/>
  <c r="N616" i="1" s="1"/>
  <c r="N615" i="1" s="1"/>
  <c r="N614" i="1" s="1"/>
  <c r="N613" i="1" s="1"/>
  <c r="N650" i="1"/>
  <c r="N649" i="1" s="1"/>
  <c r="K133" i="1"/>
  <c r="K132" i="1" s="1"/>
  <c r="K131" i="1" s="1"/>
  <c r="K130" i="1" s="1"/>
  <c r="N65" i="1"/>
  <c r="N64" i="1" s="1"/>
  <c r="N63" i="1" s="1"/>
  <c r="N62" i="1" s="1"/>
  <c r="N120" i="1"/>
  <c r="N119" i="1" s="1"/>
  <c r="N118" i="1" s="1"/>
  <c r="N117" i="1" s="1"/>
  <c r="N133" i="1"/>
  <c r="N132" i="1" s="1"/>
  <c r="N131" i="1" s="1"/>
  <c r="N130" i="1" s="1"/>
  <c r="N683" i="1"/>
  <c r="N682" i="1" s="1"/>
  <c r="N677" i="1" s="1"/>
  <c r="N676" i="1" s="1"/>
  <c r="N675" i="1" s="1"/>
  <c r="N674" i="1" s="1"/>
  <c r="N845" i="1"/>
  <c r="N871" i="1"/>
  <c r="N870" i="1" s="1"/>
  <c r="N869" i="1" s="1"/>
  <c r="N855" i="1" s="1"/>
  <c r="N854" i="1" s="1"/>
  <c r="H596" i="1"/>
  <c r="H595" i="1" s="1"/>
  <c r="G564" i="1"/>
  <c r="G563" i="1" s="1"/>
  <c r="G562" i="1" s="1"/>
  <c r="H220" i="1"/>
  <c r="H209" i="1" s="1"/>
  <c r="G199" i="1"/>
  <c r="G200" i="1"/>
  <c r="N22" i="1"/>
  <c r="N21" i="1" s="1"/>
  <c r="N20" i="1" s="1"/>
  <c r="K410" i="1"/>
  <c r="N410" i="1"/>
  <c r="N376" i="1" s="1"/>
  <c r="N369" i="1" s="1"/>
  <c r="N258" i="1"/>
  <c r="N844" i="1"/>
  <c r="N843" i="1" s="1"/>
  <c r="N842" i="1" s="1"/>
  <c r="N841" i="1" s="1"/>
  <c r="N200" i="1"/>
  <c r="N199" i="1"/>
  <c r="N270" i="1"/>
  <c r="N269" i="1" s="1"/>
  <c r="N762" i="1"/>
  <c r="N761" i="1" s="1"/>
  <c r="N760" i="1" s="1"/>
  <c r="N759" i="1" s="1"/>
  <c r="N810" i="1"/>
  <c r="N809" i="1" s="1"/>
  <c r="N802" i="1" s="1"/>
  <c r="N801" i="1" s="1"/>
  <c r="N708" i="1"/>
  <c r="N707" i="1" s="1"/>
  <c r="N706" i="1" s="1"/>
  <c r="N705" i="1" s="1"/>
  <c r="N704" i="1" s="1"/>
  <c r="H477" i="1"/>
  <c r="N858" i="1"/>
  <c r="K855" i="1"/>
  <c r="K854" i="1" s="1"/>
  <c r="K401" i="1"/>
  <c r="K270" i="1"/>
  <c r="K269" i="1" s="1"/>
  <c r="K330" i="1"/>
  <c r="K329" i="1" s="1"/>
  <c r="K323" i="1" s="1"/>
  <c r="K322" i="1" s="1"/>
  <c r="K321" i="1" s="1"/>
  <c r="K492" i="1"/>
  <c r="K491" i="1" s="1"/>
  <c r="K476" i="1" s="1"/>
  <c r="K475" i="1" s="1"/>
  <c r="K282" i="1"/>
  <c r="K281" i="1" s="1"/>
  <c r="K762" i="1"/>
  <c r="K761" i="1" s="1"/>
  <c r="K760" i="1" s="1"/>
  <c r="K759" i="1" s="1"/>
  <c r="K200" i="1"/>
  <c r="K199" i="1"/>
  <c r="K728" i="1"/>
  <c r="K810" i="1"/>
  <c r="K809" i="1" s="1"/>
  <c r="K802" i="1" s="1"/>
  <c r="K801" i="1" s="1"/>
  <c r="K258" i="1"/>
  <c r="K501" i="1"/>
  <c r="K500" i="1" s="1"/>
  <c r="K499" i="1" s="1"/>
  <c r="K858" i="1"/>
  <c r="H410" i="1"/>
  <c r="H617" i="1"/>
  <c r="H616" i="1" s="1"/>
  <c r="H615" i="1" s="1"/>
  <c r="H614" i="1" s="1"/>
  <c r="H613" i="1" s="1"/>
  <c r="H744" i="1"/>
  <c r="H743" i="1" s="1"/>
  <c r="H742" i="1" s="1"/>
  <c r="H741" i="1" s="1"/>
  <c r="H740" i="1" s="1"/>
  <c r="H728" i="1" s="1"/>
  <c r="H845" i="1"/>
  <c r="H844" i="1" s="1"/>
  <c r="H843" i="1" s="1"/>
  <c r="H842" i="1" s="1"/>
  <c r="H841" i="1" s="1"/>
  <c r="H76" i="1"/>
  <c r="H75" i="1" s="1"/>
  <c r="H87" i="1"/>
  <c r="H179" i="1"/>
  <c r="H175" i="1" s="1"/>
  <c r="H174" i="1" s="1"/>
  <c r="H173" i="1" s="1"/>
  <c r="H172" i="1" s="1"/>
  <c r="H638" i="1"/>
  <c r="H637" i="1" s="1"/>
  <c r="H120" i="1"/>
  <c r="H119" i="1" s="1"/>
  <c r="H118" i="1" s="1"/>
  <c r="H117" i="1" s="1"/>
  <c r="H766" i="1"/>
  <c r="H65" i="1"/>
  <c r="H64" i="1" s="1"/>
  <c r="H133" i="1"/>
  <c r="H132" i="1" s="1"/>
  <c r="H131" i="1" s="1"/>
  <c r="H130" i="1" s="1"/>
  <c r="H463" i="1"/>
  <c r="H575" i="1"/>
  <c r="H565" i="1" s="1"/>
  <c r="H683" i="1"/>
  <c r="H682" i="1" s="1"/>
  <c r="H377" i="1"/>
  <c r="H502" i="1"/>
  <c r="H501" i="1" s="1"/>
  <c r="H500" i="1" s="1"/>
  <c r="H499" i="1" s="1"/>
  <c r="H660" i="1"/>
  <c r="H659" i="1" s="1"/>
  <c r="H816" i="1"/>
  <c r="H871" i="1"/>
  <c r="H870" i="1" s="1"/>
  <c r="H869" i="1" s="1"/>
  <c r="H329" i="1"/>
  <c r="H323" i="1" s="1"/>
  <c r="H322" i="1" s="1"/>
  <c r="H401" i="1"/>
  <c r="H425" i="1"/>
  <c r="H492" i="1"/>
  <c r="H491" i="1" s="1"/>
  <c r="H691" i="1"/>
  <c r="H690" i="1" s="1"/>
  <c r="H811" i="1"/>
  <c r="H258" i="1"/>
  <c r="H708" i="1"/>
  <c r="H707" i="1" s="1"/>
  <c r="H706" i="1" s="1"/>
  <c r="H705" i="1" s="1"/>
  <c r="H704" i="1" s="1"/>
  <c r="H199" i="1"/>
  <c r="H200" i="1"/>
  <c r="H297" i="1"/>
  <c r="H296" i="1" s="1"/>
  <c r="H244" i="1"/>
  <c r="H270" i="1"/>
  <c r="H269" i="1" s="1"/>
  <c r="H777" i="1"/>
  <c r="H857" i="1"/>
  <c r="H856" i="1" s="1"/>
  <c r="H858" i="1"/>
  <c r="H461" i="2"/>
  <c r="H460" i="2"/>
  <c r="H459" i="2" s="1"/>
  <c r="H428" i="2" s="1"/>
  <c r="H427" i="2" s="1"/>
  <c r="H10" i="2" s="1"/>
  <c r="I598" i="2"/>
  <c r="I596" i="2"/>
  <c r="I594" i="2"/>
  <c r="I589" i="2"/>
  <c r="I579" i="2"/>
  <c r="I577" i="2"/>
  <c r="I558" i="2"/>
  <c r="I556" i="2"/>
  <c r="I555" i="2"/>
  <c r="I554" i="2" s="1"/>
  <c r="I552" i="2"/>
  <c r="I550" i="2"/>
  <c r="I547" i="2"/>
  <c r="I543" i="2"/>
  <c r="I536" i="2"/>
  <c r="I534" i="2"/>
  <c r="I529" i="2"/>
  <c r="I528" i="2" s="1"/>
  <c r="I526" i="2"/>
  <c r="I522" i="2"/>
  <c r="I520" i="2"/>
  <c r="I518" i="2"/>
  <c r="I514" i="2"/>
  <c r="I513" i="2" s="1"/>
  <c r="I511" i="2"/>
  <c r="I507" i="2"/>
  <c r="I505" i="2"/>
  <c r="I501" i="2"/>
  <c r="I499" i="2"/>
  <c r="I497" i="2"/>
  <c r="I495" i="2"/>
  <c r="I494" i="2" s="1"/>
  <c r="I490" i="2"/>
  <c r="I489" i="2" s="1"/>
  <c r="I488" i="2" s="1"/>
  <c r="I484" i="2"/>
  <c r="I483" i="2" s="1"/>
  <c r="I482" i="2" s="1"/>
  <c r="I474" i="2"/>
  <c r="I473" i="2" s="1"/>
  <c r="I469" i="2" s="1"/>
  <c r="I467" i="2"/>
  <c r="I466" i="2" s="1"/>
  <c r="I465" i="2" s="1"/>
  <c r="I455" i="2"/>
  <c r="I454" i="2" s="1"/>
  <c r="I453" i="2" s="1"/>
  <c r="I451" i="2"/>
  <c r="I450" i="2" s="1"/>
  <c r="I446" i="2"/>
  <c r="I444" i="2"/>
  <c r="I441" i="2"/>
  <c r="I440" i="2" s="1"/>
  <c r="I433" i="2"/>
  <c r="I432" i="2" s="1"/>
  <c r="I430" i="2"/>
  <c r="I429" i="2" s="1"/>
  <c r="I424" i="2"/>
  <c r="I423" i="2" s="1"/>
  <c r="I422" i="2" s="1"/>
  <c r="I420" i="2"/>
  <c r="I418" i="2"/>
  <c r="I416" i="2"/>
  <c r="I410" i="2"/>
  <c r="I407" i="2"/>
  <c r="I405" i="2"/>
  <c r="I400" i="2"/>
  <c r="I399" i="2" s="1"/>
  <c r="I396" i="2"/>
  <c r="I395" i="2" s="1"/>
  <c r="I393" i="2"/>
  <c r="I392" i="2" s="1"/>
  <c r="I391" i="2" s="1"/>
  <c r="I389" i="2"/>
  <c r="I388" i="2" s="1"/>
  <c r="I386" i="2"/>
  <c r="I381" i="2"/>
  <c r="I379" i="2"/>
  <c r="I377" i="2"/>
  <c r="I371" i="2"/>
  <c r="I369" i="2"/>
  <c r="I367" i="2"/>
  <c r="I365" i="2"/>
  <c r="I352" i="2"/>
  <c r="I351" i="2" s="1"/>
  <c r="I350" i="2" s="1"/>
  <c r="I348" i="2"/>
  <c r="I346" i="2"/>
  <c r="I344" i="2"/>
  <c r="I342" i="2"/>
  <c r="I340" i="2"/>
  <c r="I337" i="2"/>
  <c r="I336" i="2" s="1"/>
  <c r="I333" i="2"/>
  <c r="I332" i="2" s="1"/>
  <c r="I330" i="2"/>
  <c r="I329" i="2" s="1"/>
  <c r="I325" i="2"/>
  <c r="I323" i="2"/>
  <c r="I320" i="2"/>
  <c r="I318" i="2" s="1"/>
  <c r="I317" i="2" s="1"/>
  <c r="I313" i="2"/>
  <c r="I311" i="2"/>
  <c r="I306" i="2"/>
  <c r="I303" i="2"/>
  <c r="I302" i="2" s="1"/>
  <c r="I299" i="2"/>
  <c r="I298" i="2" s="1"/>
  <c r="I296" i="2"/>
  <c r="I291" i="2"/>
  <c r="I290" i="2" s="1"/>
  <c r="I288" i="2"/>
  <c r="I279" i="2"/>
  <c r="I278" i="2" s="1"/>
  <c r="I277" i="2" s="1"/>
  <c r="I274" i="2"/>
  <c r="I273" i="2" s="1"/>
  <c r="I272" i="2" s="1"/>
  <c r="I271" i="2" s="1"/>
  <c r="I251" i="2"/>
  <c r="I249" i="2"/>
  <c r="I248" i="2" s="1"/>
  <c r="I246" i="2"/>
  <c r="I245" i="2" s="1"/>
  <c r="I243" i="2"/>
  <c r="I242" i="2" s="1"/>
  <c r="I240" i="2"/>
  <c r="I238" i="2"/>
  <c r="I235" i="2"/>
  <c r="I234" i="2" s="1"/>
  <c r="I233" i="2"/>
  <c r="I232" i="2" s="1"/>
  <c r="I231" i="2" s="1"/>
  <c r="I226" i="2"/>
  <c r="I225" i="2"/>
  <c r="I224" i="2" s="1"/>
  <c r="I222" i="2"/>
  <c r="I221" i="2" s="1"/>
  <c r="I220" i="2" s="1"/>
  <c r="I216" i="2"/>
  <c r="I215" i="2" s="1"/>
  <c r="I213" i="2"/>
  <c r="I210" i="2"/>
  <c r="I209" i="2" s="1"/>
  <c r="I207" i="2"/>
  <c r="I205" i="2"/>
  <c r="I202" i="2"/>
  <c r="I200" i="2"/>
  <c r="I196" i="2"/>
  <c r="I189" i="2"/>
  <c r="I188" i="2" s="1"/>
  <c r="I187" i="2" s="1"/>
  <c r="I184" i="2"/>
  <c r="I182" i="2"/>
  <c r="I180" i="2"/>
  <c r="I177" i="2"/>
  <c r="I176" i="2" s="1"/>
  <c r="I174" i="2"/>
  <c r="I170" i="2"/>
  <c r="I169" i="2" s="1"/>
  <c r="I165" i="2"/>
  <c r="I164" i="2" s="1"/>
  <c r="I163" i="2" s="1"/>
  <c r="I153" i="2"/>
  <c r="I148" i="2"/>
  <c r="I147" i="2" s="1"/>
  <c r="I142" i="2"/>
  <c r="I138" i="2" s="1"/>
  <c r="I141" i="2"/>
  <c r="I136" i="2"/>
  <c r="I134" i="2"/>
  <c r="I128" i="2"/>
  <c r="I126" i="2"/>
  <c r="I124" i="2"/>
  <c r="I120" i="2"/>
  <c r="I118" i="2"/>
  <c r="I116" i="2"/>
  <c r="I112" i="2"/>
  <c r="I110" i="2"/>
  <c r="I108" i="2"/>
  <c r="I104" i="2"/>
  <c r="I102" i="2"/>
  <c r="I100" i="2"/>
  <c r="I97" i="2"/>
  <c r="I95" i="2"/>
  <c r="I93" i="2"/>
  <c r="I91" i="2"/>
  <c r="I89" i="2"/>
  <c r="I87" i="2"/>
  <c r="I85" i="2"/>
  <c r="I81" i="2"/>
  <c r="I80" i="2" s="1"/>
  <c r="I78" i="2"/>
  <c r="I76" i="2"/>
  <c r="I68" i="2"/>
  <c r="I66" i="2"/>
  <c r="I64" i="2"/>
  <c r="I61" i="2"/>
  <c r="I59" i="2"/>
  <c r="I54" i="2"/>
  <c r="I52" i="2"/>
  <c r="I49" i="2"/>
  <c r="I47" i="2" s="1"/>
  <c r="I44" i="2"/>
  <c r="I42" i="2"/>
  <c r="I40" i="2"/>
  <c r="I37" i="2"/>
  <c r="I35" i="2"/>
  <c r="I32" i="2"/>
  <c r="I29" i="2"/>
  <c r="I25" i="2"/>
  <c r="I24" i="2"/>
  <c r="I23" i="2"/>
  <c r="I20" i="2"/>
  <c r="I16" i="2"/>
  <c r="I14" i="2"/>
  <c r="E455" i="2"/>
  <c r="E454" i="2" s="1"/>
  <c r="E453" i="2" s="1"/>
  <c r="E428" i="2" s="1"/>
  <c r="E427" i="2" s="1"/>
  <c r="I310" i="2" l="1"/>
  <c r="I309" i="2" s="1"/>
  <c r="I539" i="2"/>
  <c r="K148" i="1"/>
  <c r="K147" i="1" s="1"/>
  <c r="K146" i="1" s="1"/>
  <c r="H636" i="1"/>
  <c r="H629" i="1" s="1"/>
  <c r="H628" i="1" s="1"/>
  <c r="N636" i="1"/>
  <c r="N629" i="1" s="1"/>
  <c r="N628" i="1" s="1"/>
  <c r="H600" i="2"/>
  <c r="J885" i="1" s="1"/>
  <c r="N565" i="1"/>
  <c r="N564" i="1" s="1"/>
  <c r="N563" i="1" s="1"/>
  <c r="N562" i="1" s="1"/>
  <c r="K677" i="1"/>
  <c r="K676" i="1" s="1"/>
  <c r="K675" i="1" s="1"/>
  <c r="K674" i="1" s="1"/>
  <c r="N368" i="1"/>
  <c r="N367" i="1" s="1"/>
  <c r="I316" i="2"/>
  <c r="I315" i="2" s="1"/>
  <c r="K116" i="1"/>
  <c r="I13" i="2"/>
  <c r="I12" i="2" s="1"/>
  <c r="I22" i="2"/>
  <c r="I123" i="2"/>
  <c r="I122" i="2" s="1"/>
  <c r="I533" i="2"/>
  <c r="I356" i="2"/>
  <c r="I133" i="2"/>
  <c r="I132" i="2" s="1"/>
  <c r="I107" i="2"/>
  <c r="I106" i="2" s="1"/>
  <c r="I295" i="2"/>
  <c r="I517" i="2"/>
  <c r="I516" i="2" s="1"/>
  <c r="E10" i="2"/>
  <c r="E600" i="2" s="1"/>
  <c r="D45" i="21" s="1"/>
  <c r="D46" i="21" s="1"/>
  <c r="I146" i="2"/>
  <c r="I145" i="2" s="1"/>
  <c r="I481" i="2"/>
  <c r="I328" i="2"/>
  <c r="K376" i="1"/>
  <c r="K369" i="1" s="1"/>
  <c r="K368" i="1" s="1"/>
  <c r="K367" i="1" s="1"/>
  <c r="K295" i="1" s="1"/>
  <c r="N467" i="1"/>
  <c r="K636" i="1"/>
  <c r="K629" i="1" s="1"/>
  <c r="K628" i="1" s="1"/>
  <c r="H321" i="1"/>
  <c r="K565" i="1"/>
  <c r="K564" i="1" s="1"/>
  <c r="K563" i="1" s="1"/>
  <c r="K562" i="1" s="1"/>
  <c r="K535" i="1" s="1"/>
  <c r="K526" i="1" s="1"/>
  <c r="K12" i="1"/>
  <c r="N295" i="1"/>
  <c r="N61" i="1"/>
  <c r="N12" i="1" s="1"/>
  <c r="N116" i="1"/>
  <c r="I168" i="2"/>
  <c r="I99" i="2"/>
  <c r="I439" i="2"/>
  <c r="I504" i="2"/>
  <c r="I493" i="2" s="1"/>
  <c r="I301" i="2"/>
  <c r="I404" i="2"/>
  <c r="I403" i="2" s="1"/>
  <c r="I75" i="2"/>
  <c r="I179" i="2"/>
  <c r="I339" i="2"/>
  <c r="I335" i="2" s="1"/>
  <c r="I84" i="2"/>
  <c r="I223" i="2"/>
  <c r="I376" i="2"/>
  <c r="I195" i="2"/>
  <c r="H677" i="1"/>
  <c r="H676" i="1" s="1"/>
  <c r="H675" i="1" s="1"/>
  <c r="H674" i="1" s="1"/>
  <c r="I51" i="2"/>
  <c r="I50" i="2" s="1"/>
  <c r="I525" i="2"/>
  <c r="I524" i="2" s="1"/>
  <c r="H855" i="1"/>
  <c r="H854" i="1" s="1"/>
  <c r="H564" i="1"/>
  <c r="H563" i="1" s="1"/>
  <c r="H562" i="1" s="1"/>
  <c r="I19" i="2"/>
  <c r="I18" i="2" s="1"/>
  <c r="I58" i="2"/>
  <c r="I57" i="2" s="1"/>
  <c r="I237" i="2"/>
  <c r="H762" i="1"/>
  <c r="H761" i="1" s="1"/>
  <c r="H760" i="1" s="1"/>
  <c r="H759" i="1" s="1"/>
  <c r="H538" i="1"/>
  <c r="H537" i="1" s="1"/>
  <c r="H536" i="1" s="1"/>
  <c r="N257" i="1"/>
  <c r="N256" i="1" s="1"/>
  <c r="N171" i="1" s="1"/>
  <c r="G171" i="1"/>
  <c r="G11" i="1" s="1"/>
  <c r="H116" i="1"/>
  <c r="N535" i="1"/>
  <c r="N526" i="1" s="1"/>
  <c r="H810" i="1"/>
  <c r="H809" i="1" s="1"/>
  <c r="H802" i="1" s="1"/>
  <c r="H801" i="1" s="1"/>
  <c r="H63" i="1"/>
  <c r="H62" i="1" s="1"/>
  <c r="H61" i="1" s="1"/>
  <c r="H12" i="1" s="1"/>
  <c r="H476" i="1"/>
  <c r="H475" i="1" s="1"/>
  <c r="H467" i="1" s="1"/>
  <c r="G535" i="1"/>
  <c r="K257" i="1"/>
  <c r="K256" i="1" s="1"/>
  <c r="K171" i="1" s="1"/>
  <c r="N758" i="1"/>
  <c r="N721" i="1" s="1"/>
  <c r="K467" i="1"/>
  <c r="K758" i="1"/>
  <c r="K721" i="1" s="1"/>
  <c r="H376" i="1"/>
  <c r="H369" i="1" s="1"/>
  <c r="H368" i="1" s="1"/>
  <c r="H367" i="1" s="1"/>
  <c r="H208" i="1"/>
  <c r="H207" i="1" s="1"/>
  <c r="H206" i="1" s="1"/>
  <c r="H257" i="1"/>
  <c r="H256" i="1" s="1"/>
  <c r="I287" i="2"/>
  <c r="I286" i="2" s="1"/>
  <c r="I28" i="2"/>
  <c r="I27" i="2" s="1"/>
  <c r="I194" i="2"/>
  <c r="I308" i="2"/>
  <c r="I394" i="2"/>
  <c r="F598" i="2"/>
  <c r="F596" i="2"/>
  <c r="F594" i="2"/>
  <c r="F589" i="2"/>
  <c r="F587" i="2"/>
  <c r="F586" i="2"/>
  <c r="F585" i="2" s="1"/>
  <c r="F579" i="2"/>
  <c r="F577" i="2"/>
  <c r="F573" i="2"/>
  <c r="F571" i="2"/>
  <c r="F569" i="2"/>
  <c r="F567" i="2"/>
  <c r="F565" i="2"/>
  <c r="F558" i="2"/>
  <c r="F556" i="2"/>
  <c r="F555" i="2"/>
  <c r="F554" i="2" s="1"/>
  <c r="F552" i="2"/>
  <c r="F550" i="2"/>
  <c r="F547" i="2"/>
  <c r="F543" i="2"/>
  <c r="F536" i="2"/>
  <c r="F534" i="2"/>
  <c r="F529" i="2"/>
  <c r="F528" i="2" s="1"/>
  <c r="F526" i="2"/>
  <c r="F522" i="2"/>
  <c r="F520" i="2"/>
  <c r="F518" i="2"/>
  <c r="F514" i="2"/>
  <c r="F513" i="2" s="1"/>
  <c r="F511" i="2"/>
  <c r="F505" i="2"/>
  <c r="F501" i="2"/>
  <c r="F499" i="2"/>
  <c r="F497" i="2"/>
  <c r="F495" i="2"/>
  <c r="F490" i="2"/>
  <c r="F489" i="2" s="1"/>
  <c r="F488" i="2" s="1"/>
  <c r="F484" i="2"/>
  <c r="F483" i="2" s="1"/>
  <c r="F482" i="2" s="1"/>
  <c r="F478" i="2"/>
  <c r="F477" i="2" s="1"/>
  <c r="F476" i="2" s="1"/>
  <c r="F474" i="2"/>
  <c r="F473" i="2" s="1"/>
  <c r="F471" i="2"/>
  <c r="F470" i="2"/>
  <c r="F467" i="2"/>
  <c r="F466" i="2" s="1"/>
  <c r="F465" i="2" s="1"/>
  <c r="F461" i="2"/>
  <c r="F460" i="2" s="1"/>
  <c r="F459" i="2" s="1"/>
  <c r="F455" i="2"/>
  <c r="F454" i="2" s="1"/>
  <c r="F453" i="2" s="1"/>
  <c r="F451" i="2"/>
  <c r="F450" i="2"/>
  <c r="F448" i="2"/>
  <c r="F446" i="2"/>
  <c r="F444" i="2"/>
  <c r="F441" i="2"/>
  <c r="F440" i="2" s="1"/>
  <c r="F437" i="2"/>
  <c r="F435" i="2"/>
  <c r="F433" i="2"/>
  <c r="F431" i="2"/>
  <c r="F430" i="2" s="1"/>
  <c r="F429" i="2" s="1"/>
  <c r="F424" i="2"/>
  <c r="F423" i="2" s="1"/>
  <c r="F422" i="2" s="1"/>
  <c r="F420" i="2"/>
  <c r="F418" i="2"/>
  <c r="F416" i="2"/>
  <c r="F412" i="2"/>
  <c r="F410" i="2"/>
  <c r="F405" i="2"/>
  <c r="F400" i="2"/>
  <c r="F399" i="2" s="1"/>
  <c r="F396" i="2"/>
  <c r="F395" i="2" s="1"/>
  <c r="F393" i="2"/>
  <c r="F392" i="2" s="1"/>
  <c r="F391" i="2" s="1"/>
  <c r="F389" i="2"/>
  <c r="F388" i="2" s="1"/>
  <c r="F386" i="2"/>
  <c r="F384" i="2"/>
  <c r="F383" i="2" s="1"/>
  <c r="F381" i="2"/>
  <c r="F379" i="2"/>
  <c r="F378" i="2"/>
  <c r="F377" i="2" s="1"/>
  <c r="F374" i="2"/>
  <c r="F373" i="2"/>
  <c r="F371" i="2" s="1"/>
  <c r="F369" i="2"/>
  <c r="F367" i="2"/>
  <c r="F365" i="2"/>
  <c r="F362" i="2"/>
  <c r="F361" i="2" s="1"/>
  <c r="F358" i="2"/>
  <c r="F357" i="2" s="1"/>
  <c r="F352" i="2"/>
  <c r="F351" i="2" s="1"/>
  <c r="F350" i="2" s="1"/>
  <c r="F348" i="2"/>
  <c r="F346" i="2"/>
  <c r="F344" i="2"/>
  <c r="F342" i="2"/>
  <c r="F340" i="2"/>
  <c r="F337" i="2"/>
  <c r="F336" i="2" s="1"/>
  <c r="F333" i="2"/>
  <c r="F332" i="2" s="1"/>
  <c r="F330" i="2"/>
  <c r="F329" i="2" s="1"/>
  <c r="F325" i="2"/>
  <c r="F323" i="2"/>
  <c r="F320" i="2"/>
  <c r="F318" i="2" s="1"/>
  <c r="F317" i="2" s="1"/>
  <c r="F313" i="2"/>
  <c r="F311" i="2"/>
  <c r="F306" i="2"/>
  <c r="F303" i="2"/>
  <c r="F302" i="2" s="1"/>
  <c r="F299" i="2"/>
  <c r="F298" i="2" s="1"/>
  <c r="F296" i="2"/>
  <c r="F291" i="2"/>
  <c r="F290" i="2" s="1"/>
  <c r="F288" i="2"/>
  <c r="F279" i="2"/>
  <c r="F278" i="2" s="1"/>
  <c r="F277" i="2" s="1"/>
  <c r="F274" i="2"/>
  <c r="F273" i="2" s="1"/>
  <c r="F272" i="2" s="1"/>
  <c r="F268" i="2"/>
  <c r="F267" i="2" s="1"/>
  <c r="F264" i="2"/>
  <c r="F263" i="2" s="1"/>
  <c r="F260" i="2"/>
  <c r="F259" i="2" s="1"/>
  <c r="F257" i="2"/>
  <c r="F256" i="2" s="1"/>
  <c r="F254" i="2"/>
  <c r="F252" i="2"/>
  <c r="F249" i="2"/>
  <c r="F248" i="2" s="1"/>
  <c r="F246" i="2"/>
  <c r="F245" i="2" s="1"/>
  <c r="F243" i="2"/>
  <c r="F240" i="2"/>
  <c r="F238" i="2"/>
  <c r="F235" i="2"/>
  <c r="F234" i="2" s="1"/>
  <c r="F233" i="2"/>
  <c r="F232" i="2" s="1"/>
  <c r="F231" i="2" s="1"/>
  <c r="F229" i="2"/>
  <c r="F228" i="2" s="1"/>
  <c r="F226" i="2"/>
  <c r="F225" i="2"/>
  <c r="F224" i="2"/>
  <c r="F221" i="2"/>
  <c r="F220" i="2" s="1"/>
  <c r="F216" i="2"/>
  <c r="F215" i="2" s="1"/>
  <c r="F213" i="2"/>
  <c r="F210" i="2"/>
  <c r="F209" i="2" s="1"/>
  <c r="F207" i="2"/>
  <c r="F205" i="2"/>
  <c r="F202" i="2"/>
  <c r="F200" i="2"/>
  <c r="F189" i="2"/>
  <c r="F188" i="2" s="1"/>
  <c r="F187" i="2" s="1"/>
  <c r="F184" i="2"/>
  <c r="F182" i="2"/>
  <c r="F180" i="2"/>
  <c r="F177" i="2"/>
  <c r="F176" i="2" s="1"/>
  <c r="F174" i="2"/>
  <c r="F170" i="2"/>
  <c r="F169" i="2" s="1"/>
  <c r="F168" i="2" s="1"/>
  <c r="F165" i="2"/>
  <c r="F164" i="2" s="1"/>
  <c r="F163" i="2" s="1"/>
  <c r="F161" i="2"/>
  <c r="F159" i="2"/>
  <c r="F156" i="2"/>
  <c r="F155" i="2" s="1"/>
  <c r="F153" i="2"/>
  <c r="F151" i="2"/>
  <c r="F142" i="2"/>
  <c r="F138" i="2" s="1"/>
  <c r="F141" i="2"/>
  <c r="F136" i="2"/>
  <c r="F134" i="2"/>
  <c r="F128" i="2"/>
  <c r="F126" i="2"/>
  <c r="F124" i="2"/>
  <c r="F120" i="2"/>
  <c r="F118" i="2"/>
  <c r="F116" i="2"/>
  <c r="F112" i="2"/>
  <c r="F110" i="2"/>
  <c r="F109" i="2"/>
  <c r="F108" i="2" s="1"/>
  <c r="F104" i="2"/>
  <c r="F102" i="2"/>
  <c r="F100" i="2"/>
  <c r="F97" i="2"/>
  <c r="F95" i="2"/>
  <c r="F93" i="2"/>
  <c r="F91" i="2"/>
  <c r="F89" i="2"/>
  <c r="F87" i="2"/>
  <c r="F85" i="2"/>
  <c r="F81" i="2"/>
  <c r="F80" i="2" s="1"/>
  <c r="F78" i="2"/>
  <c r="F76" i="2"/>
  <c r="F71" i="2"/>
  <c r="F70" i="2" s="1"/>
  <c r="F68" i="2"/>
  <c r="F66" i="2"/>
  <c r="F64" i="2"/>
  <c r="F61" i="2"/>
  <c r="F59" i="2"/>
  <c r="F54" i="2"/>
  <c r="F52" i="2"/>
  <c r="F51" i="2" s="1"/>
  <c r="F50" i="2" s="1"/>
  <c r="F49" i="2"/>
  <c r="F47" i="2" s="1"/>
  <c r="F44" i="2"/>
  <c r="F42" i="2"/>
  <c r="F40" i="2"/>
  <c r="F37" i="2"/>
  <c r="F35" i="2"/>
  <c r="F32" i="2"/>
  <c r="F29" i="2"/>
  <c r="F25" i="2"/>
  <c r="F24" i="2"/>
  <c r="F23" i="2"/>
  <c r="F22" i="2" s="1"/>
  <c r="F20" i="2"/>
  <c r="F16" i="2"/>
  <c r="F14" i="2"/>
  <c r="G464" i="2"/>
  <c r="F195" i="2" l="1"/>
  <c r="G461" i="2"/>
  <c r="I464" i="2"/>
  <c r="I461" i="2" s="1"/>
  <c r="I460" i="2" s="1"/>
  <c r="I459" i="2" s="1"/>
  <c r="I428" i="2" s="1"/>
  <c r="I427" i="2" s="1"/>
  <c r="F539" i="2"/>
  <c r="F13" i="2"/>
  <c r="F12" i="2" s="1"/>
  <c r="F310" i="2"/>
  <c r="F309" i="2" s="1"/>
  <c r="F287" i="2"/>
  <c r="F286" i="2" s="1"/>
  <c r="I532" i="2"/>
  <c r="F404" i="2"/>
  <c r="F403" i="2" s="1"/>
  <c r="I355" i="2"/>
  <c r="I354" i="2" s="1"/>
  <c r="I294" i="2"/>
  <c r="I219" i="2"/>
  <c r="I218" i="2" s="1"/>
  <c r="I11" i="2"/>
  <c r="F439" i="2"/>
  <c r="F295" i="2"/>
  <c r="F316" i="2"/>
  <c r="F315" i="2" s="1"/>
  <c r="I327" i="2"/>
  <c r="H295" i="1"/>
  <c r="H758" i="1"/>
  <c r="H721" i="1" s="1"/>
  <c r="F533" i="2"/>
  <c r="F432" i="2"/>
  <c r="I74" i="2"/>
  <c r="I56" i="2" s="1"/>
  <c r="F517" i="2"/>
  <c r="F516" i="2" s="1"/>
  <c r="N11" i="1"/>
  <c r="N883" i="1" s="1"/>
  <c r="F19" i="2"/>
  <c r="F18" i="2" s="1"/>
  <c r="F28" i="2"/>
  <c r="F27" i="2" s="1"/>
  <c r="F251" i="2"/>
  <c r="H535" i="1"/>
  <c r="H526" i="1" s="1"/>
  <c r="F58" i="2"/>
  <c r="F57" i="2" s="1"/>
  <c r="I167" i="2"/>
  <c r="F494" i="2"/>
  <c r="G526" i="1"/>
  <c r="G883" i="1" s="1"/>
  <c r="G885" i="1" s="1"/>
  <c r="K11" i="1"/>
  <c r="K883" i="1" s="1"/>
  <c r="H171" i="1"/>
  <c r="H11" i="1" s="1"/>
  <c r="F123" i="2"/>
  <c r="F122" i="2" s="1"/>
  <c r="F525" i="2"/>
  <c r="F524" i="2" s="1"/>
  <c r="F84" i="2"/>
  <c r="F133" i="2"/>
  <c r="F132" i="2" s="1"/>
  <c r="F223" i="2"/>
  <c r="F301" i="2"/>
  <c r="F356" i="2"/>
  <c r="F99" i="2"/>
  <c r="F394" i="2"/>
  <c r="F504" i="2"/>
  <c r="F107" i="2"/>
  <c r="F106" i="2" s="1"/>
  <c r="F237" i="2"/>
  <c r="F328" i="2"/>
  <c r="F376" i="2"/>
  <c r="F179" i="2"/>
  <c r="F167" i="2" s="1"/>
  <c r="F146" i="2"/>
  <c r="F145" i="2" s="1"/>
  <c r="F242" i="2"/>
  <c r="F271" i="2"/>
  <c r="F339" i="2"/>
  <c r="F335" i="2" s="1"/>
  <c r="F469" i="2"/>
  <c r="F75" i="2"/>
  <c r="F481" i="2"/>
  <c r="F194" i="2"/>
  <c r="G93" i="20"/>
  <c r="G91" i="20" s="1"/>
  <c r="I238" i="1"/>
  <c r="F493" i="2" l="1"/>
  <c r="F308" i="2"/>
  <c r="F11" i="2"/>
  <c r="F428" i="2"/>
  <c r="F427" i="2" s="1"/>
  <c r="F294" i="2"/>
  <c r="F532" i="2"/>
  <c r="I10" i="2"/>
  <c r="I600" i="2" s="1"/>
  <c r="D26" i="9" s="1"/>
  <c r="D28" i="9" s="1"/>
  <c r="H883" i="1"/>
  <c r="F219" i="2"/>
  <c r="F218" i="2" s="1"/>
  <c r="F355" i="2"/>
  <c r="F354" i="2" s="1"/>
  <c r="F74" i="2"/>
  <c r="F56" i="2" s="1"/>
  <c r="F327" i="2"/>
  <c r="K885" i="1" l="1"/>
  <c r="F10" i="2"/>
  <c r="F600" i="2" s="1"/>
  <c r="C26" i="9" s="1"/>
  <c r="C27" i="9" s="1"/>
  <c r="I318" i="1"/>
  <c r="I317" i="1" s="1"/>
  <c r="L318" i="1"/>
  <c r="L317" i="1" s="1"/>
  <c r="F319" i="1"/>
  <c r="F318" i="1" s="1"/>
  <c r="F317" i="1" s="1"/>
  <c r="D571" i="2"/>
  <c r="F264" i="1"/>
  <c r="F259" i="1" s="1"/>
  <c r="J213" i="2"/>
  <c r="G213" i="2"/>
  <c r="D213" i="2"/>
  <c r="D69" i="2"/>
  <c r="F873" i="1"/>
  <c r="H885" i="1" l="1"/>
  <c r="C19" i="9"/>
  <c r="C20" i="9" s="1"/>
  <c r="F75" i="20"/>
  <c r="C75" i="20" s="1"/>
  <c r="C76" i="20"/>
  <c r="F35" i="20"/>
  <c r="J393" i="2" l="1"/>
  <c r="G393" i="2"/>
  <c r="D393" i="2"/>
  <c r="C37" i="20" l="1"/>
  <c r="F365" i="1"/>
  <c r="F218" i="1"/>
  <c r="D569" i="2" l="1"/>
  <c r="D437" i="2"/>
  <c r="D109" i="2" l="1"/>
  <c r="D560" i="2"/>
  <c r="G424" i="2" l="1"/>
  <c r="G423" i="2" s="1"/>
  <c r="G422" i="2" s="1"/>
  <c r="G400" i="2"/>
  <c r="G399" i="2" s="1"/>
  <c r="F601" i="1"/>
  <c r="D151" i="2"/>
  <c r="F228" i="1"/>
  <c r="F560" i="1"/>
  <c r="F607" i="1"/>
  <c r="F605" i="1"/>
  <c r="F97" i="1"/>
  <c r="F216" i="1"/>
  <c r="D159" i="2"/>
  <c r="D161" i="2"/>
  <c r="D233" i="2" l="1"/>
  <c r="D446" i="2"/>
  <c r="D448" i="2"/>
  <c r="D573" i="2"/>
  <c r="D23" i="2" l="1"/>
  <c r="D435" i="2"/>
  <c r="C59" i="20" l="1"/>
  <c r="G105" i="20" l="1"/>
  <c r="G104" i="20" s="1"/>
  <c r="C105" i="20"/>
  <c r="C104" i="20" s="1"/>
  <c r="M104" i="20"/>
  <c r="L104" i="20"/>
  <c r="K104" i="20"/>
  <c r="J104" i="20"/>
  <c r="I104" i="20"/>
  <c r="H104" i="20"/>
  <c r="F104" i="20"/>
  <c r="E104" i="20"/>
  <c r="D104" i="20"/>
  <c r="G103" i="20"/>
  <c r="G102" i="20" s="1"/>
  <c r="C103" i="20"/>
  <c r="C102" i="20" s="1"/>
  <c r="M102" i="20"/>
  <c r="L102" i="20"/>
  <c r="K102" i="20"/>
  <c r="J102" i="20"/>
  <c r="J99" i="20" s="1"/>
  <c r="G99" i="20" s="1"/>
  <c r="I102" i="20"/>
  <c r="H102" i="20"/>
  <c r="F102" i="20"/>
  <c r="E102" i="20"/>
  <c r="D102" i="20"/>
  <c r="G101" i="20"/>
  <c r="F100" i="20"/>
  <c r="C100" i="20"/>
  <c r="M99" i="20"/>
  <c r="K99" i="20"/>
  <c r="K98" i="20"/>
  <c r="G98" i="20"/>
  <c r="C98" i="20"/>
  <c r="K97" i="20"/>
  <c r="G97" i="20"/>
  <c r="C97" i="20"/>
  <c r="K96" i="20"/>
  <c r="G96" i="20"/>
  <c r="F95" i="20"/>
  <c r="E96" i="20"/>
  <c r="E95" i="20" s="1"/>
  <c r="D96" i="20"/>
  <c r="D95" i="20" s="1"/>
  <c r="M95" i="20"/>
  <c r="K95" i="20" s="1"/>
  <c r="J95" i="20"/>
  <c r="I95" i="20"/>
  <c r="H95" i="20"/>
  <c r="K92" i="20"/>
  <c r="G92" i="20"/>
  <c r="C92" i="20"/>
  <c r="K91" i="20"/>
  <c r="C91" i="20"/>
  <c r="M90" i="20"/>
  <c r="K90" i="20" s="1"/>
  <c r="J90" i="20"/>
  <c r="I90" i="20"/>
  <c r="H90" i="20"/>
  <c r="F90" i="20"/>
  <c r="E90" i="20"/>
  <c r="D90" i="20"/>
  <c r="K89" i="20"/>
  <c r="G89" i="20"/>
  <c r="C89" i="20"/>
  <c r="M88" i="20"/>
  <c r="K88" i="20" s="1"/>
  <c r="J88" i="20"/>
  <c r="G88" i="20" s="1"/>
  <c r="F88" i="20"/>
  <c r="C88" i="20" s="1"/>
  <c r="C87" i="20"/>
  <c r="C86" i="20"/>
  <c r="C85" i="20"/>
  <c r="C84" i="20"/>
  <c r="C83" i="20"/>
  <c r="C82" i="20"/>
  <c r="C81" i="20"/>
  <c r="C80" i="20"/>
  <c r="C79" i="20"/>
  <c r="C78" i="20"/>
  <c r="C77" i="20"/>
  <c r="C70" i="20"/>
  <c r="C69" i="20"/>
  <c r="C68" i="20"/>
  <c r="C67" i="20"/>
  <c r="C66" i="20"/>
  <c r="C65" i="20"/>
  <c r="C64" i="20"/>
  <c r="C63" i="20"/>
  <c r="C62" i="20"/>
  <c r="C61" i="20"/>
  <c r="C60" i="20"/>
  <c r="C57" i="20"/>
  <c r="C56" i="20"/>
  <c r="C55" i="20"/>
  <c r="C54" i="20"/>
  <c r="C53" i="20"/>
  <c r="C52" i="20"/>
  <c r="C51" i="20"/>
  <c r="C50" i="20"/>
  <c r="C49" i="20"/>
  <c r="C48" i="20"/>
  <c r="C47" i="20"/>
  <c r="C46" i="20"/>
  <c r="C45" i="20"/>
  <c r="C44" i="20"/>
  <c r="C43" i="20"/>
  <c r="C42" i="20"/>
  <c r="C41" i="20"/>
  <c r="K40" i="20"/>
  <c r="G40" i="20"/>
  <c r="M39" i="20"/>
  <c r="M38" i="20" s="1"/>
  <c r="L39" i="20"/>
  <c r="L38" i="20" s="1"/>
  <c r="J39" i="20"/>
  <c r="J38" i="20" s="1"/>
  <c r="I39" i="20"/>
  <c r="I38" i="20" s="1"/>
  <c r="F39" i="20"/>
  <c r="F38" i="20" s="1"/>
  <c r="E39" i="20"/>
  <c r="G36" i="20"/>
  <c r="G35" i="20" s="1"/>
  <c r="C36" i="20"/>
  <c r="C35" i="20" s="1"/>
  <c r="M35" i="20"/>
  <c r="L35" i="20"/>
  <c r="K35" i="20"/>
  <c r="J35" i="20"/>
  <c r="I35" i="20"/>
  <c r="H35" i="20"/>
  <c r="E35" i="20"/>
  <c r="D35" i="20"/>
  <c r="K34" i="20"/>
  <c r="K33" i="20" s="1"/>
  <c r="G34" i="20"/>
  <c r="G33" i="20" s="1"/>
  <c r="F34" i="20"/>
  <c r="C34" i="20" s="1"/>
  <c r="C33" i="20" s="1"/>
  <c r="M33" i="20"/>
  <c r="L33" i="20"/>
  <c r="J33" i="20"/>
  <c r="I33" i="20"/>
  <c r="H33" i="20"/>
  <c r="F33" i="20"/>
  <c r="E33" i="20"/>
  <c r="D33" i="20"/>
  <c r="L23" i="20"/>
  <c r="K22" i="20"/>
  <c r="G22" i="20"/>
  <c r="C22" i="20"/>
  <c r="K21" i="20"/>
  <c r="G21" i="20"/>
  <c r="C21" i="20"/>
  <c r="M20" i="20"/>
  <c r="K20" i="20" s="1"/>
  <c r="G20" i="20"/>
  <c r="C20" i="20"/>
  <c r="L19" i="20"/>
  <c r="K19" i="20" s="1"/>
  <c r="G19" i="20"/>
  <c r="C19" i="20"/>
  <c r="I17" i="20"/>
  <c r="H17" i="20"/>
  <c r="E17" i="20"/>
  <c r="D17" i="20"/>
  <c r="C90" i="20" l="1"/>
  <c r="C39" i="20"/>
  <c r="C38" i="20" s="1"/>
  <c r="E99" i="20"/>
  <c r="L32" i="20"/>
  <c r="L31" i="20" s="1"/>
  <c r="E38" i="20"/>
  <c r="E32" i="20" s="1"/>
  <c r="E31" i="20" s="1"/>
  <c r="H32" i="20"/>
  <c r="H31" i="20" s="1"/>
  <c r="L17" i="20"/>
  <c r="G39" i="20"/>
  <c r="G38" i="20" s="1"/>
  <c r="G90" i="20"/>
  <c r="G95" i="20"/>
  <c r="F99" i="20"/>
  <c r="I32" i="20"/>
  <c r="I31" i="20" s="1"/>
  <c r="J32" i="20"/>
  <c r="J31" i="20" s="1"/>
  <c r="J23" i="20" s="1"/>
  <c r="J17" i="20" s="1"/>
  <c r="C95" i="20"/>
  <c r="M32" i="20"/>
  <c r="M31" i="20" s="1"/>
  <c r="M23" i="20" s="1"/>
  <c r="M17" i="20" s="1"/>
  <c r="D32" i="20"/>
  <c r="D31" i="20" s="1"/>
  <c r="C99" i="20"/>
  <c r="F32" i="20"/>
  <c r="C96" i="20"/>
  <c r="K39" i="20"/>
  <c r="K38" i="20" s="1"/>
  <c r="K32" i="20" s="1"/>
  <c r="K31" i="20" s="1"/>
  <c r="C32" i="20" l="1"/>
  <c r="C31" i="20" s="1"/>
  <c r="G32" i="20"/>
  <c r="G31" i="20" s="1"/>
  <c r="G23" i="20"/>
  <c r="G17" i="20" s="1"/>
  <c r="K23" i="20"/>
  <c r="K17" i="20" s="1"/>
  <c r="F31" i="20"/>
  <c r="F23" i="20" l="1"/>
  <c r="F17" i="20" s="1"/>
  <c r="C23" i="20"/>
  <c r="D567" i="2"/>
  <c r="C17" i="20" l="1"/>
  <c r="N31" i="20" s="1"/>
  <c r="F772" i="1"/>
  <c r="F771" i="1" s="1"/>
  <c r="D229" i="2"/>
  <c r="D228" i="2" s="1"/>
  <c r="J24" i="2"/>
  <c r="J23" i="2"/>
  <c r="G24" i="2"/>
  <c r="G23" i="2"/>
  <c r="D107" i="20" l="1"/>
  <c r="G522" i="2"/>
  <c r="F27" i="1"/>
  <c r="I881" i="1"/>
  <c r="I880" i="1"/>
  <c r="I879" i="1" s="1"/>
  <c r="I877" i="1"/>
  <c r="I875" i="1"/>
  <c r="I872" i="1"/>
  <c r="I867" i="1"/>
  <c r="I866" i="1" s="1"/>
  <c r="I865" i="1" s="1"/>
  <c r="I864" i="1" s="1"/>
  <c r="I861" i="1"/>
  <c r="I860" i="1" s="1"/>
  <c r="I859" i="1" s="1"/>
  <c r="I852" i="1"/>
  <c r="I851" i="1" s="1"/>
  <c r="I848" i="1"/>
  <c r="I846" i="1"/>
  <c r="I839" i="1"/>
  <c r="I838" i="1" s="1"/>
  <c r="I837" i="1" s="1"/>
  <c r="I836" i="1" s="1"/>
  <c r="I835" i="1" s="1"/>
  <c r="I834" i="1" s="1"/>
  <c r="I831" i="1"/>
  <c r="I830" i="1" s="1"/>
  <c r="I829" i="1" s="1"/>
  <c r="I828" i="1" s="1"/>
  <c r="I827" i="1" s="1"/>
  <c r="I826" i="1" s="1"/>
  <c r="I825" i="1" s="1"/>
  <c r="I823" i="1"/>
  <c r="I822" i="1" s="1"/>
  <c r="I820" i="1"/>
  <c r="I819" i="1" s="1"/>
  <c r="I817" i="1"/>
  <c r="I816" i="1" s="1"/>
  <c r="I814" i="1"/>
  <c r="I812" i="1"/>
  <c r="I806" i="1"/>
  <c r="I805" i="1" s="1"/>
  <c r="I804" i="1" s="1"/>
  <c r="I803" i="1" s="1"/>
  <c r="I776" i="1"/>
  <c r="I775" i="1" s="1"/>
  <c r="I774" i="1" s="1"/>
  <c r="I768" i="1"/>
  <c r="I767" i="1" s="1"/>
  <c r="I766" i="1" s="1"/>
  <c r="I765" i="1"/>
  <c r="I764" i="1" s="1"/>
  <c r="I763" i="1" s="1"/>
  <c r="I756" i="1"/>
  <c r="I755" i="1" s="1"/>
  <c r="I754" i="1" s="1"/>
  <c r="I753" i="1" s="1"/>
  <c r="I752" i="1" s="1"/>
  <c r="I751" i="1" s="1"/>
  <c r="I748" i="1"/>
  <c r="I747" i="1" s="1"/>
  <c r="I745" i="1"/>
  <c r="I739" i="1"/>
  <c r="I737" i="1"/>
  <c r="I736" i="1" s="1"/>
  <c r="I734" i="1"/>
  <c r="I733" i="1" s="1"/>
  <c r="I732" i="1" s="1"/>
  <c r="I731" i="1" s="1"/>
  <c r="I730" i="1" s="1"/>
  <c r="I729" i="1" s="1"/>
  <c r="I718" i="1"/>
  <c r="I717" i="1" s="1"/>
  <c r="I714" i="1" s="1"/>
  <c r="I715" i="1"/>
  <c r="I712" i="1"/>
  <c r="I711" i="1" s="1"/>
  <c r="I709" i="1"/>
  <c r="I702" i="1"/>
  <c r="I701" i="1" s="1"/>
  <c r="I700" i="1" s="1"/>
  <c r="I699" i="1" s="1"/>
  <c r="I698" i="1" s="1"/>
  <c r="I697" i="1" s="1"/>
  <c r="I694" i="1"/>
  <c r="I692" i="1"/>
  <c r="I688" i="1"/>
  <c r="I686" i="1"/>
  <c r="I684" i="1"/>
  <c r="I680" i="1"/>
  <c r="I679" i="1" s="1"/>
  <c r="I678" i="1" s="1"/>
  <c r="I667" i="1"/>
  <c r="I666" i="1" s="1"/>
  <c r="I665" i="1" s="1"/>
  <c r="I663" i="1"/>
  <c r="I661" i="1"/>
  <c r="I655" i="1"/>
  <c r="I653" i="1"/>
  <c r="I651" i="1"/>
  <c r="I647" i="1"/>
  <c r="I645" i="1"/>
  <c r="I643" i="1"/>
  <c r="I639" i="1"/>
  <c r="I633" i="1"/>
  <c r="I632" i="1" s="1"/>
  <c r="I631" i="1" s="1"/>
  <c r="I630" i="1" s="1"/>
  <c r="I623" i="1"/>
  <c r="I622" i="1" s="1"/>
  <c r="I620" i="1"/>
  <c r="I618" i="1"/>
  <c r="I598" i="1"/>
  <c r="I597" i="1" s="1"/>
  <c r="I596" i="1" s="1"/>
  <c r="I595" i="1" s="1"/>
  <c r="I593" i="1"/>
  <c r="I592" i="1" s="1"/>
  <c r="I591" i="1" s="1"/>
  <c r="I589" i="1"/>
  <c r="I587" i="1"/>
  <c r="I585" i="1"/>
  <c r="I582" i="1"/>
  <c r="I580" i="1"/>
  <c r="I578" i="1"/>
  <c r="I576" i="1"/>
  <c r="I572" i="1"/>
  <c r="I571" i="1"/>
  <c r="I569" i="1"/>
  <c r="I567" i="1"/>
  <c r="I557" i="1"/>
  <c r="I556" i="1" s="1"/>
  <c r="I554" i="1"/>
  <c r="I553" i="1" s="1"/>
  <c r="I552" i="1" s="1"/>
  <c r="I549" i="1"/>
  <c r="I548" i="1" s="1"/>
  <c r="I546" i="1"/>
  <c r="I543" i="1"/>
  <c r="I524" i="1"/>
  <c r="I523" i="1" s="1"/>
  <c r="I522" i="1" s="1"/>
  <c r="I521" i="1" s="1"/>
  <c r="I520" i="1" s="1"/>
  <c r="I519" i="1" s="1"/>
  <c r="I517" i="1"/>
  <c r="I516" i="1" s="1"/>
  <c r="I515" i="1" s="1"/>
  <c r="I514" i="1" s="1"/>
  <c r="I513" i="1" s="1"/>
  <c r="I511" i="1"/>
  <c r="I510" i="1" s="1"/>
  <c r="I506" i="1"/>
  <c r="I505" i="1" s="1"/>
  <c r="I503" i="1"/>
  <c r="I497" i="1"/>
  <c r="I495" i="1"/>
  <c r="I493" i="1"/>
  <c r="I489" i="1"/>
  <c r="I488" i="1" s="1"/>
  <c r="I487" i="1" s="1"/>
  <c r="I483" i="1"/>
  <c r="I482" i="1" s="1"/>
  <c r="I481" i="1" s="1"/>
  <c r="I479" i="1"/>
  <c r="I478" i="1" s="1"/>
  <c r="I477" i="1" s="1"/>
  <c r="I473" i="1"/>
  <c r="I472" i="1" s="1"/>
  <c r="I471" i="1" s="1"/>
  <c r="I470" i="1" s="1"/>
  <c r="I469" i="1" s="1"/>
  <c r="I468" i="1" s="1"/>
  <c r="I457" i="1"/>
  <c r="I456" i="1" s="1"/>
  <c r="I455" i="1" s="1"/>
  <c r="I454" i="1" s="1"/>
  <c r="I453" i="1" s="1"/>
  <c r="I452" i="1" s="1"/>
  <c r="I451" i="1" s="1"/>
  <c r="I439" i="1"/>
  <c r="I438" i="1" s="1"/>
  <c r="I437" i="1" s="1"/>
  <c r="I434" i="1"/>
  <c r="I433" i="1"/>
  <c r="I432" i="1" s="1"/>
  <c r="I428" i="1"/>
  <c r="I427" i="1" s="1"/>
  <c r="I426" i="1" s="1"/>
  <c r="I423" i="1"/>
  <c r="I422" i="1" s="1"/>
  <c r="I417" i="1"/>
  <c r="I415" i="1"/>
  <c r="I413" i="1"/>
  <c r="I411" i="1"/>
  <c r="I402" i="1"/>
  <c r="I397" i="1"/>
  <c r="I388" i="1"/>
  <c r="I386" i="1"/>
  <c r="I372" i="1"/>
  <c r="I371" i="1"/>
  <c r="I370" i="1" s="1"/>
  <c r="I356" i="1"/>
  <c r="I355" i="1" s="1"/>
  <c r="I350" i="1"/>
  <c r="I348" i="1"/>
  <c r="I336" i="1"/>
  <c r="I333" i="1"/>
  <c r="I331" i="1"/>
  <c r="I325" i="1"/>
  <c r="I324" i="1" s="1"/>
  <c r="I315" i="1"/>
  <c r="I314" i="1" s="1"/>
  <c r="I313" i="1" s="1"/>
  <c r="I312" i="1" s="1"/>
  <c r="I309" i="1"/>
  <c r="I308" i="1" s="1"/>
  <c r="I306" i="1"/>
  <c r="I304" i="1"/>
  <c r="I302" i="1"/>
  <c r="I300" i="1"/>
  <c r="I291" i="1"/>
  <c r="I290" i="1" s="1"/>
  <c r="I289" i="1" s="1"/>
  <c r="I286" i="1"/>
  <c r="I285" i="1" s="1"/>
  <c r="I283" i="1"/>
  <c r="I279" i="1"/>
  <c r="I278" i="1" s="1"/>
  <c r="I277" i="1" s="1"/>
  <c r="I275" i="1"/>
  <c r="I274" i="1" s="1"/>
  <c r="I272" i="1"/>
  <c r="I271" i="1" s="1"/>
  <c r="I267" i="1"/>
  <c r="I266" i="1" s="1"/>
  <c r="I260" i="1"/>
  <c r="I259" i="1" s="1"/>
  <c r="I246" i="1"/>
  <c r="I245" i="1" s="1"/>
  <c r="I244" i="1" s="1"/>
  <c r="I235" i="1"/>
  <c r="I234" i="1" s="1"/>
  <c r="I232" i="1"/>
  <c r="I231" i="1" s="1"/>
  <c r="I225" i="1"/>
  <c r="I227" i="1"/>
  <c r="I222" i="1"/>
  <c r="I221" i="1"/>
  <c r="I214" i="1"/>
  <c r="I213" i="1" s="1"/>
  <c r="I211" i="1"/>
  <c r="I210" i="1" s="1"/>
  <c r="I204" i="1"/>
  <c r="I203" i="1" s="1"/>
  <c r="I202" i="1" s="1"/>
  <c r="I201" i="1" s="1"/>
  <c r="I197" i="1"/>
  <c r="I196" i="1" s="1"/>
  <c r="I195" i="1" s="1"/>
  <c r="I193" i="1"/>
  <c r="I192" i="1" s="1"/>
  <c r="I191" i="1" s="1"/>
  <c r="I190" i="1" s="1"/>
  <c r="I188" i="1"/>
  <c r="I186" i="1"/>
  <c r="I184" i="1"/>
  <c r="I182" i="1"/>
  <c r="I180" i="1"/>
  <c r="I177" i="1"/>
  <c r="I176" i="1" s="1"/>
  <c r="I169" i="1"/>
  <c r="I168" i="1" s="1"/>
  <c r="I167" i="1" s="1"/>
  <c r="I165" i="1"/>
  <c r="I163" i="1"/>
  <c r="I161" i="1"/>
  <c r="I160" i="1"/>
  <c r="I158" i="1" s="1"/>
  <c r="I153" i="1"/>
  <c r="I151" i="1"/>
  <c r="I140" i="1"/>
  <c r="I136" i="1"/>
  <c r="I134" i="1"/>
  <c r="I127" i="1"/>
  <c r="I125" i="1"/>
  <c r="I123" i="1"/>
  <c r="I121" i="1"/>
  <c r="I115" i="1"/>
  <c r="I113" i="1" s="1"/>
  <c r="I112" i="1" s="1"/>
  <c r="I111" i="1" s="1"/>
  <c r="I110" i="1" s="1"/>
  <c r="I109" i="1" s="1"/>
  <c r="I108" i="1" s="1"/>
  <c r="I107" i="1" s="1"/>
  <c r="I105" i="1"/>
  <c r="I101" i="1"/>
  <c r="I99" i="1"/>
  <c r="I96" i="1"/>
  <c r="I91" i="1"/>
  <c r="I84" i="1"/>
  <c r="I83" i="1" s="1"/>
  <c r="I82" i="1" s="1"/>
  <c r="I81" i="1" s="1"/>
  <c r="I79" i="1"/>
  <c r="I77" i="1"/>
  <c r="I72" i="1"/>
  <c r="I71" i="1" s="1"/>
  <c r="I70" i="1" s="1"/>
  <c r="I68" i="1"/>
  <c r="I66" i="1"/>
  <c r="I59" i="1"/>
  <c r="I58" i="1" s="1"/>
  <c r="I57" i="1" s="1"/>
  <c r="I56" i="1" s="1"/>
  <c r="I55" i="1" s="1"/>
  <c r="I54" i="1" s="1"/>
  <c r="I50" i="1"/>
  <c r="I49" i="1" s="1"/>
  <c r="I48" i="1" s="1"/>
  <c r="I45" i="1"/>
  <c r="I44" i="1" s="1"/>
  <c r="I43" i="1" s="1"/>
  <c r="I41" i="1"/>
  <c r="I38" i="1"/>
  <c r="I36" i="1"/>
  <c r="I33" i="1"/>
  <c r="I30" i="1"/>
  <c r="I25" i="1"/>
  <c r="I24" i="1" s="1"/>
  <c r="I23" i="1" s="1"/>
  <c r="I18" i="1"/>
  <c r="I17" i="1" s="1"/>
  <c r="I16" i="1" s="1"/>
  <c r="I15" i="1" s="1"/>
  <c r="I14" i="1" s="1"/>
  <c r="I13" i="1" s="1"/>
  <c r="J598" i="2"/>
  <c r="J596" i="2"/>
  <c r="J594" i="2"/>
  <c r="J589" i="2"/>
  <c r="J579" i="2"/>
  <c r="J577" i="2"/>
  <c r="J558" i="2"/>
  <c r="J556" i="2"/>
  <c r="J555" i="2"/>
  <c r="J554" i="2" s="1"/>
  <c r="J552" i="2"/>
  <c r="J550" i="2"/>
  <c r="J547" i="2"/>
  <c r="J543" i="2"/>
  <c r="J536" i="2"/>
  <c r="J534" i="2"/>
  <c r="J529" i="2"/>
  <c r="J528" i="2" s="1"/>
  <c r="J526" i="2"/>
  <c r="J522" i="2"/>
  <c r="J520" i="2"/>
  <c r="J518" i="2"/>
  <c r="J514" i="2"/>
  <c r="J513" i="2" s="1"/>
  <c r="J511" i="2"/>
  <c r="J507" i="2"/>
  <c r="J505" i="2"/>
  <c r="J501" i="2"/>
  <c r="J499" i="2"/>
  <c r="J497" i="2"/>
  <c r="J495" i="2"/>
  <c r="J490" i="2"/>
  <c r="J489" i="2" s="1"/>
  <c r="J488" i="2" s="1"/>
  <c r="J484" i="2"/>
  <c r="J483" i="2" s="1"/>
  <c r="J482" i="2" s="1"/>
  <c r="J474" i="2"/>
  <c r="J469" i="2"/>
  <c r="J467" i="2"/>
  <c r="J466" i="2" s="1"/>
  <c r="J465" i="2" s="1"/>
  <c r="J461" i="2"/>
  <c r="J460" i="2" s="1"/>
  <c r="J459" i="2" s="1"/>
  <c r="J455" i="2"/>
  <c r="J454" i="2" s="1"/>
  <c r="J453" i="2" s="1"/>
  <c r="J451" i="2"/>
  <c r="J450" i="2" s="1"/>
  <c r="J446" i="2"/>
  <c r="J444" i="2"/>
  <c r="J441" i="2"/>
  <c r="J440" i="2" s="1"/>
  <c r="J439" i="2" s="1"/>
  <c r="J430" i="2"/>
  <c r="J429" i="2" s="1"/>
  <c r="J423" i="2"/>
  <c r="J422" i="2" s="1"/>
  <c r="J420" i="2"/>
  <c r="J418" i="2"/>
  <c r="J416" i="2"/>
  <c r="J410" i="2"/>
  <c r="J407" i="2"/>
  <c r="J405" i="2"/>
  <c r="J400" i="2"/>
  <c r="J399" i="2" s="1"/>
  <c r="J396" i="2"/>
  <c r="J395" i="2" s="1"/>
  <c r="J392" i="2"/>
  <c r="J391" i="2" s="1"/>
  <c r="J389" i="2"/>
  <c r="J388" i="2" s="1"/>
  <c r="J386" i="2"/>
  <c r="J383" i="2"/>
  <c r="J381" i="2"/>
  <c r="J379" i="2"/>
  <c r="J378" i="2"/>
  <c r="J377" i="2" s="1"/>
  <c r="J371" i="2"/>
  <c r="J369" i="2"/>
  <c r="J367" i="2"/>
  <c r="J365" i="2"/>
  <c r="J352" i="2"/>
  <c r="J351" i="2" s="1"/>
  <c r="J350" i="2" s="1"/>
  <c r="J348" i="2"/>
  <c r="J346" i="2"/>
  <c r="J344" i="2"/>
  <c r="J342" i="2"/>
  <c r="J340" i="2"/>
  <c r="J337" i="2"/>
  <c r="J336" i="2" s="1"/>
  <c r="J333" i="2"/>
  <c r="J332" i="2" s="1"/>
  <c r="J330" i="2"/>
  <c r="J329" i="2" s="1"/>
  <c r="J325" i="2"/>
  <c r="J323" i="2"/>
  <c r="J320" i="2"/>
  <c r="J318" i="2" s="1"/>
  <c r="J317" i="2" s="1"/>
  <c r="J313" i="2"/>
  <c r="J311" i="2"/>
  <c r="J306" i="2"/>
  <c r="J303" i="2"/>
  <c r="J302" i="2" s="1"/>
  <c r="J299" i="2"/>
  <c r="J298" i="2" s="1"/>
  <c r="J296" i="2"/>
  <c r="J291" i="2"/>
  <c r="J290" i="2" s="1"/>
  <c r="J288" i="2"/>
  <c r="J279" i="2"/>
  <c r="J278" i="2" s="1"/>
  <c r="J277" i="2" s="1"/>
  <c r="J274" i="2"/>
  <c r="J273" i="2" s="1"/>
  <c r="J272" i="2" s="1"/>
  <c r="J271" i="2" s="1"/>
  <c r="J251" i="2"/>
  <c r="J249" i="2"/>
  <c r="J248" i="2" s="1"/>
  <c r="J246" i="2"/>
  <c r="J245" i="2" s="1"/>
  <c r="J243" i="2"/>
  <c r="J242" i="2" s="1"/>
  <c r="J240" i="2"/>
  <c r="J238" i="2"/>
  <c r="J235" i="2"/>
  <c r="J234" i="2" s="1"/>
  <c r="J233" i="2"/>
  <c r="J232" i="2" s="1"/>
  <c r="J231" i="2" s="1"/>
  <c r="J226" i="2"/>
  <c r="J225" i="2"/>
  <c r="J224" i="2" s="1"/>
  <c r="J222" i="2"/>
  <c r="J221" i="2" s="1"/>
  <c r="J220" i="2" s="1"/>
  <c r="J216" i="2"/>
  <c r="J215" i="2" s="1"/>
  <c r="J210" i="2"/>
  <c r="J209" i="2" s="1"/>
  <c r="J207" i="2"/>
  <c r="J205" i="2"/>
  <c r="J202" i="2"/>
  <c r="J200" i="2"/>
  <c r="J196" i="2"/>
  <c r="J187" i="2"/>
  <c r="J184" i="2"/>
  <c r="J182" i="2"/>
  <c r="J180" i="2"/>
  <c r="J177" i="2"/>
  <c r="J176" i="2" s="1"/>
  <c r="J174" i="2"/>
  <c r="J170" i="2"/>
  <c r="J169" i="2" s="1"/>
  <c r="J165" i="2"/>
  <c r="J164" i="2" s="1"/>
  <c r="J163" i="2" s="1"/>
  <c r="J153" i="2"/>
  <c r="J147" i="2"/>
  <c r="J142" i="2"/>
  <c r="J138" i="2" s="1"/>
  <c r="J141" i="2"/>
  <c r="J136" i="2"/>
  <c r="J134" i="2"/>
  <c r="J128" i="2"/>
  <c r="J126" i="2"/>
  <c r="J124" i="2"/>
  <c r="J120" i="2"/>
  <c r="J118" i="2"/>
  <c r="J116" i="2"/>
  <c r="J112" i="2"/>
  <c r="J110" i="2"/>
  <c r="J108" i="2"/>
  <c r="J104" i="2"/>
  <c r="J102" i="2"/>
  <c r="J100" i="2"/>
  <c r="J97" i="2"/>
  <c r="J95" i="2"/>
  <c r="J93" i="2"/>
  <c r="J91" i="2"/>
  <c r="J89" i="2"/>
  <c r="J87" i="2"/>
  <c r="J85" i="2"/>
  <c r="J81" i="2"/>
  <c r="J80" i="2" s="1"/>
  <c r="J78" i="2"/>
  <c r="J76" i="2"/>
  <c r="J68" i="2"/>
  <c r="J66" i="2"/>
  <c r="J64" i="2"/>
  <c r="J61" i="2"/>
  <c r="J59" i="2"/>
  <c r="J54" i="2"/>
  <c r="J52" i="2"/>
  <c r="J49" i="2"/>
  <c r="J47" i="2" s="1"/>
  <c r="J44" i="2"/>
  <c r="J42" i="2"/>
  <c r="J40" i="2"/>
  <c r="J37" i="2"/>
  <c r="J35" i="2"/>
  <c r="J32" i="2"/>
  <c r="J29" i="2"/>
  <c r="J25" i="2"/>
  <c r="J22" i="2"/>
  <c r="J20" i="2"/>
  <c r="J16" i="2"/>
  <c r="J14" i="2"/>
  <c r="G598" i="2"/>
  <c r="G596" i="2"/>
  <c r="G594" i="2"/>
  <c r="G589" i="2"/>
  <c r="G579" i="2"/>
  <c r="G577" i="2"/>
  <c r="G558" i="2"/>
  <c r="G556" i="2"/>
  <c r="G555" i="2"/>
  <c r="G554" i="2" s="1"/>
  <c r="G552" i="2"/>
  <c r="G550" i="2"/>
  <c r="G547" i="2"/>
  <c r="G543" i="2"/>
  <c r="G536" i="2"/>
  <c r="G534" i="2"/>
  <c r="G529" i="2"/>
  <c r="G528" i="2" s="1"/>
  <c r="G526" i="2"/>
  <c r="G520" i="2"/>
  <c r="G518" i="2"/>
  <c r="G514" i="2"/>
  <c r="G513" i="2" s="1"/>
  <c r="G511" i="2"/>
  <c r="G507" i="2"/>
  <c r="G505" i="2"/>
  <c r="G501" i="2"/>
  <c r="G499" i="2"/>
  <c r="G497" i="2"/>
  <c r="G495" i="2"/>
  <c r="G490" i="2"/>
  <c r="G489" i="2" s="1"/>
  <c r="G488" i="2" s="1"/>
  <c r="G484" i="2"/>
  <c r="G483" i="2" s="1"/>
  <c r="G482" i="2" s="1"/>
  <c r="G474" i="2"/>
  <c r="G473" i="2" s="1"/>
  <c r="G469" i="2" s="1"/>
  <c r="G467" i="2"/>
  <c r="G466" i="2" s="1"/>
  <c r="G465" i="2" s="1"/>
  <c r="G460" i="2"/>
  <c r="G459" i="2" s="1"/>
  <c r="G455" i="2"/>
  <c r="G454" i="2" s="1"/>
  <c r="G453" i="2" s="1"/>
  <c r="G451" i="2"/>
  <c r="G450" i="2" s="1"/>
  <c r="G446" i="2"/>
  <c r="G444" i="2"/>
  <c r="G441" i="2"/>
  <c r="G440" i="2" s="1"/>
  <c r="G433" i="2"/>
  <c r="G432" i="2" s="1"/>
  <c r="G430" i="2"/>
  <c r="G429" i="2" s="1"/>
  <c r="G420" i="2"/>
  <c r="G418" i="2"/>
  <c r="G416" i="2"/>
  <c r="G410" i="2"/>
  <c r="G407" i="2"/>
  <c r="G405" i="2"/>
  <c r="G396" i="2"/>
  <c r="G395" i="2" s="1"/>
  <c r="G392" i="2"/>
  <c r="G391" i="2" s="1"/>
  <c r="G389" i="2"/>
  <c r="G388" i="2" s="1"/>
  <c r="G386" i="2"/>
  <c r="G383" i="2"/>
  <c r="G381" i="2"/>
  <c r="G379" i="2"/>
  <c r="G377" i="2"/>
  <c r="G371" i="2"/>
  <c r="G369" i="2"/>
  <c r="G367" i="2"/>
  <c r="G365" i="2"/>
  <c r="G352" i="2"/>
  <c r="G351" i="2" s="1"/>
  <c r="G350" i="2" s="1"/>
  <c r="G348" i="2"/>
  <c r="G346" i="2"/>
  <c r="G344" i="2"/>
  <c r="G342" i="2"/>
  <c r="G340" i="2"/>
  <c r="G337" i="2"/>
  <c r="G336" i="2" s="1"/>
  <c r="G333" i="2"/>
  <c r="G332" i="2" s="1"/>
  <c r="G330" i="2"/>
  <c r="G329" i="2" s="1"/>
  <c r="G325" i="2"/>
  <c r="G323" i="2"/>
  <c r="G320" i="2"/>
  <c r="G318" i="2" s="1"/>
  <c r="G317" i="2" s="1"/>
  <c r="G313" i="2"/>
  <c r="G311" i="2"/>
  <c r="G306" i="2"/>
  <c r="G303" i="2"/>
  <c r="G302" i="2" s="1"/>
  <c r="G299" i="2"/>
  <c r="G298" i="2" s="1"/>
  <c r="G296" i="2"/>
  <c r="G291" i="2"/>
  <c r="G290" i="2" s="1"/>
  <c r="G288" i="2"/>
  <c r="G279" i="2"/>
  <c r="G278" i="2" s="1"/>
  <c r="G277" i="2" s="1"/>
  <c r="G274" i="2"/>
  <c r="G273" i="2" s="1"/>
  <c r="G272" i="2" s="1"/>
  <c r="G271" i="2" s="1"/>
  <c r="G251" i="2"/>
  <c r="G249" i="2"/>
  <c r="G248" i="2" s="1"/>
  <c r="G246" i="2"/>
  <c r="G245" i="2" s="1"/>
  <c r="G243" i="2"/>
  <c r="G242" i="2" s="1"/>
  <c r="G240" i="2"/>
  <c r="G238" i="2"/>
  <c r="G235" i="2"/>
  <c r="G234" i="2" s="1"/>
  <c r="G233" i="2"/>
  <c r="G232" i="2" s="1"/>
  <c r="G231" i="2" s="1"/>
  <c r="G226" i="2"/>
  <c r="G225" i="2"/>
  <c r="G224" i="2" s="1"/>
  <c r="G222" i="2"/>
  <c r="G221" i="2" s="1"/>
  <c r="G220" i="2" s="1"/>
  <c r="G216" i="2"/>
  <c r="G215" i="2" s="1"/>
  <c r="G210" i="2"/>
  <c r="G209" i="2" s="1"/>
  <c r="G207" i="2"/>
  <c r="G205" i="2"/>
  <c r="G202" i="2"/>
  <c r="G200" i="2"/>
  <c r="G196" i="2"/>
  <c r="G189" i="2"/>
  <c r="G188" i="2" s="1"/>
  <c r="G187" i="2" s="1"/>
  <c r="G184" i="2"/>
  <c r="G182" i="2"/>
  <c r="G180" i="2"/>
  <c r="G177" i="2"/>
  <c r="G176" i="2" s="1"/>
  <c r="G174" i="2"/>
  <c r="G170" i="2"/>
  <c r="G169" i="2" s="1"/>
  <c r="G165" i="2"/>
  <c r="G164" i="2" s="1"/>
  <c r="G163" i="2" s="1"/>
  <c r="G153" i="2"/>
  <c r="G148" i="2"/>
  <c r="G147" i="2" s="1"/>
  <c r="G142" i="2"/>
  <c r="G138" i="2" s="1"/>
  <c r="G141" i="2"/>
  <c r="G136" i="2"/>
  <c r="G134" i="2"/>
  <c r="G128" i="2"/>
  <c r="G126" i="2"/>
  <c r="G124" i="2"/>
  <c r="G120" i="2"/>
  <c r="G118" i="2"/>
  <c r="G116" i="2"/>
  <c r="G112" i="2"/>
  <c r="G110" i="2"/>
  <c r="G108" i="2"/>
  <c r="G104" i="2"/>
  <c r="G102" i="2"/>
  <c r="G100" i="2"/>
  <c r="G97" i="2"/>
  <c r="G95" i="2"/>
  <c r="G93" i="2"/>
  <c r="G91" i="2"/>
  <c r="G89" i="2"/>
  <c r="G87" i="2"/>
  <c r="G85" i="2"/>
  <c r="G81" i="2"/>
  <c r="G80" i="2" s="1"/>
  <c r="G78" i="2"/>
  <c r="G76" i="2"/>
  <c r="G68" i="2"/>
  <c r="G66" i="2"/>
  <c r="G64" i="2"/>
  <c r="G61" i="2"/>
  <c r="G59" i="2"/>
  <c r="G54" i="2"/>
  <c r="G52" i="2"/>
  <c r="G49" i="2"/>
  <c r="G47" i="2" s="1"/>
  <c r="G44" i="2"/>
  <c r="G42" i="2"/>
  <c r="G40" i="2"/>
  <c r="G37" i="2"/>
  <c r="G35" i="2"/>
  <c r="G32" i="2"/>
  <c r="G29" i="2"/>
  <c r="G25" i="2"/>
  <c r="G22" i="2"/>
  <c r="G20" i="2"/>
  <c r="G16" i="2"/>
  <c r="G14" i="2"/>
  <c r="D24" i="2"/>
  <c r="J539" i="2" l="1"/>
  <c r="G539" i="2"/>
  <c r="I540" i="1"/>
  <c r="I539" i="1" s="1"/>
  <c r="I538" i="1"/>
  <c r="I537" i="1" s="1"/>
  <c r="I536" i="1" s="1"/>
  <c r="I157" i="1"/>
  <c r="I156" i="1" s="1"/>
  <c r="I155" i="1" s="1"/>
  <c r="J123" i="2"/>
  <c r="J122" i="2" s="1"/>
  <c r="I401" i="1"/>
  <c r="I65" i="1"/>
  <c r="I64" i="1" s="1"/>
  <c r="J301" i="2"/>
  <c r="J13" i="2"/>
  <c r="J12" i="2" s="1"/>
  <c r="J310" i="2"/>
  <c r="J309" i="2" s="1"/>
  <c r="I220" i="1"/>
  <c r="I209" i="1" s="1"/>
  <c r="I208" i="1" s="1"/>
  <c r="I207" i="1" s="1"/>
  <c r="I206" i="1" s="1"/>
  <c r="I617" i="1"/>
  <c r="I616" i="1" s="1"/>
  <c r="I615" i="1" s="1"/>
  <c r="I614" i="1" s="1"/>
  <c r="I613" i="1" s="1"/>
  <c r="I566" i="1"/>
  <c r="I492" i="1"/>
  <c r="I491" i="1" s="1"/>
  <c r="I476" i="1" s="1"/>
  <c r="I475" i="1" s="1"/>
  <c r="I282" i="1"/>
  <c r="I281" i="1" s="1"/>
  <c r="I150" i="1"/>
  <c r="I149" i="1" s="1"/>
  <c r="I691" i="1"/>
  <c r="I690" i="1" s="1"/>
  <c r="I744" i="1"/>
  <c r="I743" i="1" s="1"/>
  <c r="I742" i="1" s="1"/>
  <c r="I741" i="1" s="1"/>
  <c r="I740" i="1" s="1"/>
  <c r="I728" i="1" s="1"/>
  <c r="J237" i="2"/>
  <c r="I502" i="1"/>
  <c r="I501" i="1" s="1"/>
  <c r="I500" i="1" s="1"/>
  <c r="I499" i="1" s="1"/>
  <c r="I650" i="1"/>
  <c r="I649" i="1" s="1"/>
  <c r="I762" i="1"/>
  <c r="I761" i="1" s="1"/>
  <c r="I760" i="1" s="1"/>
  <c r="I759" i="1" s="1"/>
  <c r="J51" i="2"/>
  <c r="J50" i="2" s="1"/>
  <c r="J316" i="2"/>
  <c r="J315" i="2" s="1"/>
  <c r="J356" i="2"/>
  <c r="I410" i="1"/>
  <c r="I29" i="1"/>
  <c r="I28" i="1" s="1"/>
  <c r="I22" i="1" s="1"/>
  <c r="I21" i="1" s="1"/>
  <c r="I20" i="1" s="1"/>
  <c r="I76" i="1"/>
  <c r="I75" i="1" s="1"/>
  <c r="I133" i="1"/>
  <c r="I132" i="1" s="1"/>
  <c r="I131" i="1" s="1"/>
  <c r="I130" i="1" s="1"/>
  <c r="I683" i="1"/>
  <c r="I682" i="1" s="1"/>
  <c r="I811" i="1"/>
  <c r="I810" i="1" s="1"/>
  <c r="I809" i="1" s="1"/>
  <c r="I802" i="1" s="1"/>
  <c r="I801" i="1" s="1"/>
  <c r="I425" i="1"/>
  <c r="G99" i="2"/>
  <c r="G533" i="2"/>
  <c r="J195" i="2"/>
  <c r="J194" i="2" s="1"/>
  <c r="J339" i="2"/>
  <c r="J335" i="2" s="1"/>
  <c r="J533" i="2"/>
  <c r="J287" i="2"/>
  <c r="J286" i="2" s="1"/>
  <c r="J494" i="2"/>
  <c r="G13" i="2"/>
  <c r="G12" i="2" s="1"/>
  <c r="J99" i="2"/>
  <c r="J133" i="2"/>
  <c r="J132" i="2" s="1"/>
  <c r="J146" i="2"/>
  <c r="J145" i="2" s="1"/>
  <c r="J223" i="2"/>
  <c r="J328" i="2"/>
  <c r="J504" i="2"/>
  <c r="J28" i="2"/>
  <c r="J27" i="2" s="1"/>
  <c r="J58" i="2"/>
  <c r="J57" i="2" s="1"/>
  <c r="J168" i="2"/>
  <c r="J376" i="2"/>
  <c r="J404" i="2"/>
  <c r="J403" i="2" s="1"/>
  <c r="J179" i="2"/>
  <c r="J517" i="2"/>
  <c r="J516" i="2" s="1"/>
  <c r="J107" i="2"/>
  <c r="J106" i="2" s="1"/>
  <c r="J481" i="2"/>
  <c r="J84" i="2"/>
  <c r="J19" i="2"/>
  <c r="J18" i="2" s="1"/>
  <c r="J394" i="2"/>
  <c r="I377" i="1"/>
  <c r="I575" i="1"/>
  <c r="I299" i="1"/>
  <c r="I298" i="1" s="1"/>
  <c r="I297" i="1" s="1"/>
  <c r="I296" i="1" s="1"/>
  <c r="I330" i="1"/>
  <c r="I329" i="1" s="1"/>
  <c r="I323" i="1" s="1"/>
  <c r="I322" i="1" s="1"/>
  <c r="I321" i="1" s="1"/>
  <c r="I88" i="1"/>
  <c r="I87" i="1" s="1"/>
  <c r="I584" i="1"/>
  <c r="I638" i="1"/>
  <c r="I637" i="1" s="1"/>
  <c r="I270" i="1"/>
  <c r="I269" i="1" s="1"/>
  <c r="I871" i="1"/>
  <c r="I870" i="1" s="1"/>
  <c r="I869" i="1" s="1"/>
  <c r="I179" i="1"/>
  <c r="I175" i="1" s="1"/>
  <c r="I174" i="1" s="1"/>
  <c r="I173" i="1" s="1"/>
  <c r="I172" i="1" s="1"/>
  <c r="I660" i="1"/>
  <c r="I659" i="1" s="1"/>
  <c r="I845" i="1"/>
  <c r="I844" i="1" s="1"/>
  <c r="I843" i="1" s="1"/>
  <c r="I842" i="1" s="1"/>
  <c r="I841" i="1" s="1"/>
  <c r="I120" i="1"/>
  <c r="I119" i="1" s="1"/>
  <c r="I118" i="1" s="1"/>
  <c r="I117" i="1" s="1"/>
  <c r="I708" i="1"/>
  <c r="I707" i="1" s="1"/>
  <c r="I706" i="1" s="1"/>
  <c r="I705" i="1" s="1"/>
  <c r="I704" i="1" s="1"/>
  <c r="I858" i="1"/>
  <c r="I857" i="1"/>
  <c r="I856" i="1" s="1"/>
  <c r="I258" i="1"/>
  <c r="I200" i="1"/>
  <c r="I199" i="1"/>
  <c r="J75" i="2"/>
  <c r="J428" i="2"/>
  <c r="J427" i="2" s="1"/>
  <c r="J525" i="2"/>
  <c r="J524" i="2" s="1"/>
  <c r="J295" i="2"/>
  <c r="J294" i="2" s="1"/>
  <c r="G179" i="2"/>
  <c r="G133" i="2"/>
  <c r="G132" i="2" s="1"/>
  <c r="G237" i="2"/>
  <c r="G439" i="2"/>
  <c r="G428" i="2" s="1"/>
  <c r="G427" i="2" s="1"/>
  <c r="G316" i="2"/>
  <c r="G315" i="2" s="1"/>
  <c r="G356" i="2"/>
  <c r="G517" i="2"/>
  <c r="G516" i="2" s="1"/>
  <c r="G223" i="2"/>
  <c r="G146" i="2"/>
  <c r="G145" i="2" s="1"/>
  <c r="G328" i="2"/>
  <c r="G376" i="2"/>
  <c r="G51" i="2"/>
  <c r="G50" i="2" s="1"/>
  <c r="G84" i="2"/>
  <c r="G301" i="2"/>
  <c r="G19" i="2"/>
  <c r="G18" i="2" s="1"/>
  <c r="G123" i="2"/>
  <c r="G122" i="2" s="1"/>
  <c r="G310" i="2"/>
  <c r="G309" i="2" s="1"/>
  <c r="G504" i="2"/>
  <c r="G107" i="2"/>
  <c r="G106" i="2" s="1"/>
  <c r="G481" i="2"/>
  <c r="G75" i="2"/>
  <c r="G28" i="2"/>
  <c r="G27" i="2" s="1"/>
  <c r="G168" i="2"/>
  <c r="G195" i="2"/>
  <c r="G194" i="2" s="1"/>
  <c r="G404" i="2"/>
  <c r="G403" i="2" s="1"/>
  <c r="G494" i="2"/>
  <c r="G58" i="2"/>
  <c r="G57" i="2" s="1"/>
  <c r="G287" i="2"/>
  <c r="G286" i="2" s="1"/>
  <c r="G339" i="2"/>
  <c r="G335" i="2" s="1"/>
  <c r="G394" i="2"/>
  <c r="G525" i="2"/>
  <c r="G524" i="2" s="1"/>
  <c r="G295" i="2"/>
  <c r="I376" i="1" l="1"/>
  <c r="I369" i="1" s="1"/>
  <c r="I368" i="1" s="1"/>
  <c r="I367" i="1" s="1"/>
  <c r="I295" i="1" s="1"/>
  <c r="I63" i="1"/>
  <c r="I62" i="1" s="1"/>
  <c r="I61" i="1" s="1"/>
  <c r="I12" i="1" s="1"/>
  <c r="G532" i="2"/>
  <c r="I636" i="1"/>
  <c r="I629" i="1" s="1"/>
  <c r="I628" i="1" s="1"/>
  <c r="J493" i="2"/>
  <c r="I677" i="1"/>
  <c r="I676" i="1" s="1"/>
  <c r="I675" i="1" s="1"/>
  <c r="I674" i="1" s="1"/>
  <c r="J532" i="2"/>
  <c r="I758" i="1"/>
  <c r="I721" i="1" s="1"/>
  <c r="J219" i="2"/>
  <c r="J218" i="2" s="1"/>
  <c r="I467" i="1"/>
  <c r="J327" i="2"/>
  <c r="J308" i="2"/>
  <c r="J355" i="2"/>
  <c r="J354" i="2" s="1"/>
  <c r="I855" i="1"/>
  <c r="I854" i="1" s="1"/>
  <c r="J167" i="2"/>
  <c r="J74" i="2"/>
  <c r="J56" i="2" s="1"/>
  <c r="J11" i="2"/>
  <c r="I565" i="1"/>
  <c r="I564" i="1" s="1"/>
  <c r="I563" i="1" s="1"/>
  <c r="I562" i="1" s="1"/>
  <c r="I535" i="1" s="1"/>
  <c r="I148" i="1"/>
  <c r="I147" i="1" s="1"/>
  <c r="I146" i="1" s="1"/>
  <c r="I116" i="1" s="1"/>
  <c r="I257" i="1"/>
  <c r="I256" i="1" s="1"/>
  <c r="I171" i="1" s="1"/>
  <c r="G355" i="2"/>
  <c r="G354" i="2" s="1"/>
  <c r="G308" i="2"/>
  <c r="G493" i="2"/>
  <c r="G11" i="2"/>
  <c r="G219" i="2"/>
  <c r="G218" i="2" s="1"/>
  <c r="G74" i="2"/>
  <c r="G56" i="2" s="1"/>
  <c r="G167" i="2"/>
  <c r="G294" i="2"/>
  <c r="G327" i="2"/>
  <c r="I526" i="1" l="1"/>
  <c r="J10" i="2"/>
  <c r="J600" i="2" s="1"/>
  <c r="E26" i="9" s="1"/>
  <c r="E28" i="9" s="1"/>
  <c r="I11" i="1"/>
  <c r="G10" i="2"/>
  <c r="G600" i="2" s="1"/>
  <c r="I883" i="1" l="1"/>
  <c r="I885" i="1" s="1"/>
  <c r="F363" i="1" l="1"/>
  <c r="F881" i="1" l="1"/>
  <c r="F880" i="1"/>
  <c r="F879" i="1" s="1"/>
  <c r="F877" i="1"/>
  <c r="F875" i="1"/>
  <c r="F872" i="1"/>
  <c r="F868" i="1"/>
  <c r="F867" i="1" s="1"/>
  <c r="F866" i="1" s="1"/>
  <c r="F865" i="1" s="1"/>
  <c r="F864" i="1" s="1"/>
  <c r="F861" i="1"/>
  <c r="F860" i="1" s="1"/>
  <c r="F859" i="1" s="1"/>
  <c r="F852" i="1"/>
  <c r="F851" i="1" s="1"/>
  <c r="F848" i="1"/>
  <c r="F846" i="1"/>
  <c r="F839" i="1"/>
  <c r="F838" i="1" s="1"/>
  <c r="F837" i="1" s="1"/>
  <c r="F836" i="1" s="1"/>
  <c r="F835" i="1" s="1"/>
  <c r="F834" i="1" s="1"/>
  <c r="F831" i="1"/>
  <c r="F830" i="1" s="1"/>
  <c r="F829" i="1" s="1"/>
  <c r="F828" i="1" s="1"/>
  <c r="F827" i="1" s="1"/>
  <c r="F826" i="1" s="1"/>
  <c r="F825" i="1" s="1"/>
  <c r="F823" i="1"/>
  <c r="F822" i="1" s="1"/>
  <c r="F820" i="1"/>
  <c r="F819" i="1" s="1"/>
  <c r="F817" i="1"/>
  <c r="F814" i="1"/>
  <c r="F812" i="1"/>
  <c r="F806" i="1"/>
  <c r="F805" i="1" s="1"/>
  <c r="F804" i="1" s="1"/>
  <c r="F803" i="1" s="1"/>
  <c r="F794" i="1"/>
  <c r="F793" i="1" s="1"/>
  <c r="F790" i="1"/>
  <c r="F789" i="1" s="1"/>
  <c r="F786" i="1"/>
  <c r="F785" i="1" s="1"/>
  <c r="F783" i="1"/>
  <c r="F782" i="1" s="1"/>
  <c r="F780" i="1"/>
  <c r="F778" i="1"/>
  <c r="F768" i="1"/>
  <c r="F767" i="1" s="1"/>
  <c r="F766" i="1" s="1"/>
  <c r="F764" i="1"/>
  <c r="F763" i="1" s="1"/>
  <c r="F756" i="1"/>
  <c r="F755" i="1" s="1"/>
  <c r="F754" i="1" s="1"/>
  <c r="F753" i="1" s="1"/>
  <c r="F752" i="1" s="1"/>
  <c r="F751" i="1" s="1"/>
  <c r="F748" i="1"/>
  <c r="F747" i="1" s="1"/>
  <c r="F745" i="1"/>
  <c r="F739" i="1"/>
  <c r="F737" i="1"/>
  <c r="F736" i="1" s="1"/>
  <c r="F734" i="1"/>
  <c r="F733" i="1" s="1"/>
  <c r="F732" i="1" s="1"/>
  <c r="F731" i="1" s="1"/>
  <c r="F730" i="1" s="1"/>
  <c r="F729" i="1" s="1"/>
  <c r="F715" i="1"/>
  <c r="F714" i="1" s="1"/>
  <c r="F712" i="1"/>
  <c r="F711" i="1" s="1"/>
  <c r="F709" i="1"/>
  <c r="F702" i="1"/>
  <c r="F701" i="1" s="1"/>
  <c r="F700" i="1" s="1"/>
  <c r="F699" i="1" s="1"/>
  <c r="F698" i="1" s="1"/>
  <c r="F697" i="1" s="1"/>
  <c r="F694" i="1"/>
  <c r="F692" i="1"/>
  <c r="F688" i="1"/>
  <c r="F686" i="1"/>
  <c r="F684" i="1"/>
  <c r="F680" i="1"/>
  <c r="F667" i="1"/>
  <c r="F666" i="1" s="1"/>
  <c r="F665" i="1" s="1"/>
  <c r="F663" i="1"/>
  <c r="F661" i="1"/>
  <c r="F655" i="1"/>
  <c r="F651" i="1"/>
  <c r="F647" i="1"/>
  <c r="F645" i="1"/>
  <c r="F643" i="1"/>
  <c r="F639" i="1"/>
  <c r="F633" i="1"/>
  <c r="F632" i="1" s="1"/>
  <c r="F631" i="1" s="1"/>
  <c r="F630" i="1" s="1"/>
  <c r="F625" i="1"/>
  <c r="F624" i="1" s="1"/>
  <c r="F623" i="1" s="1"/>
  <c r="F622" i="1" s="1"/>
  <c r="F620" i="1"/>
  <c r="F618" i="1"/>
  <c r="F603" i="1"/>
  <c r="F598" i="1"/>
  <c r="F597" i="1" s="1"/>
  <c r="F593" i="1"/>
  <c r="F592" i="1" s="1"/>
  <c r="F591" i="1" s="1"/>
  <c r="F589" i="1"/>
  <c r="F587" i="1"/>
  <c r="F585" i="1"/>
  <c r="F582" i="1"/>
  <c r="F580" i="1"/>
  <c r="F578" i="1"/>
  <c r="F576" i="1"/>
  <c r="F572" i="1"/>
  <c r="F571" i="1"/>
  <c r="F569" i="1"/>
  <c r="F567" i="1"/>
  <c r="F558" i="1"/>
  <c r="F554" i="1"/>
  <c r="F553" i="1" s="1"/>
  <c r="F552" i="1" s="1"/>
  <c r="F549" i="1"/>
  <c r="F548" i="1" s="1"/>
  <c r="F546" i="1"/>
  <c r="F543" i="1"/>
  <c r="F524" i="1"/>
  <c r="F523" i="1" s="1"/>
  <c r="F522" i="1" s="1"/>
  <c r="F521" i="1" s="1"/>
  <c r="F520" i="1" s="1"/>
  <c r="F519" i="1" s="1"/>
  <c r="F517" i="1"/>
  <c r="F516" i="1" s="1"/>
  <c r="F515" i="1" s="1"/>
  <c r="F514" i="1" s="1"/>
  <c r="F513" i="1" s="1"/>
  <c r="F511" i="1"/>
  <c r="F510" i="1" s="1"/>
  <c r="F506" i="1"/>
  <c r="F505" i="1" s="1"/>
  <c r="F503" i="1"/>
  <c r="F497" i="1"/>
  <c r="F495" i="1"/>
  <c r="F493" i="1"/>
  <c r="F489" i="1"/>
  <c r="F488" i="1" s="1"/>
  <c r="F487" i="1" s="1"/>
  <c r="F483" i="1"/>
  <c r="F482" i="1" s="1"/>
  <c r="F481" i="1" s="1"/>
  <c r="F479" i="1"/>
  <c r="F478" i="1" s="1"/>
  <c r="F473" i="1"/>
  <c r="F472" i="1" s="1"/>
  <c r="F471" i="1" s="1"/>
  <c r="F470" i="1" s="1"/>
  <c r="F469" i="1" s="1"/>
  <c r="F468" i="1" s="1"/>
  <c r="F464" i="1"/>
  <c r="F463" i="1" s="1"/>
  <c r="F459" i="1"/>
  <c r="F458" i="1" s="1"/>
  <c r="F457" i="1" s="1"/>
  <c r="F440" i="1"/>
  <c r="F439" i="1" s="1"/>
  <c r="F438" i="1" s="1"/>
  <c r="F437" i="1" s="1"/>
  <c r="F434" i="1"/>
  <c r="F433" i="1"/>
  <c r="F432" i="1" s="1"/>
  <c r="F428" i="1"/>
  <c r="F427" i="1" s="1"/>
  <c r="F426" i="1" s="1"/>
  <c r="F423" i="1"/>
  <c r="F422" i="1" s="1"/>
  <c r="F417" i="1"/>
  <c r="F415" i="1"/>
  <c r="F413" i="1"/>
  <c r="F412" i="1"/>
  <c r="F411" i="1" s="1"/>
  <c r="F407" i="1"/>
  <c r="F406" i="1" s="1"/>
  <c r="F403" i="1"/>
  <c r="F402" i="1" s="1"/>
  <c r="F399" i="1"/>
  <c r="F397" i="1" s="1"/>
  <c r="F394" i="1"/>
  <c r="F390" i="1"/>
  <c r="F388" i="1"/>
  <c r="F386" i="1"/>
  <c r="F383" i="1"/>
  <c r="F382" i="1" s="1"/>
  <c r="F379" i="1"/>
  <c r="F378" i="1" s="1"/>
  <c r="F372" i="1"/>
  <c r="F371" i="1"/>
  <c r="F370" i="1" s="1"/>
  <c r="F361" i="1"/>
  <c r="F357" i="1"/>
  <c r="F352" i="1"/>
  <c r="F351" i="1" s="1"/>
  <c r="F350" i="1" s="1"/>
  <c r="F348" i="1"/>
  <c r="F346" i="1"/>
  <c r="F342" i="1"/>
  <c r="F338" i="1"/>
  <c r="F336" i="1"/>
  <c r="F333" i="1"/>
  <c r="F331" i="1"/>
  <c r="F327" i="1"/>
  <c r="F326" i="1" s="1"/>
  <c r="F325" i="1" s="1"/>
  <c r="F324" i="1" s="1"/>
  <c r="F315" i="1"/>
  <c r="F314" i="1" s="1"/>
  <c r="F313" i="1" s="1"/>
  <c r="F312" i="1" s="1"/>
  <c r="F306" i="1"/>
  <c r="F304" i="1"/>
  <c r="F302" i="1"/>
  <c r="F300" i="1"/>
  <c r="F291" i="1"/>
  <c r="F290" i="1" s="1"/>
  <c r="F289" i="1" s="1"/>
  <c r="F286" i="1"/>
  <c r="F285" i="1" s="1"/>
  <c r="F283" i="1"/>
  <c r="F279" i="1"/>
  <c r="F278" i="1" s="1"/>
  <c r="F277" i="1" s="1"/>
  <c r="F275" i="1"/>
  <c r="F274" i="1" s="1"/>
  <c r="F272" i="1"/>
  <c r="F271" i="1" s="1"/>
  <c r="F267" i="1"/>
  <c r="F266" i="1" s="1"/>
  <c r="F253" i="1"/>
  <c r="F252" i="1" s="1"/>
  <c r="F251" i="1" s="1"/>
  <c r="F249" i="1"/>
  <c r="F248" i="1" s="1"/>
  <c r="F246" i="1"/>
  <c r="F245" i="1" s="1"/>
  <c r="F240" i="1"/>
  <c r="F239" i="1" s="1"/>
  <c r="F238" i="1" s="1"/>
  <c r="F236" i="1"/>
  <c r="F235" i="1" s="1"/>
  <c r="F234" i="1" s="1"/>
  <c r="F232" i="1"/>
  <c r="F231" i="1" s="1"/>
  <c r="F225" i="1"/>
  <c r="F227" i="1"/>
  <c r="F222" i="1"/>
  <c r="F221" i="1"/>
  <c r="F214" i="1"/>
  <c r="F213" i="1" s="1"/>
  <c r="F212" i="1"/>
  <c r="F211" i="1" s="1"/>
  <c r="F210" i="1" s="1"/>
  <c r="F204" i="1"/>
  <c r="F203" i="1" s="1"/>
  <c r="F202" i="1" s="1"/>
  <c r="F201" i="1" s="1"/>
  <c r="F197" i="1"/>
  <c r="F196" i="1" s="1"/>
  <c r="F195" i="1" s="1"/>
  <c r="F193" i="1"/>
  <c r="F192" i="1" s="1"/>
  <c r="F191" i="1" s="1"/>
  <c r="F190" i="1" s="1"/>
  <c r="F188" i="1"/>
  <c r="F186" i="1"/>
  <c r="F184" i="1"/>
  <c r="F182" i="1"/>
  <c r="F180" i="1"/>
  <c r="F177" i="1"/>
  <c r="F176" i="1" s="1"/>
  <c r="F169" i="1"/>
  <c r="F168" i="1" s="1"/>
  <c r="F167" i="1" s="1"/>
  <c r="F165" i="1"/>
  <c r="F163" i="1"/>
  <c r="F161" i="1"/>
  <c r="F160" i="1"/>
  <c r="F158" i="1" s="1"/>
  <c r="F153" i="1"/>
  <c r="F151" i="1"/>
  <c r="F140" i="1"/>
  <c r="F136" i="1"/>
  <c r="F134" i="1"/>
  <c r="F127" i="1"/>
  <c r="F125" i="1"/>
  <c r="F123" i="1"/>
  <c r="F121" i="1"/>
  <c r="F115" i="1"/>
  <c r="F113" i="1" s="1"/>
  <c r="F112" i="1" s="1"/>
  <c r="F111" i="1" s="1"/>
  <c r="F110" i="1" s="1"/>
  <c r="F109" i="1" s="1"/>
  <c r="F108" i="1" s="1"/>
  <c r="F107" i="1" s="1"/>
  <c r="F105" i="1"/>
  <c r="F101" i="1"/>
  <c r="F99" i="1"/>
  <c r="F95" i="1"/>
  <c r="F91" i="1"/>
  <c r="F88" i="1" s="1"/>
  <c r="F84" i="1"/>
  <c r="F83" i="1" s="1"/>
  <c r="F82" i="1" s="1"/>
  <c r="F81" i="1" s="1"/>
  <c r="F79" i="1"/>
  <c r="F77" i="1"/>
  <c r="F72" i="1"/>
  <c r="F71" i="1" s="1"/>
  <c r="F70" i="1" s="1"/>
  <c r="F68" i="1"/>
  <c r="F66" i="1"/>
  <c r="F59" i="1"/>
  <c r="F58" i="1" s="1"/>
  <c r="F57" i="1" s="1"/>
  <c r="F56" i="1" s="1"/>
  <c r="F55" i="1" s="1"/>
  <c r="F54" i="1" s="1"/>
  <c r="F50" i="1"/>
  <c r="F45" i="1"/>
  <c r="F44" i="1" s="1"/>
  <c r="F43" i="1" s="1"/>
  <c r="F41" i="1"/>
  <c r="F38" i="1"/>
  <c r="F36" i="1"/>
  <c r="F33" i="1"/>
  <c r="F30" i="1"/>
  <c r="F25" i="1"/>
  <c r="F24" i="1" s="1"/>
  <c r="F23" i="1" s="1"/>
  <c r="F18" i="1"/>
  <c r="F17" i="1" s="1"/>
  <c r="F16" i="1" s="1"/>
  <c r="F15" i="1" s="1"/>
  <c r="F14" i="1" s="1"/>
  <c r="F13" i="1" s="1"/>
  <c r="D598" i="2"/>
  <c r="D596" i="2"/>
  <c r="D594" i="2"/>
  <c r="D590" i="2"/>
  <c r="D589" i="2" s="1"/>
  <c r="D587" i="2"/>
  <c r="D586" i="2"/>
  <c r="D585" i="2" s="1"/>
  <c r="D579" i="2"/>
  <c r="D577" i="2"/>
  <c r="D565" i="2"/>
  <c r="D562" i="2"/>
  <c r="D558" i="2"/>
  <c r="D556" i="2"/>
  <c r="D555" i="2"/>
  <c r="D554" i="2" s="1"/>
  <c r="D552" i="2"/>
  <c r="D550" i="2"/>
  <c r="D543" i="2"/>
  <c r="D536" i="2"/>
  <c r="D534" i="2"/>
  <c r="D529" i="2"/>
  <c r="D528" i="2" s="1"/>
  <c r="D526" i="2"/>
  <c r="D522" i="2"/>
  <c r="D520" i="2"/>
  <c r="D518" i="2"/>
  <c r="D514" i="2"/>
  <c r="D513" i="2" s="1"/>
  <c r="D511" i="2"/>
  <c r="D507" i="2"/>
  <c r="D505" i="2"/>
  <c r="D501" i="2"/>
  <c r="D499" i="2"/>
  <c r="D497" i="2"/>
  <c r="D495" i="2"/>
  <c r="D490" i="2"/>
  <c r="D489" i="2" s="1"/>
  <c r="D488" i="2" s="1"/>
  <c r="D484" i="2"/>
  <c r="D483" i="2" s="1"/>
  <c r="D482" i="2" s="1"/>
  <c r="D478" i="2"/>
  <c r="D477" i="2" s="1"/>
  <c r="D476" i="2" s="1"/>
  <c r="D474" i="2"/>
  <c r="D473" i="2" s="1"/>
  <c r="D471" i="2"/>
  <c r="D470" i="2" s="1"/>
  <c r="D467" i="2"/>
  <c r="D466" i="2" s="1"/>
  <c r="D465" i="2" s="1"/>
  <c r="D461" i="2"/>
  <c r="D460" i="2" s="1"/>
  <c r="D459" i="2" s="1"/>
  <c r="D455" i="2"/>
  <c r="D454" i="2" s="1"/>
  <c r="D453" i="2" s="1"/>
  <c r="D451" i="2"/>
  <c r="D450" i="2" s="1"/>
  <c r="D444" i="2"/>
  <c r="D441" i="2"/>
  <c r="D440" i="2" s="1"/>
  <c r="D433" i="2"/>
  <c r="D432" i="2" s="1"/>
  <c r="D431" i="2"/>
  <c r="D430" i="2" s="1"/>
  <c r="D429" i="2" s="1"/>
  <c r="D424" i="2"/>
  <c r="D423" i="2" s="1"/>
  <c r="D422" i="2" s="1"/>
  <c r="D420" i="2"/>
  <c r="D418" i="2"/>
  <c r="D416" i="2"/>
  <c r="D412" i="2"/>
  <c r="D410" i="2"/>
  <c r="D407" i="2"/>
  <c r="D405" i="2"/>
  <c r="D400" i="2"/>
  <c r="D399" i="2" s="1"/>
  <c r="D396" i="2"/>
  <c r="D395" i="2" s="1"/>
  <c r="D392" i="2"/>
  <c r="D391" i="2" s="1"/>
  <c r="D389" i="2"/>
  <c r="D388" i="2" s="1"/>
  <c r="D386" i="2"/>
  <c r="D384" i="2"/>
  <c r="D383" i="2" s="1"/>
  <c r="D381" i="2"/>
  <c r="D379" i="2"/>
  <c r="D378" i="2"/>
  <c r="D377" i="2" s="1"/>
  <c r="D374" i="2"/>
  <c r="D373" i="2"/>
  <c r="D371" i="2" s="1"/>
  <c r="D369" i="2"/>
  <c r="D367" i="2"/>
  <c r="D365" i="2"/>
  <c r="D362" i="2"/>
  <c r="D361" i="2" s="1"/>
  <c r="D358" i="2"/>
  <c r="D357" i="2" s="1"/>
  <c r="D352" i="2"/>
  <c r="D351" i="2" s="1"/>
  <c r="D350" i="2" s="1"/>
  <c r="D348" i="2"/>
  <c r="D346" i="2"/>
  <c r="D344" i="2"/>
  <c r="D342" i="2"/>
  <c r="D340" i="2"/>
  <c r="D337" i="2"/>
  <c r="D336" i="2" s="1"/>
  <c r="D333" i="2"/>
  <c r="D332" i="2" s="1"/>
  <c r="D330" i="2"/>
  <c r="D329" i="2" s="1"/>
  <c r="D325" i="2"/>
  <c r="D323" i="2"/>
  <c r="D320" i="2"/>
  <c r="D318" i="2" s="1"/>
  <c r="D317" i="2" s="1"/>
  <c r="D313" i="2"/>
  <c r="D311" i="2"/>
  <c r="D306" i="2"/>
  <c r="D303" i="2"/>
  <c r="D302" i="2" s="1"/>
  <c r="D299" i="2"/>
  <c r="D298" i="2" s="1"/>
  <c r="D296" i="2"/>
  <c r="D291" i="2"/>
  <c r="D290" i="2" s="1"/>
  <c r="D288" i="2"/>
  <c r="D279" i="2"/>
  <c r="D278" i="2" s="1"/>
  <c r="D277" i="2" s="1"/>
  <c r="D274" i="2"/>
  <c r="D273" i="2" s="1"/>
  <c r="D272" i="2" s="1"/>
  <c r="D268" i="2"/>
  <c r="D267" i="2" s="1"/>
  <c r="D264" i="2"/>
  <c r="D263" i="2" s="1"/>
  <c r="D260" i="2"/>
  <c r="D259" i="2" s="1"/>
  <c r="D257" i="2"/>
  <c r="D256" i="2" s="1"/>
  <c r="D254" i="2"/>
  <c r="D252" i="2"/>
  <c r="D249" i="2"/>
  <c r="D248" i="2" s="1"/>
  <c r="D243" i="2"/>
  <c r="D240" i="2"/>
  <c r="D238" i="2"/>
  <c r="D235" i="2"/>
  <c r="D234" i="2" s="1"/>
  <c r="D232" i="2"/>
  <c r="D231" i="2" s="1"/>
  <c r="D226" i="2"/>
  <c r="D225" i="2"/>
  <c r="D224" i="2" s="1"/>
  <c r="D221" i="2"/>
  <c r="D220" i="2" s="1"/>
  <c r="D216" i="2"/>
  <c r="D215" i="2" s="1"/>
  <c r="D210" i="2"/>
  <c r="D209" i="2" s="1"/>
  <c r="D207" i="2"/>
  <c r="D205" i="2"/>
  <c r="D202" i="2"/>
  <c r="D200" i="2"/>
  <c r="D189" i="2"/>
  <c r="D188" i="2" s="1"/>
  <c r="D187" i="2" s="1"/>
  <c r="D184" i="2"/>
  <c r="D182" i="2"/>
  <c r="D180" i="2"/>
  <c r="D177" i="2"/>
  <c r="D176" i="2" s="1"/>
  <c r="D174" i="2"/>
  <c r="D170" i="2"/>
  <c r="D169" i="2" s="1"/>
  <c r="D165" i="2"/>
  <c r="D164" i="2" s="1"/>
  <c r="D163" i="2" s="1"/>
  <c r="D156" i="2"/>
  <c r="D155" i="2" s="1"/>
  <c r="D153" i="2"/>
  <c r="D142" i="2"/>
  <c r="D138" i="2" s="1"/>
  <c r="D141" i="2"/>
  <c r="D136" i="2"/>
  <c r="D134" i="2"/>
  <c r="D128" i="2"/>
  <c r="D126" i="2"/>
  <c r="D124" i="2"/>
  <c r="D120" i="2"/>
  <c r="D118" i="2"/>
  <c r="D116" i="2"/>
  <c r="D112" i="2"/>
  <c r="D110" i="2"/>
  <c r="D108" i="2"/>
  <c r="D104" i="2"/>
  <c r="D102" i="2"/>
  <c r="D100" i="2"/>
  <c r="D97" i="2"/>
  <c r="D95" i="2"/>
  <c r="D93" i="2"/>
  <c r="D91" i="2"/>
  <c r="D89" i="2"/>
  <c r="D87" i="2"/>
  <c r="D85" i="2"/>
  <c r="D81" i="2"/>
  <c r="D80" i="2" s="1"/>
  <c r="D78" i="2"/>
  <c r="D76" i="2"/>
  <c r="D71" i="2"/>
  <c r="D70" i="2" s="1"/>
  <c r="D68" i="2"/>
  <c r="D66" i="2"/>
  <c r="D64" i="2"/>
  <c r="D61" i="2"/>
  <c r="D59" i="2"/>
  <c r="D54" i="2"/>
  <c r="D52" i="2"/>
  <c r="D49" i="2"/>
  <c r="D47" i="2" s="1"/>
  <c r="D44" i="2"/>
  <c r="D42" i="2"/>
  <c r="D40" i="2"/>
  <c r="D37" i="2"/>
  <c r="D35" i="2"/>
  <c r="D32" i="2"/>
  <c r="D29" i="2"/>
  <c r="D25" i="2"/>
  <c r="D22" i="2"/>
  <c r="D20" i="2"/>
  <c r="D16" i="2"/>
  <c r="D14" i="2"/>
  <c r="D404" i="2" l="1"/>
  <c r="F330" i="1"/>
  <c r="D195" i="2"/>
  <c r="F540" i="1"/>
  <c r="F539" i="1" s="1"/>
  <c r="D439" i="2"/>
  <c r="D428" i="2" s="1"/>
  <c r="D146" i="2"/>
  <c r="D145" i="2" s="1"/>
  <c r="D194" i="2"/>
  <c r="F356" i="1"/>
  <c r="F355" i="1" s="1"/>
  <c r="F220" i="1"/>
  <c r="F209" i="1" s="1"/>
  <c r="F87" i="1"/>
  <c r="F596" i="1"/>
  <c r="F595" i="1" s="1"/>
  <c r="F157" i="1"/>
  <c r="F156" i="1" s="1"/>
  <c r="F155" i="1" s="1"/>
  <c r="D533" i="2"/>
  <c r="F270" i="1"/>
  <c r="F269" i="1" s="1"/>
  <c r="F49" i="1"/>
  <c r="F48" i="1" s="1"/>
  <c r="F871" i="1"/>
  <c r="F870" i="1" s="1"/>
  <c r="F869" i="1" s="1"/>
  <c r="D301" i="2"/>
  <c r="D223" i="2"/>
  <c r="F566" i="1"/>
  <c r="D237" i="2"/>
  <c r="D310" i="2"/>
  <c r="D309" i="2" s="1"/>
  <c r="D504" i="2"/>
  <c r="D13" i="2"/>
  <c r="D12" i="2" s="1"/>
  <c r="D295" i="2"/>
  <c r="D168" i="2"/>
  <c r="D133" i="2"/>
  <c r="D132" i="2" s="1"/>
  <c r="D481" i="2"/>
  <c r="D51" i="2"/>
  <c r="D50" i="2" s="1"/>
  <c r="D403" i="2"/>
  <c r="D19" i="2"/>
  <c r="D18" i="2" s="1"/>
  <c r="D28" i="2"/>
  <c r="D27" i="2" s="1"/>
  <c r="F777" i="1"/>
  <c r="D328" i="2"/>
  <c r="D316" i="2"/>
  <c r="D315" i="2" s="1"/>
  <c r="F502" i="1"/>
  <c r="F501" i="1" s="1"/>
  <c r="F500" i="1" s="1"/>
  <c r="F499" i="1" s="1"/>
  <c r="F660" i="1"/>
  <c r="F659" i="1" s="1"/>
  <c r="D75" i="2"/>
  <c r="D99" i="2"/>
  <c r="D517" i="2"/>
  <c r="D516" i="2" s="1"/>
  <c r="D287" i="2"/>
  <c r="D286" i="2" s="1"/>
  <c r="D525" i="2"/>
  <c r="D524" i="2" s="1"/>
  <c r="D107" i="2"/>
  <c r="D106" i="2" s="1"/>
  <c r="D251" i="2"/>
  <c r="D356" i="2"/>
  <c r="F683" i="1"/>
  <c r="F682" i="1" s="1"/>
  <c r="D179" i="2"/>
  <c r="F584" i="1"/>
  <c r="D494" i="2"/>
  <c r="D123" i="2"/>
  <c r="D122" i="2" s="1"/>
  <c r="D339" i="2"/>
  <c r="D335" i="2" s="1"/>
  <c r="D469" i="2"/>
  <c r="F575" i="1"/>
  <c r="F811" i="1"/>
  <c r="F462" i="1"/>
  <c r="F456" i="1" s="1"/>
  <c r="F455" i="1" s="1"/>
  <c r="F454" i="1" s="1"/>
  <c r="F453" i="1" s="1"/>
  <c r="F452" i="1" s="1"/>
  <c r="F451" i="1" s="1"/>
  <c r="F65" i="1"/>
  <c r="F64" i="1" s="1"/>
  <c r="F299" i="1"/>
  <c r="F298" i="1" s="1"/>
  <c r="F297" i="1" s="1"/>
  <c r="F296" i="1" s="1"/>
  <c r="F179" i="1"/>
  <c r="F175" i="1" s="1"/>
  <c r="F174" i="1" s="1"/>
  <c r="F173" i="1" s="1"/>
  <c r="F172" i="1" s="1"/>
  <c r="F329" i="1"/>
  <c r="F323" i="1" s="1"/>
  <c r="F322" i="1" s="1"/>
  <c r="F410" i="1"/>
  <c r="F617" i="1"/>
  <c r="F616" i="1" s="1"/>
  <c r="F615" i="1" s="1"/>
  <c r="F614" i="1" s="1"/>
  <c r="F613" i="1" s="1"/>
  <c r="F845" i="1"/>
  <c r="F844" i="1" s="1"/>
  <c r="F843" i="1" s="1"/>
  <c r="F842" i="1" s="1"/>
  <c r="F841" i="1" s="1"/>
  <c r="F816" i="1"/>
  <c r="F76" i="1"/>
  <c r="F75" i="1" s="1"/>
  <c r="F133" i="1"/>
  <c r="F132" i="1" s="1"/>
  <c r="F131" i="1" s="1"/>
  <c r="F130" i="1" s="1"/>
  <c r="F150" i="1"/>
  <c r="F149" i="1" s="1"/>
  <c r="F638" i="1"/>
  <c r="F637" i="1" s="1"/>
  <c r="F691" i="1"/>
  <c r="F690" i="1" s="1"/>
  <c r="F708" i="1"/>
  <c r="F707" i="1" s="1"/>
  <c r="F706" i="1" s="1"/>
  <c r="F705" i="1" s="1"/>
  <c r="F704" i="1" s="1"/>
  <c r="F557" i="1"/>
  <c r="F556" i="1" s="1"/>
  <c r="F120" i="1"/>
  <c r="F119" i="1" s="1"/>
  <c r="F118" i="1" s="1"/>
  <c r="F117" i="1" s="1"/>
  <c r="F29" i="1"/>
  <c r="F28" i="1" s="1"/>
  <c r="F22" i="1" s="1"/>
  <c r="F21" i="1" s="1"/>
  <c r="F425" i="1"/>
  <c r="F477" i="1"/>
  <c r="F492" i="1"/>
  <c r="F491" i="1" s="1"/>
  <c r="D84" i="2"/>
  <c r="D58" i="2"/>
  <c r="D57" i="2" s="1"/>
  <c r="F679" i="1"/>
  <c r="F678" i="1" s="1"/>
  <c r="F258" i="1"/>
  <c r="F857" i="1"/>
  <c r="F856" i="1" s="1"/>
  <c r="F858" i="1"/>
  <c r="F744" i="1"/>
  <c r="F743" i="1" s="1"/>
  <c r="F742" i="1" s="1"/>
  <c r="F741" i="1" s="1"/>
  <c r="F740" i="1" s="1"/>
  <c r="F728" i="1" s="1"/>
  <c r="F200" i="1"/>
  <c r="F199" i="1"/>
  <c r="F244" i="1"/>
  <c r="F282" i="1"/>
  <c r="F281" i="1" s="1"/>
  <c r="F377" i="1"/>
  <c r="F401" i="1"/>
  <c r="D271" i="2"/>
  <c r="D376" i="2"/>
  <c r="D394" i="2"/>
  <c r="L412" i="1"/>
  <c r="L776" i="1"/>
  <c r="F775" i="1"/>
  <c r="F774" i="1" s="1"/>
  <c r="L768" i="1"/>
  <c r="L765" i="1"/>
  <c r="L115" i="1"/>
  <c r="F538" i="1" l="1"/>
  <c r="F537" i="1" s="1"/>
  <c r="F536" i="1" s="1"/>
  <c r="D308" i="2"/>
  <c r="F855" i="1"/>
  <c r="F854" i="1" s="1"/>
  <c r="F762" i="1"/>
  <c r="F761" i="1" s="1"/>
  <c r="F760" i="1" s="1"/>
  <c r="F759" i="1" s="1"/>
  <c r="D493" i="2"/>
  <c r="F810" i="1"/>
  <c r="F809" i="1" s="1"/>
  <c r="F802" i="1" s="1"/>
  <c r="F801" i="1" s="1"/>
  <c r="D11" i="2"/>
  <c r="D294" i="2"/>
  <c r="F148" i="1"/>
  <c r="F147" i="1" s="1"/>
  <c r="F146" i="1" s="1"/>
  <c r="F116" i="1" s="1"/>
  <c r="F20" i="1"/>
  <c r="F208" i="1"/>
  <c r="F207" i="1" s="1"/>
  <c r="F206" i="1" s="1"/>
  <c r="D427" i="2"/>
  <c r="F565" i="1"/>
  <c r="F564" i="1" s="1"/>
  <c r="F563" i="1" s="1"/>
  <c r="F562" i="1" s="1"/>
  <c r="D167" i="2"/>
  <c r="D327" i="2"/>
  <c r="F677" i="1"/>
  <c r="F676" i="1" s="1"/>
  <c r="F675" i="1" s="1"/>
  <c r="F674" i="1" s="1"/>
  <c r="D74" i="2"/>
  <c r="D56" i="2" s="1"/>
  <c r="F321" i="1"/>
  <c r="F476" i="1"/>
  <c r="F475" i="1" s="1"/>
  <c r="F467" i="1" s="1"/>
  <c r="F63" i="1"/>
  <c r="F62" i="1" s="1"/>
  <c r="F61" i="1" s="1"/>
  <c r="D355" i="2"/>
  <c r="D354" i="2" s="1"/>
  <c r="F257" i="1"/>
  <c r="F256" i="1" s="1"/>
  <c r="F376" i="1"/>
  <c r="F369" i="1" s="1"/>
  <c r="F368" i="1" s="1"/>
  <c r="F367" i="1" s="1"/>
  <c r="F171" i="1" l="1"/>
  <c r="F12" i="1"/>
  <c r="F758" i="1"/>
  <c r="F721" i="1" s="1"/>
  <c r="F295" i="1"/>
  <c r="L580" i="1"/>
  <c r="F11" i="1" l="1"/>
  <c r="L623" i="1"/>
  <c r="L622" i="1" s="1"/>
  <c r="L483" i="1"/>
  <c r="L482" i="1" s="1"/>
  <c r="L481" i="1" s="1"/>
  <c r="L823" i="1"/>
  <c r="L822" i="1" s="1"/>
  <c r="L820" i="1"/>
  <c r="L819" i="1" s="1"/>
  <c r="L439" i="1" l="1"/>
  <c r="L438" i="1" s="1"/>
  <c r="L437" i="1" s="1"/>
  <c r="L346" i="1" l="1"/>
  <c r="L348" i="1" l="1"/>
  <c r="L411" i="1"/>
  <c r="L415" i="1"/>
  <c r="L557" i="1" l="1"/>
  <c r="L556" i="1" s="1"/>
  <c r="L694" i="1"/>
  <c r="L831" i="1"/>
  <c r="L654" i="1"/>
  <c r="F653" i="1"/>
  <c r="F650" i="1" s="1"/>
  <c r="F649" i="1" s="1"/>
  <c r="F636" i="1" s="1"/>
  <c r="F629" i="1" s="1"/>
  <c r="F628" i="1" s="1"/>
  <c r="F535" i="1" l="1"/>
  <c r="F526" i="1" s="1"/>
  <c r="F883" i="1" s="1"/>
  <c r="L880" i="1"/>
  <c r="L286" i="1"/>
  <c r="L285" i="1" s="1"/>
  <c r="L497" i="1"/>
  <c r="L495" i="1"/>
  <c r="L493" i="1"/>
  <c r="L235" i="1"/>
  <c r="L234" i="1" s="1"/>
  <c r="L279" i="1"/>
  <c r="L278" i="1" s="1"/>
  <c r="L277" i="1" s="1"/>
  <c r="L188" i="1"/>
  <c r="L275" i="1"/>
  <c r="L274" i="1" s="1"/>
  <c r="L163" i="1"/>
  <c r="L160" i="1"/>
  <c r="L492" i="1" l="1"/>
  <c r="L524" i="1"/>
  <c r="L523" i="1" s="1"/>
  <c r="L522" i="1" s="1"/>
  <c r="L521" i="1" s="1"/>
  <c r="L520" i="1" s="1"/>
  <c r="L519" i="1" l="1"/>
  <c r="L479" i="1" l="1"/>
  <c r="L478" i="1" s="1"/>
  <c r="L477" i="1" s="1"/>
  <c r="L587" i="1" l="1"/>
  <c r="D547" i="2" l="1"/>
  <c r="D539" i="2" s="1"/>
  <c r="D532" i="2" l="1"/>
  <c r="L356" i="1" l="1"/>
  <c r="L214" i="1" l="1"/>
  <c r="L213" i="1" s="1"/>
  <c r="L739" i="1" l="1"/>
  <c r="L737" i="1"/>
  <c r="L736" i="1" s="1"/>
  <c r="L457" i="1" l="1"/>
  <c r="L456" i="1" s="1"/>
  <c r="L455" i="1" s="1"/>
  <c r="L454" i="1" s="1"/>
  <c r="L453" i="1" s="1"/>
  <c r="L452" i="1" s="1"/>
  <c r="L406" i="1"/>
  <c r="L402" i="1"/>
  <c r="L351" i="1"/>
  <c r="L350" i="1" s="1"/>
  <c r="L428" i="1"/>
  <c r="L427" i="1" s="1"/>
  <c r="L426" i="1" s="1"/>
  <c r="L585" i="1"/>
  <c r="L598" i="1"/>
  <c r="L597" i="1" s="1"/>
  <c r="L596" i="1" s="1"/>
  <c r="L861" i="1"/>
  <c r="L860" i="1" s="1"/>
  <c r="L859" i="1" s="1"/>
  <c r="L127" i="1"/>
  <c r="L881" i="1"/>
  <c r="L879" i="1"/>
  <c r="L877" i="1"/>
  <c r="L875" i="1"/>
  <c r="L872" i="1"/>
  <c r="L867" i="1"/>
  <c r="L866" i="1" s="1"/>
  <c r="L865" i="1" s="1"/>
  <c r="L864" i="1" s="1"/>
  <c r="L852" i="1"/>
  <c r="L851" i="1" s="1"/>
  <c r="L848" i="1"/>
  <c r="L846" i="1"/>
  <c r="L839" i="1"/>
  <c r="L838" i="1" s="1"/>
  <c r="L837" i="1" s="1"/>
  <c r="L836" i="1" s="1"/>
  <c r="L835" i="1" s="1"/>
  <c r="L834" i="1" s="1"/>
  <c r="L830" i="1"/>
  <c r="L829" i="1" s="1"/>
  <c r="L828" i="1" s="1"/>
  <c r="L827" i="1" s="1"/>
  <c r="L826" i="1" s="1"/>
  <c r="L825" i="1" s="1"/>
  <c r="L817" i="1"/>
  <c r="L816" i="1" s="1"/>
  <c r="L814" i="1"/>
  <c r="L812" i="1"/>
  <c r="L806" i="1"/>
  <c r="L805" i="1" s="1"/>
  <c r="L804" i="1" s="1"/>
  <c r="L803" i="1" s="1"/>
  <c r="L775" i="1"/>
  <c r="L774" i="1" s="1"/>
  <c r="L767" i="1"/>
  <c r="L766" i="1" s="1"/>
  <c r="L764" i="1"/>
  <c r="L763" i="1" s="1"/>
  <c r="L756" i="1"/>
  <c r="L755" i="1" s="1"/>
  <c r="L754" i="1" s="1"/>
  <c r="L753" i="1" s="1"/>
  <c r="L752" i="1" s="1"/>
  <c r="L751" i="1" s="1"/>
  <c r="L748" i="1"/>
  <c r="L747" i="1" s="1"/>
  <c r="L745" i="1"/>
  <c r="L734" i="1"/>
  <c r="L733" i="1" s="1"/>
  <c r="L732" i="1" s="1"/>
  <c r="L731" i="1" s="1"/>
  <c r="L730" i="1" s="1"/>
  <c r="L729" i="1" s="1"/>
  <c r="L715" i="1"/>
  <c r="L714" i="1"/>
  <c r="L712" i="1"/>
  <c r="L711" i="1" s="1"/>
  <c r="L709" i="1"/>
  <c r="L702" i="1"/>
  <c r="L701" i="1" s="1"/>
  <c r="L700" i="1" s="1"/>
  <c r="L699" i="1" s="1"/>
  <c r="L698" i="1" s="1"/>
  <c r="L697" i="1" s="1"/>
  <c r="L692" i="1"/>
  <c r="L688" i="1"/>
  <c r="L686" i="1"/>
  <c r="L684" i="1"/>
  <c r="L680" i="1"/>
  <c r="L679" i="1" s="1"/>
  <c r="L678" i="1" s="1"/>
  <c r="L667" i="1"/>
  <c r="L666" i="1" s="1"/>
  <c r="L665" i="1" s="1"/>
  <c r="L663" i="1"/>
  <c r="L661" i="1"/>
  <c r="L655" i="1"/>
  <c r="L653" i="1"/>
  <c r="L651" i="1"/>
  <c r="L647" i="1"/>
  <c r="L645" i="1"/>
  <c r="L643" i="1"/>
  <c r="L639" i="1"/>
  <c r="L633" i="1"/>
  <c r="L632" i="1" s="1"/>
  <c r="L631" i="1" s="1"/>
  <c r="L630" i="1" s="1"/>
  <c r="L620" i="1"/>
  <c r="L618" i="1"/>
  <c r="L593" i="1"/>
  <c r="L592" i="1" s="1"/>
  <c r="L591" i="1" s="1"/>
  <c r="L582" i="1"/>
  <c r="L589" i="1"/>
  <c r="L578" i="1"/>
  <c r="L576" i="1"/>
  <c r="L572" i="1"/>
  <c r="L571" i="1"/>
  <c r="L569" i="1"/>
  <c r="L567" i="1"/>
  <c r="L554" i="1"/>
  <c r="L553" i="1" s="1"/>
  <c r="L552" i="1" s="1"/>
  <c r="L549" i="1"/>
  <c r="L548" i="1" s="1"/>
  <c r="L546" i="1"/>
  <c r="L543" i="1"/>
  <c r="L517" i="1"/>
  <c r="L516" i="1" s="1"/>
  <c r="L515" i="1" s="1"/>
  <c r="L514" i="1" s="1"/>
  <c r="L513" i="1" s="1"/>
  <c r="L511" i="1"/>
  <c r="L510" i="1" s="1"/>
  <c r="L506" i="1"/>
  <c r="L505" i="1" s="1"/>
  <c r="L503" i="1"/>
  <c r="L491" i="1"/>
  <c r="L489" i="1"/>
  <c r="L488" i="1" s="1"/>
  <c r="L487" i="1" s="1"/>
  <c r="L473" i="1"/>
  <c r="L472" i="1" s="1"/>
  <c r="L471" i="1" s="1"/>
  <c r="L470" i="1" s="1"/>
  <c r="L469" i="1" s="1"/>
  <c r="L468" i="1" s="1"/>
  <c r="L434" i="1"/>
  <c r="L433" i="1"/>
  <c r="L432" i="1" s="1"/>
  <c r="L423" i="1"/>
  <c r="L422" i="1" s="1"/>
  <c r="L417" i="1"/>
  <c r="L413" i="1"/>
  <c r="L397" i="1"/>
  <c r="L388" i="1"/>
  <c r="L386" i="1"/>
  <c r="L372" i="1"/>
  <c r="L371" i="1"/>
  <c r="L370" i="1" s="1"/>
  <c r="L355" i="1"/>
  <c r="L336" i="1"/>
  <c r="L333" i="1"/>
  <c r="L325" i="1"/>
  <c r="L324" i="1" s="1"/>
  <c r="L315" i="1"/>
  <c r="L314" i="1" s="1"/>
  <c r="L313" i="1" s="1"/>
  <c r="L312" i="1" s="1"/>
  <c r="L306" i="1"/>
  <c r="L304" i="1"/>
  <c r="L302" i="1"/>
  <c r="L300" i="1"/>
  <c r="L291" i="1"/>
  <c r="L290" i="1" s="1"/>
  <c r="L289" i="1" s="1"/>
  <c r="L283" i="1"/>
  <c r="L272" i="1"/>
  <c r="L271" i="1" s="1"/>
  <c r="L267" i="1"/>
  <c r="L266" i="1" s="1"/>
  <c r="L260" i="1"/>
  <c r="L259" i="1" s="1"/>
  <c r="L246" i="1"/>
  <c r="L245" i="1" s="1"/>
  <c r="L244" i="1" s="1"/>
  <c r="L232" i="1"/>
  <c r="L231" i="1" s="1"/>
  <c r="L225" i="1"/>
  <c r="L227" i="1"/>
  <c r="L222" i="1"/>
  <c r="L221" i="1"/>
  <c r="L211" i="1"/>
  <c r="L210" i="1" s="1"/>
  <c r="L204" i="1"/>
  <c r="L203" i="1" s="1"/>
  <c r="L202" i="1" s="1"/>
  <c r="L201" i="1" s="1"/>
  <c r="L197" i="1"/>
  <c r="L196" i="1" s="1"/>
  <c r="L195" i="1" s="1"/>
  <c r="L193" i="1"/>
  <c r="L192" i="1" s="1"/>
  <c r="L191" i="1" s="1"/>
  <c r="L190" i="1" s="1"/>
  <c r="L186" i="1"/>
  <c r="L184" i="1"/>
  <c r="L182" i="1"/>
  <c r="L180" i="1"/>
  <c r="L177" i="1"/>
  <c r="L176" i="1" s="1"/>
  <c r="L169" i="1"/>
  <c r="L168" i="1" s="1"/>
  <c r="L167" i="1" s="1"/>
  <c r="L165" i="1"/>
  <c r="L161" i="1"/>
  <c r="L158" i="1"/>
  <c r="L153" i="1"/>
  <c r="L151" i="1"/>
  <c r="L140" i="1"/>
  <c r="L134" i="1"/>
  <c r="L125" i="1"/>
  <c r="L123" i="1"/>
  <c r="L121" i="1"/>
  <c r="L113" i="1"/>
  <c r="L112" i="1" s="1"/>
  <c r="L111" i="1" s="1"/>
  <c r="L110" i="1" s="1"/>
  <c r="L109" i="1" s="1"/>
  <c r="L108" i="1" s="1"/>
  <c r="L105" i="1"/>
  <c r="L101" i="1"/>
  <c r="L99" i="1"/>
  <c r="L96" i="1"/>
  <c r="L91" i="1"/>
  <c r="L84" i="1"/>
  <c r="L83" i="1" s="1"/>
  <c r="L82" i="1" s="1"/>
  <c r="L81" i="1" s="1"/>
  <c r="L79" i="1"/>
  <c r="L77" i="1"/>
  <c r="L72" i="1"/>
  <c r="L71" i="1" s="1"/>
  <c r="L70" i="1" s="1"/>
  <c r="L68" i="1"/>
  <c r="L66" i="1"/>
  <c r="L59" i="1"/>
  <c r="L58" i="1" s="1"/>
  <c r="L57" i="1" s="1"/>
  <c r="L56" i="1" s="1"/>
  <c r="L55" i="1" s="1"/>
  <c r="L54" i="1" s="1"/>
  <c r="L50" i="1"/>
  <c r="L49" i="1" s="1"/>
  <c r="L48" i="1" s="1"/>
  <c r="L45" i="1"/>
  <c r="L44" i="1" s="1"/>
  <c r="L43" i="1" s="1"/>
  <c r="L41" i="1"/>
  <c r="L38" i="1"/>
  <c r="L36" i="1"/>
  <c r="L33" i="1"/>
  <c r="L30" i="1"/>
  <c r="L18" i="1"/>
  <c r="L17" i="1" s="1"/>
  <c r="L16" i="1" s="1"/>
  <c r="L15" i="1" s="1"/>
  <c r="L14" i="1" s="1"/>
  <c r="L13" i="1" s="1"/>
  <c r="L540" i="1" l="1"/>
  <c r="L539" i="1" s="1"/>
  <c r="L538" i="1" s="1"/>
  <c r="L537" i="1" s="1"/>
  <c r="L536" i="1" s="1"/>
  <c r="L762" i="1"/>
  <c r="L761" i="1" s="1"/>
  <c r="L760" i="1" s="1"/>
  <c r="L759" i="1" s="1"/>
  <c r="L584" i="1"/>
  <c r="L575" i="1"/>
  <c r="L377" i="1"/>
  <c r="L638" i="1"/>
  <c r="L637" i="1" s="1"/>
  <c r="L88" i="1"/>
  <c r="L87" i="1" s="1"/>
  <c r="L410" i="1"/>
  <c r="L451" i="1"/>
  <c r="L107" i="1"/>
  <c r="L29" i="1"/>
  <c r="L28" i="1" s="1"/>
  <c r="L595" i="1"/>
  <c r="L425" i="1"/>
  <c r="L330" i="1"/>
  <c r="L329" i="1" s="1"/>
  <c r="L323" i="1" s="1"/>
  <c r="L322" i="1" s="1"/>
  <c r="L321" i="1" s="1"/>
  <c r="L401" i="1"/>
  <c r="L76" i="1"/>
  <c r="L75" i="1" s="1"/>
  <c r="L157" i="1"/>
  <c r="L156" i="1" s="1"/>
  <c r="L155" i="1" s="1"/>
  <c r="L258" i="1"/>
  <c r="L150" i="1"/>
  <c r="L149" i="1" s="1"/>
  <c r="L282" i="1"/>
  <c r="L281" i="1" s="1"/>
  <c r="L220" i="1"/>
  <c r="L209" i="1" s="1"/>
  <c r="L744" i="1"/>
  <c r="L743" i="1" s="1"/>
  <c r="L742" i="1" s="1"/>
  <c r="L741" i="1" s="1"/>
  <c r="L740" i="1" s="1"/>
  <c r="L617" i="1"/>
  <c r="L616" i="1" s="1"/>
  <c r="L615" i="1" s="1"/>
  <c r="L614" i="1" s="1"/>
  <c r="L613" i="1" s="1"/>
  <c r="L660" i="1"/>
  <c r="L659" i="1" s="1"/>
  <c r="L811" i="1"/>
  <c r="L810" i="1" s="1"/>
  <c r="L809" i="1" s="1"/>
  <c r="L802" i="1" s="1"/>
  <c r="L801" i="1" s="1"/>
  <c r="L650" i="1"/>
  <c r="L649" i="1" s="1"/>
  <c r="L136" i="1"/>
  <c r="L133" i="1" s="1"/>
  <c r="L132" i="1" s="1"/>
  <c r="L131" i="1" s="1"/>
  <c r="L130" i="1" s="1"/>
  <c r="L179" i="1"/>
  <c r="L175" i="1" s="1"/>
  <c r="L174" i="1" s="1"/>
  <c r="L173" i="1" s="1"/>
  <c r="L172" i="1" s="1"/>
  <c r="L871" i="1"/>
  <c r="L870" i="1" s="1"/>
  <c r="L869" i="1" s="1"/>
  <c r="L502" i="1"/>
  <c r="L501" i="1" s="1"/>
  <c r="L500" i="1" s="1"/>
  <c r="L499" i="1" s="1"/>
  <c r="L845" i="1"/>
  <c r="L844" i="1" s="1"/>
  <c r="L843" i="1" s="1"/>
  <c r="L566" i="1"/>
  <c r="L25" i="1"/>
  <c r="L24" i="1" s="1"/>
  <c r="L23" i="1" s="1"/>
  <c r="L683" i="1"/>
  <c r="L682" i="1" s="1"/>
  <c r="L691" i="1"/>
  <c r="L690" i="1" s="1"/>
  <c r="L65" i="1"/>
  <c r="L64" i="1" s="1"/>
  <c r="L299" i="1"/>
  <c r="L298" i="1" s="1"/>
  <c r="L297" i="1" s="1"/>
  <c r="L296" i="1" s="1"/>
  <c r="L200" i="1"/>
  <c r="L199" i="1"/>
  <c r="L858" i="1"/>
  <c r="L857" i="1"/>
  <c r="L856" i="1" s="1"/>
  <c r="L476" i="1"/>
  <c r="L475" i="1" s="1"/>
  <c r="L708" i="1"/>
  <c r="L707" i="1" s="1"/>
  <c r="L706" i="1" s="1"/>
  <c r="L705" i="1" s="1"/>
  <c r="L120" i="1"/>
  <c r="L119" i="1" s="1"/>
  <c r="L118" i="1" s="1"/>
  <c r="L117" i="1" s="1"/>
  <c r="L704" i="1" l="1"/>
  <c r="L728" i="1"/>
  <c r="L842" i="1"/>
  <c r="L841" i="1" s="1"/>
  <c r="L270" i="1"/>
  <c r="L269" i="1" s="1"/>
  <c r="L257" i="1" s="1"/>
  <c r="L256" i="1" s="1"/>
  <c r="L565" i="1"/>
  <c r="L564" i="1" s="1"/>
  <c r="L563" i="1" s="1"/>
  <c r="L562" i="1" s="1"/>
  <c r="L376" i="1"/>
  <c r="L369" i="1" s="1"/>
  <c r="L368" i="1" s="1"/>
  <c r="L367" i="1" s="1"/>
  <c r="L208" i="1"/>
  <c r="L207" i="1" s="1"/>
  <c r="L206" i="1" s="1"/>
  <c r="L63" i="1"/>
  <c r="L62" i="1" s="1"/>
  <c r="L61" i="1" s="1"/>
  <c r="L467" i="1"/>
  <c r="L636" i="1"/>
  <c r="L629" i="1" s="1"/>
  <c r="L628" i="1" s="1"/>
  <c r="L22" i="1"/>
  <c r="L21" i="1" s="1"/>
  <c r="L20" i="1" s="1"/>
  <c r="L148" i="1"/>
  <c r="L147" i="1" s="1"/>
  <c r="L146" i="1" s="1"/>
  <c r="L677" i="1"/>
  <c r="L676" i="1" s="1"/>
  <c r="L675" i="1" s="1"/>
  <c r="L674" i="1" s="1"/>
  <c r="L855" i="1"/>
  <c r="L854" i="1" s="1"/>
  <c r="L758" i="1"/>
  <c r="L721" i="1" l="1"/>
  <c r="L535" i="1"/>
  <c r="L295" i="1"/>
  <c r="L116" i="1"/>
  <c r="L171" i="1"/>
  <c r="L12" i="1"/>
  <c r="L526" i="1" l="1"/>
  <c r="L11" i="1"/>
  <c r="L883" i="1" l="1"/>
  <c r="L885" i="1" s="1"/>
  <c r="E14" i="9" l="1"/>
  <c r="E13" i="9" s="1"/>
  <c r="E12" i="9" s="1"/>
  <c r="D14" i="9"/>
  <c r="D13" i="9" s="1"/>
  <c r="D12" i="9" s="1"/>
  <c r="C14" i="9"/>
  <c r="C13" i="9" s="1"/>
  <c r="C12" i="9" s="1"/>
  <c r="D16" i="9" l="1"/>
  <c r="D11" i="9" s="1"/>
  <c r="D10" i="9" s="1"/>
  <c r="D20" i="9" s="1"/>
  <c r="E17" i="9" l="1"/>
  <c r="D18" i="9"/>
  <c r="D17" i="9"/>
  <c r="E18" i="9" l="1"/>
  <c r="E16" i="9"/>
  <c r="E11" i="9" s="1"/>
  <c r="E10" i="9" s="1"/>
  <c r="E20" i="9" s="1"/>
  <c r="D246" i="2" l="1"/>
  <c r="D245" i="2" s="1"/>
  <c r="D242" i="2" s="1"/>
  <c r="D219" i="2" l="1"/>
  <c r="D218" i="2" s="1"/>
  <c r="D10" i="2" s="1"/>
  <c r="D600" i="2" s="1"/>
  <c r="F885" i="1" s="1"/>
  <c r="C16" i="9" l="1"/>
  <c r="C18" i="9"/>
  <c r="C17" i="9" s="1"/>
  <c r="C11" i="9" s="1"/>
  <c r="C10" i="9" s="1"/>
</calcChain>
</file>

<file path=xl/sharedStrings.xml><?xml version="1.0" encoding="utf-8"?>
<sst xmlns="http://schemas.openxmlformats.org/spreadsheetml/2006/main" count="3050" uniqueCount="949">
  <si>
    <t>Итого расходов: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</si>
  <si>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</si>
  <si>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</si>
  <si>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Предоставление мер социальной поддержки педагогическим работникам образовательных муниципальных учреждений, работающим и проживающим в сельской местности и поселках городского типа (рабочих поселках), по оплате жилого помещения и коммунальных услуг (администрирование)</t>
  </si>
  <si>
    <t>92 0 00 2С170</t>
  </si>
  <si>
    <t>Реализация функций (полномочий) по ведению бухгалтерского (бюджетного), кадрового,налогового, статистического учета, планированию финансово-хозяйственной деятельности и составлению отчетности</t>
  </si>
  <si>
    <t>92 0 00 2Н028</t>
  </si>
  <si>
    <t>Предоставление  мер социальной поддержки педагогическим работникам   общеобразовательных организаций (администрирование)</t>
  </si>
  <si>
    <t>92 0 00 2Н024</t>
  </si>
  <si>
    <t>Предоставление выплаты компенсаций части родительской платы за присмотр и уход за  ребенком в образовательных организациях, реализующих образовательную программу  дошкольного образования</t>
  </si>
  <si>
    <t>92 0 00 2Н022</t>
  </si>
  <si>
    <t>Закупка товаров, работ и услуг для обеспечения  государственных (муниципальных) нужд</t>
  </si>
  <si>
    <t>200</t>
  </si>
  <si>
    <t>Обеспечение деятельности  муниципального казенного учреждения «Единый учетный центр»</t>
  </si>
  <si>
    <t>92 0 00 00210</t>
  </si>
  <si>
    <t>Мероприятия, осуществляемые органами местного самоуправления  Юсьвинского муниципального округа в рамках непрограммных направлений расходов</t>
  </si>
  <si>
    <t>92 0 00 00000</t>
  </si>
  <si>
    <t xml:space="preserve">Непрограммные мероприятия  </t>
  </si>
  <si>
    <t xml:space="preserve">90 0 00 00000 </t>
  </si>
  <si>
    <t>Другие общегосударственные расходы</t>
  </si>
  <si>
    <t>0113</t>
  </si>
  <si>
    <t>Иные бюджетные ассигнования</t>
  </si>
  <si>
    <t>800</t>
  </si>
  <si>
    <t>Резервный фонд администрации Юсьвинского муниципального округа Пермского края</t>
  </si>
  <si>
    <t>92 0 00 00777</t>
  </si>
  <si>
    <t>Резервные фонды</t>
  </si>
  <si>
    <t>0111</t>
  </si>
  <si>
    <t xml:space="preserve"> Обеспечение выполнения функций администрации Юсьвинского муниципального округа и её структурных подразделений</t>
  </si>
  <si>
    <t>01 2 10 4У070</t>
  </si>
  <si>
    <t>Основное мероприятие "Обеспечение исполнения администрацией Юсьвинского муниципального округа вопросов местного значения, предусмотренных законом РФ № 131-ФЗ"</t>
  </si>
  <si>
    <t>01 2 10 00000</t>
  </si>
  <si>
    <t xml:space="preserve">Подпрограмма "Организация деятельности по реализации вопросов местного значения Юсьвинского муниципального округа Пермского края" </t>
  </si>
  <si>
    <t>01 2 00 00000</t>
  </si>
  <si>
    <t>Муниципальная программа "Муниципальное управление в Юсьвинском муниципальном округе Пермского края"</t>
  </si>
  <si>
    <t>01 0 00 00000</t>
  </si>
  <si>
    <t>Муниципальные программы Юсьвинского муниципального округа Пермского края</t>
  </si>
  <si>
    <t>00 0 00 00000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</si>
  <si>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</si>
  <si>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</si>
  <si>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Общегосударственные вопросы</t>
  </si>
  <si>
    <t>0100</t>
  </si>
  <si>
    <t>Финансовое управление администрации Юсьвинского муниципального округа Пермского края</t>
  </si>
  <si>
    <t>Представительские расходы и иные расходы, связанные с представительской деятельностью органов местного самоуправления</t>
  </si>
  <si>
    <t>92 0 00 00260</t>
  </si>
  <si>
    <t>Мероприятия, осуществляемые органами местного самоуправления Юсьвинского муниципального округа в рамках непрограммных направлений</t>
  </si>
  <si>
    <t>Обеспечение деятельности Аппарата  Думы Юсьвинского муниципального округа Пермского края</t>
  </si>
  <si>
    <t xml:space="preserve">91 0 00 00031 </t>
  </si>
  <si>
    <t xml:space="preserve">Компенсационные выплаты депутатам Думы Юсьвинского муниципального округа Пермского края </t>
  </si>
  <si>
    <t xml:space="preserve">91 0 00 00021  </t>
  </si>
  <si>
    <t>Обеспечение деятельности органов местного самоуправления Юсьвинского муниципального округа</t>
  </si>
  <si>
    <t xml:space="preserve">91 0 00 00000 </t>
  </si>
  <si>
    <t>Непрограммные мероприятия</t>
  </si>
  <si>
    <t>90 0 00 00000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</si>
  <si>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</si>
  <si>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</si>
  <si>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Дума Юсьвинского муниципального округа Пермского края</t>
  </si>
  <si>
    <t>Предоставление субсидий бюджетным, автономным учреждениям и иным некоммерческим организациям</t>
  </si>
  <si>
    <t>600</t>
  </si>
  <si>
    <t>Муниципальная программа "Развитие культуры, искусства и молодежной политики в  Юсьвинском муниципальном округе Пермского края"</t>
  </si>
  <si>
    <t xml:space="preserve">06 0 00 00000 </t>
  </si>
  <si>
    <t xml:space="preserve">"Мы выбираем спорт!"(создание условий для развития массового спорта, пропаганды физической культуры и спорта, обеспечение возможностей для  жителей округа систематически заниматься физической культурой и массовым спортом </t>
  </si>
  <si>
    <t xml:space="preserve">07 0 10 4Ф010 </t>
  </si>
  <si>
    <t>Основное мероприятие "Обеспечение условий для развития физической культуры и массового спорта на территории Юсьвинского муниципального округа Пермского края"</t>
  </si>
  <si>
    <t>07 0 10 00000</t>
  </si>
  <si>
    <t>Муниципальная программа "Развитие физической культуры и спорта в  Юсьвинском муниципальном округе Пермского края"</t>
  </si>
  <si>
    <t>07 0 00 00000</t>
  </si>
  <si>
    <t>Физическая культура</t>
  </si>
  <si>
    <t>1101</t>
  </si>
  <si>
    <t>Физическая культура и спорт</t>
  </si>
  <si>
    <t xml:space="preserve">в том числе за счет средств местного  бюджета </t>
  </si>
  <si>
    <t>Социальное обеспечение и иные выплаты населению</t>
  </si>
  <si>
    <t>300</t>
  </si>
  <si>
    <t>Предоставление мер социальной поддержки педагогическим работникам образовательных муниципальных учреждений, работающим и проживающим в сельской местности и поселках городского типа (рабочих поселках), по оплате жилого помещения и коммунальных услуг.</t>
  </si>
  <si>
    <t>02 5 30 2С170</t>
  </si>
  <si>
    <t>Основное мероприятие "Предоставление социальных гарантий и льгот педагогическим работникам образовательных учреждений"</t>
  </si>
  <si>
    <t>02 5 30 00000</t>
  </si>
  <si>
    <t>Подпрограмма "Кадровая политика"</t>
  </si>
  <si>
    <t>02 5 00 00000</t>
  </si>
  <si>
    <t>Муниципальная программа "Развитие  образования Юсьвинского муниципального округа Пермского края"</t>
  </si>
  <si>
    <t>02 0 00 00000</t>
  </si>
  <si>
    <t>Социальное обеспечение населения</t>
  </si>
  <si>
    <t>Социальная политика</t>
  </si>
  <si>
    <t>Обеспечение кадровой политики в сфере культуры и искусства</t>
  </si>
  <si>
    <t xml:space="preserve">06 1 60 4К060 </t>
  </si>
  <si>
    <t>Основное мероприятие "Кадровая политика"</t>
  </si>
  <si>
    <t>06 1 60 00000</t>
  </si>
  <si>
    <t>Проведение мероприятий, направленных на патриотическое воспитание населения, укрепление гражданского единства и межконфессионального согласия, популяризацию семейных ценностей, сохранение и развитие национальных традиций, в том числе коми-пермяцкой культуры</t>
  </si>
  <si>
    <t>06 1 50 4К030</t>
  </si>
  <si>
    <t>Проведение массовых мероприятий, конкурсов (в том числе среди детского населения), участие творческих коллективов и отдельных исполнителей (в том числе детских) в окружных, межмуниципальных, краевых, межрегиональных, всероссийских, международных смотрах, конкурсах, фестивалях</t>
  </si>
  <si>
    <t>06 1 50 4К020</t>
  </si>
  <si>
    <t>Основное мероприятие "Организация и проведение социально- значимых мероприятий в сфере искусства и культуры"</t>
  </si>
  <si>
    <t>06 1 50 00000</t>
  </si>
  <si>
    <t>Подпрограмма "Сохранение и развитие культурного потенциала Юсьвинского муниципального округа Пермского края"</t>
  </si>
  <si>
    <t xml:space="preserve">06 1 00 00000  </t>
  </si>
  <si>
    <t>Подпрограмма "Организация деятельности по реализации вопросов местного значения Юсьвинского муниципального округа и развитие муниципальной службы в Юсьвинском муниципальном округа"</t>
  </si>
  <si>
    <t>Другие вопросы в области культуры, кинематографии</t>
  </si>
  <si>
    <t>0804</t>
  </si>
  <si>
    <t>в том числе за счет местного бюджета</t>
  </si>
  <si>
    <t>Государственная поддержка отрасли культуры (оказание государственной поддержки лучшим сельским учреждениям культуры)</t>
  </si>
  <si>
    <t>Государственная поддержка отрасли культуры (оказание государственной поддержки лучшим работникам сельских учреждений культуры)</t>
  </si>
  <si>
    <t>в том числе за счет краевого бюджета</t>
  </si>
  <si>
    <t>в том числе за счет федерального бюджета</t>
  </si>
  <si>
    <t>Основное мероприятие «Развитие инфраструктуры, приведение в нормативное состояние, укрепление материально-технической базы, текущий ремонт учреждений культуры и образовательных учреждений в сфере культуры»</t>
  </si>
  <si>
    <t>06 1  70 00000</t>
  </si>
  <si>
    <t>Публичный показ музейных предметов, музейных коллекций</t>
  </si>
  <si>
    <t>06 1 30 00150</t>
  </si>
  <si>
    <t>Основное мероприятие "Сохранение, пополнение, популяризация музейного фонда и развития музеев"</t>
  </si>
  <si>
    <t>06 1 30 00000</t>
  </si>
  <si>
    <t xml:space="preserve">Комплектование книжных фондов муниципальных общедоступных  библиотек </t>
  </si>
  <si>
    <t>06 1 20 4К010</t>
  </si>
  <si>
    <t>Библиотечное, библиографическое и информационное обслуживание пользователей библиотеки</t>
  </si>
  <si>
    <t>06 1 20 00150</t>
  </si>
  <si>
    <t>Основное мероприятие "Сохранение и развитие библиотечного дела"</t>
  </si>
  <si>
    <t>06 1 20 00000</t>
  </si>
  <si>
    <t xml:space="preserve">Организация и проведение мероприятий культурно-досуговыми учреждениями </t>
  </si>
  <si>
    <t xml:space="preserve">06 1 10 00150 </t>
  </si>
  <si>
    <t>Основное мероприятие "Сохранение и развитие традиционной народной культуры, нематериального культурного наследия на территории Юсьвинского муниципального округа Пермского края"</t>
  </si>
  <si>
    <t xml:space="preserve">06 1 10 00000 </t>
  </si>
  <si>
    <t>Культура</t>
  </si>
  <si>
    <t>0801</t>
  </si>
  <si>
    <t>Культура и кинематография</t>
  </si>
  <si>
    <t>0800</t>
  </si>
  <si>
    <t>02 4 10 4Н082</t>
  </si>
  <si>
    <t>Основное мероприятие "Организация оздоровительной кампании в каникулярный период"</t>
  </si>
  <si>
    <t>02 4 10 00000</t>
  </si>
  <si>
    <t>Подпрограмма "Развитие системы отдыха, оздоровления и занятости детей"</t>
  </si>
  <si>
    <t>02 4 00 00000</t>
  </si>
  <si>
    <t>Другие вопросы в области образования</t>
  </si>
  <si>
    <t>0709</t>
  </si>
  <si>
    <t>Реализация мероприятий в сфере молодежной политики</t>
  </si>
  <si>
    <t>06 2 10 SН220</t>
  </si>
  <si>
    <t>Организация и проведение мероприятий, направленных на поддержку общественных молодежных объединений.  Проведение заседаний, круглых столов, дискуссий, семинаров, творческих конкурсов по основным направлениям в сфере государственной молодежной политики. Участие молодежи в районных, межмуниципальных, окружных, краевых, межрегиональных, всероссийских и международных конкурсах и мероприятиях</t>
  </si>
  <si>
    <t xml:space="preserve">06 2 10 4К130 </t>
  </si>
  <si>
    <t>Основное мероприятие "Организация и проведение мероприятий среди молодежи"</t>
  </si>
  <si>
    <t>06 2 10 00000</t>
  </si>
  <si>
    <t>Подпрограмма "Молодежная политика"</t>
  </si>
  <si>
    <t>06 2 00 00000</t>
  </si>
  <si>
    <t>Молодежная политика</t>
  </si>
  <si>
    <t>0707</t>
  </si>
  <si>
    <t>Реализация дополнительного образования детям в области искусства</t>
  </si>
  <si>
    <t>06 1 40 00150</t>
  </si>
  <si>
    <t>Основное мероприятие "Предоставление дополнительного образования детям в области искусства"</t>
  </si>
  <si>
    <t>06 1 40 00000</t>
  </si>
  <si>
    <t>Дополнительное образование детей</t>
  </si>
  <si>
    <t>0703</t>
  </si>
  <si>
    <t>Образование</t>
  </si>
  <si>
    <t>0700</t>
  </si>
  <si>
    <t>Отдел культуры, молодежной политики и спорта администрации Юсьвинского муниципального округа Пермского края</t>
  </si>
  <si>
    <t>за счет местного бюджета</t>
  </si>
  <si>
    <t>за счет краевого бюджета</t>
  </si>
  <si>
    <t>Капитальный ремонт объектов спортивной инфраструктуры муниципального значения</t>
  </si>
  <si>
    <t>07 0 30 SФ350</t>
  </si>
  <si>
    <t>Основное мероприятие "Капитальный ремонт объектов спортивной инфраструктуры муниципального значения"</t>
  </si>
  <si>
    <t>07 0 30 00000</t>
  </si>
  <si>
    <t>Реализация мероприятия "Умею плавать!"</t>
  </si>
  <si>
    <t>07 0 10 SФ320</t>
  </si>
  <si>
    <t>Основное мероприятие "Обеспечение условий для развития физической культуры и массового спорта на территории Юсьвинского муниципального округа"</t>
  </si>
  <si>
    <t>02 1 10 2Н022</t>
  </si>
  <si>
    <t>Основное мероприятие "Оказание услуг на получение общедоступного бесплатного начального общего, основного общего, среднего общего образования"</t>
  </si>
  <si>
    <t xml:space="preserve"> 02 1 10 00000</t>
  </si>
  <si>
    <t>Подпрограмма "Дошкольное образование"</t>
  </si>
  <si>
    <t>02 1 00 00000</t>
  </si>
  <si>
    <t>Муниципальные программы Юсьвинского муниципального округа</t>
  </si>
  <si>
    <t>Охрана семьи и детства</t>
  </si>
  <si>
    <t>Предоставление мер социальной поддержки педагогическим работникам образовательных муниципальных учреждений, работающим и проживающим в сельской местности и поселках городского типа (рабочих поселках), по оплате жилого помещения и коммунальных услуг</t>
  </si>
  <si>
    <t>Предоставление  мер социальной поддержки педагогическим работникам общеобразовательных организаций</t>
  </si>
  <si>
    <t>02 5 30 2Н024</t>
  </si>
  <si>
    <t>02 2 20 4Н020</t>
  </si>
  <si>
    <t>Обеспечение питанием обучающихся из семей, нуждающихся в мерах социальной поддержки</t>
  </si>
  <si>
    <t>02 2 20 2Н026</t>
  </si>
  <si>
    <t>Обеспечение питанием обучающихся из многодетных семей, нуждающихся в мерах социальной поддержки</t>
  </si>
  <si>
    <t>02 2 20 2Н025</t>
  </si>
  <si>
    <t>Основное мероприятие "Предоставление государственных гарантий на общедоступное и бесплатное начальное общее , основное общее, среднее (полное) образование"</t>
  </si>
  <si>
    <t>02 2 20 00000</t>
  </si>
  <si>
    <t>Подпрограмма "Общее (начальное, основное, среднее) образование"</t>
  </si>
  <si>
    <t>02 2 00 00000</t>
  </si>
  <si>
    <t>02 1 10 4Н020</t>
  </si>
  <si>
    <t>Основное мероприятие "Оказание услуг по присмотру и уходу, реализации основных общеобразовательных программ дошкольного образования"</t>
  </si>
  <si>
    <t>Проведение традиционных народных праздников, массовых мероприятий, направленных на сохранение и развитие коми-пермяцкой культуры</t>
  </si>
  <si>
    <t>02 7 10 4Н210</t>
  </si>
  <si>
    <t>Основное мероприятие "Развитие системы этнокультурного образования"</t>
  </si>
  <si>
    <t>02 7 10 00000</t>
  </si>
  <si>
    <t>Подпрограмма "Реализация государственной политики в сфере образования"</t>
  </si>
  <si>
    <t>02 7 00 00000</t>
  </si>
  <si>
    <t>Проведение и участие в семинарах, конференциях, форумах, конкурсах по обмену опытом с участием педагогических работников</t>
  </si>
  <si>
    <t>02 5 20 4Н095</t>
  </si>
  <si>
    <t>02 5 20 4Н090</t>
  </si>
  <si>
    <t>Основное мероприятие "Мероприятия, обеспечивающие кадровую политику в сфере образования"</t>
  </si>
  <si>
    <t>02 5 20 00000</t>
  </si>
  <si>
    <t>Организация оздоровления и отдыха детей за счет субвенций на выполнение отдельных государственных полномочий по организации и обеспечению отдыха детей и их оздоровления</t>
  </si>
  <si>
    <t>02 4 10 2С140</t>
  </si>
  <si>
    <t>02 4 10 4Н081</t>
  </si>
  <si>
    <t>02 3 10 4Н068</t>
  </si>
  <si>
    <t>Организация и проведение профилактических мероприятий, направленных на предупреждение опасного поведения несовершеннолетних участников дорожного движения</t>
  </si>
  <si>
    <t>02 3 10 4Н067</t>
  </si>
  <si>
    <t>Организация и проведение мероприятий для детей приоритетных категорий</t>
  </si>
  <si>
    <t>02 3 10 4Н066</t>
  </si>
  <si>
    <t>02 3 10 4Н050</t>
  </si>
  <si>
    <t>Основное мероприятие "Оказание услуг по реализации дополнительных образовательных программ"</t>
  </si>
  <si>
    <t>02 3 10 00000</t>
  </si>
  <si>
    <t>Подпрограмма "Дополнительное образование и воспитание детей"</t>
  </si>
  <si>
    <t>02 3 00 00000</t>
  </si>
  <si>
    <t>Оказание услуг в сфере дополнительного образования в рамках полномочий Юсьвинского муниципального округа Пермского края (детско-юношеская спортивная школа)</t>
  </si>
  <si>
    <t>02 3 10 00155</t>
  </si>
  <si>
    <t>Оказание услуг в сфере дополнительного образования в рамках полномочий Юсьвинского муниципального округа Пермского края (центр дополнительного образования)</t>
  </si>
  <si>
    <t>02 3 10 00150</t>
  </si>
  <si>
    <t>Муниципальная программа "Образование Юсьвинского муниципального округа Пермского края"</t>
  </si>
  <si>
    <t>Основное мероприятие "Создание безопасных условий в рамках лицензирования образовательных организаций и устранения предписаний надзорных органов"</t>
  </si>
  <si>
    <t>02  6 10 00000</t>
  </si>
  <si>
    <t>Подпрограмма "Приведение образовательных организаций в нормативное состояние"</t>
  </si>
  <si>
    <t>02 6 00 00000</t>
  </si>
  <si>
    <t>в том числе за счет средств бюджета Пермского края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</si>
  <si>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</si>
  <si>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02 2 20 L3040</t>
  </si>
  <si>
    <t>Выплата ежемесячного денежного вознаграждения за выполнение функций классного руководителя педагогическим работникам муниципальных образовательных организаций</t>
  </si>
  <si>
    <t>Организация подвоза питания для обучающихся  (воспитанников) структурных подразделений образовательных учреждений</t>
  </si>
  <si>
    <t>02 2 20 4Н040</t>
  </si>
  <si>
    <t>Обеспечение доступности качественного образования учащимся общеобразовательных учреждений из отдаленных населенных пунктов округа</t>
  </si>
  <si>
    <t>02 2 20 4Н030</t>
  </si>
  <si>
    <t>Обеспечение бесплатного проезда  обучающихся до места обучения и обратно</t>
  </si>
  <si>
    <t>02 2 20 4Н010</t>
  </si>
  <si>
    <t>Организация предоставления общедоступного и бесплатного дошкольного, начального, основного общего образования для обучающихся с ограниченными возможностями здоровья в отдельных муниципальных образовательных организациях, осуществляющих образовательную деятельность по адаптированным основным образовательным программам</t>
  </si>
  <si>
    <t>02 2 10 SH040</t>
  </si>
  <si>
    <t>Предоставление государственных гарантий на получение общедоступного бесплатного дошкольного, начального, основного, среднего общего образования, а также дополнительного образования в общеобразовательных организациях</t>
  </si>
  <si>
    <t>02 2 10 2Н021</t>
  </si>
  <si>
    <t>Оказание услуг в сфере общего образования в рамках полномочий Юсьвинского муниципального округа Пермского края</t>
  </si>
  <si>
    <t>02 2 10 00150</t>
  </si>
  <si>
    <t xml:space="preserve">02 2 10 00000 </t>
  </si>
  <si>
    <t>Общее образование</t>
  </si>
  <si>
    <t>0702</t>
  </si>
  <si>
    <t>Обеспечение бесплатного проезда обучающихся до места обучения и обратно</t>
  </si>
  <si>
    <t>02 1 10 4Н010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</si>
  <si>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учреждениях</t>
  </si>
  <si>
    <t>02 1 10 2Н021</t>
  </si>
  <si>
    <t>Оказание услуг дошкольного образования в рамках полномочий Юсьвинского муниципального округа Пермского края</t>
  </si>
  <si>
    <t>02 1 10 00150</t>
  </si>
  <si>
    <t>Дошкольное образование</t>
  </si>
  <si>
    <t>0701</t>
  </si>
  <si>
    <t>Управление образования администрации Юсьвинского муниципального округа Пермского края</t>
  </si>
  <si>
    <t>Содержание жилых помещений специализированного жилищного фонда для детей-сирот, детей, оставшихся без попечения родителей, лиц из их числа</t>
  </si>
  <si>
    <t>04 0 30 2С070</t>
  </si>
  <si>
    <t>Основное мероприятие "Обеспечение жильем детей- сирот и детей, оставшихся без попечения родителей, лиц из числа детей-сирот и детей, оставшихся без попечения родителей"</t>
  </si>
  <si>
    <t>04 0 30 00000</t>
  </si>
  <si>
    <t>Муниципальная программа "Улучшение жилищных условий граждан, проживающих в Юсьвинском муниципальном округе Пермского края"</t>
  </si>
  <si>
    <t>04 0 00 00000</t>
  </si>
  <si>
    <t>Другие вопросы в области социальной политики</t>
  </si>
  <si>
    <t>1006</t>
  </si>
  <si>
    <t>Капитальные вложения в объекты недвижимого имущества государственной (муниципальной) собственности</t>
  </si>
  <si>
    <t>400</t>
  </si>
  <si>
    <t>Строительство и приобретение жилых помещений для формирования специализированного жилищного фонда для обеспечения жилыми помещениями детей-сирот и детей, оставшихся без попечения родителей, лиц из их числа детей-сирот и детей, оставшихся без попечения родителей, по договорам найма специализированных жилых помещений</t>
  </si>
  <si>
    <t>04 0 30 2С080</t>
  </si>
  <si>
    <t>Обеспечение жильем молодых семей в рамках участия в государственной программе РФ «Обеспечение доступным и комфортным жильем и коммунальными услугами граждан Российской Федерации</t>
  </si>
  <si>
    <t>04 0 10 L4970</t>
  </si>
  <si>
    <t>04 0 10 2С020</t>
  </si>
  <si>
    <t>Основное мероприятие  "Обеспечение жильем молодых семей"</t>
  </si>
  <si>
    <t>04 0 10 00000</t>
  </si>
  <si>
    <t>Проведение капитального ремонта муниципального жилищного фонда, возмещение затрат нанимателям за капитальный ремонт</t>
  </si>
  <si>
    <t>05 0 10 4И040</t>
  </si>
  <si>
    <t>Основное мероприятие "Оптимизация состава, содержание и ремонт муниципального имущества Юсьвинского муниципального округа Пермского края"</t>
  </si>
  <si>
    <t>05 0 10 00000</t>
  </si>
  <si>
    <t>Муниципальная программа "Управление муниципальным имуществом  Юсьвинского муниципального округа Пермского края"</t>
  </si>
  <si>
    <t>05 0 00 00000</t>
  </si>
  <si>
    <t>1003</t>
  </si>
  <si>
    <t>Выплата пенсии за выслугу лет лицам, замещавшим муниципальные  должности и должности муниципальной службы</t>
  </si>
  <si>
    <t>01 2 10 70001</t>
  </si>
  <si>
    <t>Пенсионное обеспечение</t>
  </si>
  <si>
    <t>1001</t>
  </si>
  <si>
    <t>Строительство Купросского сельского дома культуры на 50 мест в с. Купрос</t>
  </si>
  <si>
    <t>06 1 00 00000</t>
  </si>
  <si>
    <t>Муниципальная программа  "Развитие культуры, искусства и молодежной политики в  Юсьвинском муниципальном округе Пермского края"</t>
  </si>
  <si>
    <t>06 0 00 00000</t>
  </si>
  <si>
    <t>Мероприятия по организации экологического воспитания и формирования экологической культуры</t>
  </si>
  <si>
    <t>10 2 30 4М037</t>
  </si>
  <si>
    <t>Основное мероприятие "Мероприятия по охране окружающей среды"</t>
  </si>
  <si>
    <t>10 2 30 00000</t>
  </si>
  <si>
    <t>Подпрограмма "Благоустройство территории  Юсьвинского муниципального округа Пермского края"</t>
  </si>
  <si>
    <t>10 2 00 00000</t>
  </si>
  <si>
    <t>Муниципальная программа "Территориальное развитие Юсьвинского муниципального округа Пермского края"</t>
  </si>
  <si>
    <t>10 0 00 00000</t>
  </si>
  <si>
    <t>Другие вопросы в области охраны окружающей среды</t>
  </si>
  <si>
    <t>0605</t>
  </si>
  <si>
    <t>Охрана окружающей среды</t>
  </si>
  <si>
    <t>0600</t>
  </si>
  <si>
    <t>12 0 30  SЖ090</t>
  </si>
  <si>
    <t xml:space="preserve">Основное мероприятие "Реализация мероприятий в рамках регионального проекта «Формирование современной городской среды» </t>
  </si>
  <si>
    <t>12 0 30  00000</t>
  </si>
  <si>
    <t>Муниципальная программа "Формирование комфортной городской среды на территории Юсьвинского муниципального округа Пермского края"</t>
  </si>
  <si>
    <t>12 0 00 00000</t>
  </si>
  <si>
    <t>Текущее содержание (ремонт) объектов благоустройства, организация освещения улиц</t>
  </si>
  <si>
    <t>10 2 50 00150</t>
  </si>
  <si>
    <t>Основное мероприятие "Прочие мероприятия в области благоустройства"</t>
  </si>
  <si>
    <t>10 2 50 00000</t>
  </si>
  <si>
    <t>Обустройство мест (площадок) накопления твердых коммунальных отходов</t>
  </si>
  <si>
    <t>10 2 30 4М038</t>
  </si>
  <si>
    <t>Ликвидация несанкционированных свалок</t>
  </si>
  <si>
    <t xml:space="preserve">10 2 30 4М035 </t>
  </si>
  <si>
    <t>за счет средств местного бюджета</t>
  </si>
  <si>
    <t>Обустройство уличного освещения в населенных пунктах Юсьвинского муниципального округа Пермского края</t>
  </si>
  <si>
    <t>10 2 20 4М091</t>
  </si>
  <si>
    <t>Обустройство тротуаров в населенных пунктах Юсьвинского муниципального округа Пермского края</t>
  </si>
  <si>
    <t>10 2 20 4М090</t>
  </si>
  <si>
    <t>за счет средств краевого бюджета</t>
  </si>
  <si>
    <t>внебюджетные источники</t>
  </si>
  <si>
    <t>Основное мероприятие "Благоустройство территории Юсьвинского муниципального округа Пермского края"</t>
  </si>
  <si>
    <t>10 2 20 00000</t>
  </si>
  <si>
    <t>за счет федерального бюджета</t>
  </si>
  <si>
    <t>Реализация мероприятий, направленных на комплексное развитие сельских территорий (Благоустройство сельских территорий)</t>
  </si>
  <si>
    <t>10 1 10 L5765</t>
  </si>
  <si>
    <t>Подпрограмма "Комплексное  развитие сельских территорий"</t>
  </si>
  <si>
    <t>10 1 00 00000</t>
  </si>
  <si>
    <t>Благоустройство</t>
  </si>
  <si>
    <t>0503</t>
  </si>
  <si>
    <t>Проектирование блочно-модульных газовых котельных</t>
  </si>
  <si>
    <t>Техническое и аварийно-диспетчерское обслуживание распределительных газопроводов</t>
  </si>
  <si>
    <t>10 3 10 4М076</t>
  </si>
  <si>
    <t>10 3 10 4М075</t>
  </si>
  <si>
    <t>Ремонт (обустройство) источников водоснабжения и систем водоснабжения</t>
  </si>
  <si>
    <t>10 3 10 4М070</t>
  </si>
  <si>
    <t>Приобретение системы водоочистки на водозаборные скважины</t>
  </si>
  <si>
    <t>10 3 10 4М042</t>
  </si>
  <si>
    <t>Основное мероприятие "Строительство, ремонт объектов коммунальной, инженерной  инфраструктуры муниципального значения, разработка проектной документации"</t>
  </si>
  <si>
    <t>10 3 10 00000</t>
  </si>
  <si>
    <t xml:space="preserve"> Подпрограмма "Развитие коммунальной инфраструктуры Юсьвинского муниципального округа Пермского края" </t>
  </si>
  <si>
    <t>10 3 00 00000</t>
  </si>
  <si>
    <t>Организация зон санитарной охраны водозаборных скважин</t>
  </si>
  <si>
    <t xml:space="preserve">10 2 30 4М036 </t>
  </si>
  <si>
    <t>Коммунальное хозяйство</t>
  </si>
  <si>
    <t>0502</t>
  </si>
  <si>
    <t>Муниципальная адресная программа "Переселение граждан и снос ветхих (аварийных) домов на территории Юсьвинского муниципального округа Пермского края"</t>
  </si>
  <si>
    <t>14 0 00 00000</t>
  </si>
  <si>
    <t xml:space="preserve"> за счет местного бюджета</t>
  </si>
  <si>
    <t xml:space="preserve"> за счет краевого бюджета</t>
  </si>
  <si>
    <t>Снос расселенных жилых домов и нежилых зданий (сооружений), расположенных на территории муниципальных образований Пермского края (софинансируемые расходы)</t>
  </si>
  <si>
    <t>05 0 10 SP250</t>
  </si>
  <si>
    <t>Содержание жилых помещений маневренного фонда Юсьвинского муниципального округа Пермского края</t>
  </si>
  <si>
    <t>05 0 10 4И060</t>
  </si>
  <si>
    <t>Оплата взносов за капитальный ремонт общего имущества в многоквартирном доме помещений, находящихся в собственности Юсьвинского муниципального округа Пермского края</t>
  </si>
  <si>
    <t>05 0 10 4И030</t>
  </si>
  <si>
    <t>Жилищное хозяйство</t>
  </si>
  <si>
    <t>0501</t>
  </si>
  <si>
    <t>Жилищно-коммунальное хозяйство</t>
  </si>
  <si>
    <t>0500</t>
  </si>
  <si>
    <t>Обеспечение деятельности МКУ "Управление дорожного хозяйства и капитального строительства"</t>
  </si>
  <si>
    <t>92 0 00 00200</t>
  </si>
  <si>
    <t xml:space="preserve">Разработка проектов межевания территории и проведение  комплексных  кадастровых работ </t>
  </si>
  <si>
    <t>15 0 10 SЦ140</t>
  </si>
  <si>
    <t>Формирование земельных участков</t>
  </si>
  <si>
    <t>15 0 10 4Г010</t>
  </si>
  <si>
    <t>Основное мероприятие «Управление земельными ресурсами»</t>
  </si>
  <si>
    <t>15 0 10 00000</t>
  </si>
  <si>
    <t>15 0 00 00000</t>
  </si>
  <si>
    <t>Проведение мероприятия, посвященного Дню российского предпринимательства</t>
  </si>
  <si>
    <t>09 1 10 4Э030</t>
  </si>
  <si>
    <t>Основное мероприятие "Создание условий для формирования комфортной деловой среды для развития и ведения бизнеса"</t>
  </si>
  <si>
    <t>09 1 10 00000</t>
  </si>
  <si>
    <t>Подпрограмма  «Развитие малого и среднего предпринимательства в Юсьвинском муниципальном округе Пермского края»</t>
  </si>
  <si>
    <t>09 1 00 00000</t>
  </si>
  <si>
    <t>Муниципальная программа "Экономическое развитие Юсьвинского муниципального округа Пермского края"</t>
  </si>
  <si>
    <t>09 0 00 00000</t>
  </si>
  <si>
    <t>Приобретение (выкуп) в муниципальную собственность объектов недвижимости</t>
  </si>
  <si>
    <t>05 0 20 4И050</t>
  </si>
  <si>
    <t>05 0 20 00000</t>
  </si>
  <si>
    <t>05 0 10 4И020</t>
  </si>
  <si>
    <t>Другие вопросы в области национальной экономики</t>
  </si>
  <si>
    <t>0412</t>
  </si>
  <si>
    <t>Замена  и (или) установка  барьерных ограждений, автобусных остановок, недостающих дорожных знаков, информационных щитов, светофоров</t>
  </si>
  <si>
    <t>Основное мероприятие "Обеспечение безопасности дорожных условий на автомобильных дорогах"</t>
  </si>
  <si>
    <t>11 3 10 00000</t>
  </si>
  <si>
    <t>Подпрограмма "Повышение безопасности  дорожного движения на автомобильных дорогах Юсьвинского муниципального округа Пермского края"</t>
  </si>
  <si>
    <t>11 3 00 00000</t>
  </si>
  <si>
    <t>Приведение в нормативное состояние искусственных дорожных сооружений</t>
  </si>
  <si>
    <t>Основное мероприятие "Реализация федерального проекта "Региональная и местная дорожная сеть"</t>
  </si>
  <si>
    <t>Выполнение работ по содержанию автомобильных дорог общего пользования и улично-дорожной сети Юсьвинского муниципального округа Пермского края</t>
  </si>
  <si>
    <t>Основное мероприятие "Содержание автомобильных дорог"</t>
  </si>
  <si>
    <t xml:space="preserve">11 1 50 00000 </t>
  </si>
  <si>
    <t>Восстановление мостов и труб (несофинансируемые)</t>
  </si>
  <si>
    <t>Ремонт автомобильных дорог (несофинансируемые из бюджета ПК)</t>
  </si>
  <si>
    <t>Ремонт автомобильных дорог (софинансируемые из бюджета ПК)</t>
  </si>
  <si>
    <t>Основное мероприятие "Ремонт муниципальных дорог и искусственных дорожных сооружений"</t>
  </si>
  <si>
    <t>11 1 40 00000</t>
  </si>
  <si>
    <t xml:space="preserve"> Основное мероприятие "Проектно-изыскательские работы"</t>
  </si>
  <si>
    <t>11 1 20 00000</t>
  </si>
  <si>
    <t>Разработка технических паспортов на автомобильные дороги Юсьвинского муниципального округа Пермского края</t>
  </si>
  <si>
    <t>11 1 10 00000</t>
  </si>
  <si>
    <t>Подпрограмма "Развитие и совершенствование автомобильных дорог Юсьвинского муниципального округа Пермского края"</t>
  </si>
  <si>
    <t>11 1 00 00000</t>
  </si>
  <si>
    <t>Муниципальная программа "Развитие транспортной системы Юсьвинского муниципального округа Пермского края"</t>
  </si>
  <si>
    <t>11 0 00 00000</t>
  </si>
  <si>
    <t>Дорожное хозяйство (дорожные фонды)</t>
  </si>
  <si>
    <t>0409</t>
  </si>
  <si>
    <t>11 2 10 4Д051</t>
  </si>
  <si>
    <t xml:space="preserve"> Основное мероприятие "Организация пассажирских перевозок на территории Юсьвинского муниципального округа Пермского края"</t>
  </si>
  <si>
    <t>11 2 10 00000</t>
  </si>
  <si>
    <t xml:space="preserve"> Подпрограмма "Развитие автомобильного транспорта Юсьвинского муниципального округа Пермского края"</t>
  </si>
  <si>
    <t>11 2 00 00000</t>
  </si>
  <si>
    <t>Транспорт</t>
  </si>
  <si>
    <t>0408</t>
  </si>
  <si>
    <t>Проведение комплекса мероприятий по уничтожению борщевика Сосновского химическими методами, механическими методами, агротехнологическими методами</t>
  </si>
  <si>
    <t>10 2 40 4Б020</t>
  </si>
  <si>
    <t>Основное мероприятие "Предотвращение распространения и уничтожение борщевика Сосновского в Юсьвинском муниципальном округе Пермского края"</t>
  </si>
  <si>
    <t>10 2 40 00000</t>
  </si>
  <si>
    <t>Проведение конкурса механизаторов</t>
  </si>
  <si>
    <t>09 2 20 4С070</t>
  </si>
  <si>
    <t>Проведение конкурса техников по искусственному осеменению  коров</t>
  </si>
  <si>
    <t>09 2 20 4С060</t>
  </si>
  <si>
    <t>Проведение отраслевых  семинаров со специалистами сельхозпредприятий</t>
  </si>
  <si>
    <t>09 2 20 4С050</t>
  </si>
  <si>
    <t>Проведение мероприятия, посвященного Дню работников сельского хозяйства и перерабатывающей промышленности</t>
  </si>
  <si>
    <t>09 2 20 4С030</t>
  </si>
  <si>
    <t>Основное мероприятие "Поддержка кадрового потенциала"</t>
  </si>
  <si>
    <t>09 2 20 00000</t>
  </si>
  <si>
    <t>Проведение  сельскохозяйственных ярмарок</t>
  </si>
  <si>
    <t>09 2 10 4С020</t>
  </si>
  <si>
    <t>Основное мероприятие "Поддержка и развитие малых форм хозяйствования"</t>
  </si>
  <si>
    <t>09 2 10 00000</t>
  </si>
  <si>
    <t>Подпрограмма  «Развитие сельского хозяйства в Юсьвинском муниципальном округе Пермского края»</t>
  </si>
  <si>
    <t>09 2 00 00000</t>
  </si>
  <si>
    <t>Сельское хозяйство и рыболовство</t>
  </si>
  <si>
    <t>0405</t>
  </si>
  <si>
    <t>Национальная экономика</t>
  </si>
  <si>
    <t>0400</t>
  </si>
  <si>
    <t>13 0 30 4Ч070</t>
  </si>
  <si>
    <t>Основное мероприятие "Оснащенность пунктов временного размещения"</t>
  </si>
  <si>
    <t>13 0 30 00000</t>
  </si>
  <si>
    <t>Муниципальная программа "Защита населения и территории Юсьвинского муниципального округа Пермского края от чрезвычайных ситуаций, обеспечение пожарной безопасности и безопасности людей на водных объектах"</t>
  </si>
  <si>
    <t>13 0 00 00000</t>
  </si>
  <si>
    <t>Размещение уличной социальной рекламы</t>
  </si>
  <si>
    <t>08 2 10 4П091</t>
  </si>
  <si>
    <t>08 2 10 4П080</t>
  </si>
  <si>
    <t>08 2 10 SП020</t>
  </si>
  <si>
    <t>Основное мероприятие "Обеспечение общественной безопасности на территории Юсьвинского муниципального округа Пермского края"</t>
  </si>
  <si>
    <t>08 2 10 00000</t>
  </si>
  <si>
    <t>Подпрограмма "Предупреждение  правонарушений, совершаемых на улице и в общественных местах"</t>
  </si>
  <si>
    <t xml:space="preserve">08 2 00 00000 </t>
  </si>
  <si>
    <t>Внедрение технических средств системы видеонаблюдения, а так же развитие и усовершенствование использования комплекса технических средств системы видеонаблюдения в общественных местах и местах массового пребывания граждан</t>
  </si>
  <si>
    <t>08 1 10 4П070</t>
  </si>
  <si>
    <t>Обучение специалистов учреждений социальной сферы и членов антитеррористических комиссий по вопросам профилактики терроризма, а также минимизации и (или) ликвидации его проявлений</t>
  </si>
  <si>
    <t>08 1 10 4П020</t>
  </si>
  <si>
    <t>08 1 10 00000</t>
  </si>
  <si>
    <t>08 1  00 00000</t>
  </si>
  <si>
    <t>Муниципальная программа "Обеспечение общественной безопасности на территории Юсьвинского муниципального округа Пермского края"</t>
  </si>
  <si>
    <t xml:space="preserve">08 0 00 00000 </t>
  </si>
  <si>
    <t>Другие вопросы в области национальной безопасности и правоохранительной деятельности</t>
  </si>
  <si>
    <t>0314</t>
  </si>
  <si>
    <t>Создание условий для организации добровольной пожарной охраны на территории ЮМО ПК</t>
  </si>
  <si>
    <t>13 0 20 00180</t>
  </si>
  <si>
    <t xml:space="preserve"> Противопожарное водоснабжение Юсьвинского муниципального округа Пермского края</t>
  </si>
  <si>
    <t>13 0 20 4Ч040</t>
  </si>
  <si>
    <t>Обеспечение первичными мерами пожарной безопасности</t>
  </si>
  <si>
    <t>13 0 20 4Ч030</t>
  </si>
  <si>
    <t>Основное мероприятие "Обеспечение  пожарной безопасности на территории Юсьвинского муниципального округа Пермского края"</t>
  </si>
  <si>
    <t>13 0 20 00000</t>
  </si>
  <si>
    <t>Обеспечение пожарной безопасности</t>
  </si>
  <si>
    <t>0310</t>
  </si>
  <si>
    <t>Обеспечение содержания  муниципального казенного учреждения «ЕДДС»</t>
  </si>
  <si>
    <t>13 0 10 00170</t>
  </si>
  <si>
    <t>13 0 10 4Ч020</t>
  </si>
  <si>
    <t xml:space="preserve">Обучение членов комиссии по ГО и РСЧС </t>
  </si>
  <si>
    <t>13 0 10 4Ч010</t>
  </si>
  <si>
    <t>Основное мероприятие "Организация системы защиты населения и территории округа от чрезвычайных ситуаций природного и техногенного характера"</t>
  </si>
  <si>
    <t>13 0 10 00000</t>
  </si>
  <si>
    <t>Муниципальная программа "Защита населения и территории Юсьвинского муниципального округа Пермского края  от чрезвычайных ситуаций, обеспечение пожарной безопасности и безопасности людей на водных объектах"</t>
  </si>
  <si>
    <t>Защита населения и территории от чрезвычайных ситуаций и стихийных бедствий природного и техногенного характера, гражданская оборона</t>
  </si>
  <si>
    <t>0309</t>
  </si>
  <si>
    <t>Национальная безопасность и правоохранительная деятельность</t>
  </si>
  <si>
    <t>0300</t>
  </si>
  <si>
    <t>01 3 10 51180</t>
  </si>
  <si>
    <t>Основное мероприятие "Обеспечение выполнения переданных государственных полномочий"</t>
  </si>
  <si>
    <t>01 3 10 00000</t>
  </si>
  <si>
    <t>Подпрограмма "Организация деятельности по осуществлению администрацией Юсьвинского муниципального округа переданных отдельных государственных полномочий"</t>
  </si>
  <si>
    <t>01 3 00 00000</t>
  </si>
  <si>
    <t>Мобилизационная и вневойсковая подготовка</t>
  </si>
  <si>
    <t>0203</t>
  </si>
  <si>
    <t>Национальная оборона</t>
  </si>
  <si>
    <t>0200</t>
  </si>
  <si>
    <t xml:space="preserve">Расходы на уплату членского взноса в Совет муниципальных образований </t>
  </si>
  <si>
    <t>92 0 00 00270</t>
  </si>
  <si>
    <t>Подготовка котельных к отопительному сезону</t>
  </si>
  <si>
    <t>92 0 00 00221</t>
  </si>
  <si>
    <t xml:space="preserve"> Обеспечение деятельности  муниципального казенного учреждения «Единый сервисный центр» </t>
  </si>
  <si>
    <t>92 0 00 00220</t>
  </si>
  <si>
    <t>Предоставление субсидий СО НКО на организацию  и проведение общественно-значимых мероприятий с людьми пожилого возраста</t>
  </si>
  <si>
    <t>01 5 10 4У093</t>
  </si>
  <si>
    <t>Изготовление печатной продукции</t>
  </si>
  <si>
    <t>01 5 10 4У092</t>
  </si>
  <si>
    <t>Основное мероприятие "Формирование позитивного имиджа Юсьвинского муниципального округа Пермского края"</t>
  </si>
  <si>
    <t>01 5 10 00000</t>
  </si>
  <si>
    <t>Подпрограмма "Формирование позитивного имиджа Юсьвинского муниципального округа Пермского края"</t>
  </si>
  <si>
    <t>01 5 00 00000</t>
  </si>
  <si>
    <t>Государственная регистрация актов гражданского состояния</t>
  </si>
  <si>
    <t>01 3 10 59300</t>
  </si>
  <si>
    <t>Основное мероприятие "Обеспечение выполнения переданных отдельных государственных полномочий"</t>
  </si>
  <si>
    <t>Подпрограмма "Организация деятельности по осуществлению администрацией Юсьвинского муниципального округа Пермского края переданных отдельных государственных полномочий"</t>
  </si>
  <si>
    <t>Обеспечение функционирования официального сайта администрации Юсьвинского муниципального округа Пермского края</t>
  </si>
  <si>
    <t>01 1 20 4У020</t>
  </si>
  <si>
    <t>Основное мероприятие "Предоставление муниципальных услуг в электронном виде"</t>
  </si>
  <si>
    <t>01 1 20 00000</t>
  </si>
  <si>
    <t>Подпрограмма "Формирование общедоступной информационно-коммуникационной среды"</t>
  </si>
  <si>
    <t>01 1 00 00000</t>
  </si>
  <si>
    <t>Осуществление полномочий  по составлению (изменению, дополнению) списков кандидатов в присяжные заседатели федеральных судов общей юрисдикции в Российской Федерации</t>
  </si>
  <si>
    <t>01 3 10 51200</t>
  </si>
  <si>
    <t xml:space="preserve"> Основное мероприятие "Обеспечение выполнения переданных государственных полномочий"</t>
  </si>
  <si>
    <t xml:space="preserve"> Подпрограмма "Организация деятельности по осуществлению администрацией Юсьвинского муниципального округа переданных отдельных государственных полномочий"</t>
  </si>
  <si>
    <t>Судебная система</t>
  </si>
  <si>
    <t>0105</t>
  </si>
  <si>
    <t>Администрирование государственных полномочий по организации мероприятий при осуществлении деятельности по обращению с животными без владельцев</t>
  </si>
  <si>
    <t>92 0 00 2У100</t>
  </si>
  <si>
    <t>Организация осуществления государственных полномочий по обеспечению жилыми помещениями детей-сирот и детей, оставшихся без попечения родителей, лиц из их числа детей-сирот и детей, оставшихся без попечения родителей</t>
  </si>
  <si>
    <t>04 0 30 2С090</t>
  </si>
  <si>
    <t>Осуществление полномочий по регулированию тарифов на перевозки пассажиров и багажа автомобильным и городским электрическим транспортом на муниципальных маршрутах регулярных перевозок</t>
  </si>
  <si>
    <t>01 3 10 2Т060</t>
  </si>
  <si>
    <t>Осуществление полномочий по созданию и организации деятельности административных комиссий</t>
  </si>
  <si>
    <t>01 3 10 2П060</t>
  </si>
  <si>
    <t>Составление протоколов об административных правонарушениях</t>
  </si>
  <si>
    <t>01 3 10 2П040</t>
  </si>
  <si>
    <t>Обеспечение хранения, комплектования, учет и использование архивных документов государственной части архивного фонда Пермского края</t>
  </si>
  <si>
    <t>Образование комиссий по делам несовершеннолетних и защите их прав и организация их деятельности</t>
  </si>
  <si>
    <t>01 3 10 2С150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</si>
  <si>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</si>
  <si>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</si>
  <si>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Обеспечение выполнения функций главы муниципального округа - главы администрации Юсьвинского муниципального округа Пермского края</t>
  </si>
  <si>
    <t>01 2 10 4У060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</si>
  <si>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</si>
  <si>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</si>
  <si>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Администрация Юсьвинского муниципального округа Пермского края</t>
  </si>
  <si>
    <t xml:space="preserve">2027 год </t>
  </si>
  <si>
    <t>2026 год</t>
  </si>
  <si>
    <t>Вид расходов</t>
  </si>
  <si>
    <t>Целевая статья</t>
  </si>
  <si>
    <t>Раздел, подраздел</t>
  </si>
  <si>
    <t>Ведомство</t>
  </si>
  <si>
    <t>(тыс.руб.)</t>
  </si>
  <si>
    <t>Пермского края</t>
  </si>
  <si>
    <t>муниципального округа</t>
  </si>
  <si>
    <t>к решению Думы Юсьвинского</t>
  </si>
  <si>
    <t>05 0 10 4И070</t>
  </si>
  <si>
    <t xml:space="preserve">Снос расселенных жилых домов и нежилых зданий (сооружений), расположенных на территории муниципальных образований Пермского края </t>
  </si>
  <si>
    <t>Противопожарная пропаганда и обучение населения мерам  пожарной безопасности и безопасности на водных объектах на  территории населенных пунктов Юсьвинского муниципального округа Пермского края</t>
  </si>
  <si>
    <t>13 0 10 4Ч080</t>
  </si>
  <si>
    <t>Организация обустройства места массового отдыха населения на водных объектах на территории Юсьвинского муниципального округа Пермского края</t>
  </si>
  <si>
    <t>09 1 20 00000</t>
  </si>
  <si>
    <t>Основное мероприятие "Организация и проведение публичных мероприятий, направленных на повышение престижа предпринимательской деятельности"</t>
  </si>
  <si>
    <t>Участие в экспозиции муниципалитетов  Пермского края в рамках форума «Дни пермского бизнеса»</t>
  </si>
  <si>
    <t>Разработка дизайн-проектов, сметной и проектной документации на объекты благоустройства в населенных пунктах Юсьвинского муниципального округа Пермского края</t>
  </si>
  <si>
    <t>10 2 20 4М093</t>
  </si>
  <si>
    <t>Ремонт и устройство детских, спортивных, спортивно-игровых площадок, устройство, восстановление территорий общего пользования (парков, скверов)</t>
  </si>
  <si>
    <t>Организация и проведение ежегодных субботников</t>
  </si>
  <si>
    <t xml:space="preserve">10 2 30 4М034 </t>
  </si>
  <si>
    <t xml:space="preserve">Предпроектное обследование зоны берегообрушения Камского водохранилища п. Майкор </t>
  </si>
  <si>
    <t>07 0 30 4Ф350</t>
  </si>
  <si>
    <t>Разработка проектно-сметной документации на капитальный ремонт объектов спортивной инфраструктуры муниципального значения включая расходы на государственную экспертизу</t>
  </si>
  <si>
    <t>10 2 30 SЭ240</t>
  </si>
  <si>
    <t>Снижение негативного воздействия на почвы, восстановление наруенных земель, ликвидация несанкционированных свалок в границах муниципального образования. Софинансирование сбора и вывоза размещенных на несанкционированных свалках в границах муниципального образования твердых коммунальных отходов на полигон</t>
  </si>
  <si>
    <t>за счет внебюджетных источников</t>
  </si>
  <si>
    <t>04 0 70 00000</t>
  </si>
  <si>
    <t>Основное мероприятие "Создание условий для обеспечения доступным и комфортным жильем сельского населения"</t>
  </si>
  <si>
    <t>92 0 00 4КЖ50</t>
  </si>
  <si>
    <t>Обеспечение, сопровождение информационных систем, приобретение компьютерной оргтехники в целях автоматизации административно-управленческих процессов при выполнении функций администрации Юсьвинского муниципального округа Пермского края</t>
  </si>
  <si>
    <t>Размещение информации о деятельности органов  местного самоуправления Юсьвинского муниципального округа Пермского края, социально-экономическом и культурном развитии в СМИ</t>
  </si>
  <si>
    <t>Обеспечение хранения, комплектования, учета и использования архивных документов государственной части документов Архивного фонда Пермского края</t>
  </si>
  <si>
    <t>Основное мероприятие "Формирование позитивного имиджа главы муниципального округа – главы администрации  Юсьвинского муниципального округа Пермского края и администрации Юсьвинского муниципального округа Пермского края "</t>
  </si>
  <si>
    <t>Оснащение муниципальных образовательных организаций оборудованием, средствами обучения и воспитания</t>
  </si>
  <si>
    <t>Подпрограмма "Реализация государственной национальной политики в сфере образования"</t>
  </si>
  <si>
    <t xml:space="preserve">Приобретение (выкуп) в муниципальную собственность объектов недвижимости </t>
  </si>
  <si>
    <t>Проведение массовых мероприятий, конкурсов (в том числе среди детского населения), участие творческих коллективов и отдельных исполнителей (в том числе детских) в окружных, межмуниципальных, краевых, межрегиональных, всероссийских, международных смотрах, конкурсах, фестивалях и иных мероприятиях</t>
  </si>
  <si>
    <t>"Мы выбираем спорт!"(создание условий для развития массового спорта, пропаганды физической культуры и спорта, обеспечение возможностей для  жителей округа систематически заниматься физической культурой и массовым спортом)</t>
  </si>
  <si>
    <t>Основное мероприятие "Организация общественной безопасности на территории Юсьвинского муниципального округа Пермского края"</t>
  </si>
  <si>
    <t>Разработка локально-сметных расчетов для реализации мероприятий по ремонту (обустройству) источников водоснабжения и систем водоснабжения, разработка проектов для участия в конкурсном отборе</t>
  </si>
  <si>
    <t>Осуществление перевозок пассажиров и багажа автомобильным транспортом по муниципальным маршрутам на территории Юсьвинского муниципального округа Пермского края</t>
  </si>
  <si>
    <t>Создание условий для организации добровольной пожарной охраны на территории Юсьвинского муниципального округа Пермского края</t>
  </si>
  <si>
    <t>Основное мероприятие "Оснащённость пунктов временного размещения"</t>
  </si>
  <si>
    <t>Муниципальная адресная программа «Переселение граждан и снос ветхих (аварийных) домов на территории Юсьвинского муниципального округа Пермского края»</t>
  </si>
  <si>
    <t>Муниципальная программа  "Распоряжение земельными ресурсами в Юсьвинском муниципальном округе Пермского края"</t>
  </si>
  <si>
    <t>2027 год</t>
  </si>
  <si>
    <t>Приложение 5</t>
  </si>
  <si>
    <t>муниципального округа Пермского края</t>
  </si>
  <si>
    <t xml:space="preserve">Код классификации источников внутреннего финансирования дефицита </t>
  </si>
  <si>
    <t xml:space="preserve">Наименование кода классификации источников внутреннего финансирования дефицита </t>
  </si>
  <si>
    <t>01 00 00 00 00 0000 000</t>
  </si>
  <si>
    <t>ИСТОЧНИКИ ВНУТРЕННЕГО ФИНАНСИРОВАНИЯ ДЕФИЦИТОВ БЮДЖЕТОВ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</si>
  <si>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</si>
  <si>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</si>
  <si>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</si>
  <si>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</si>
  <si>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</si>
  <si>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</si>
  <si>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</si>
  <si>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</si>
  <si>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01 05 02 01 14 0000 510</t>
  </si>
  <si>
    <t>Увеличение прочих остатков денежных средств бюджетов муниципальных округов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</si>
  <si>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</si>
  <si>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</si>
  <si>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</si>
  <si>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</si>
  <si>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</si>
  <si>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</si>
  <si>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01 05 02 01 14 0000 610</t>
  </si>
  <si>
    <t>Уменьшение прочих остатков денежных средств бюджетов муниципальных округов</t>
  </si>
  <si>
    <t>Всего</t>
  </si>
  <si>
    <t xml:space="preserve">в том числе за счет средств краевого бюджета  </t>
  </si>
  <si>
    <t>Оценка движимого и недвижимого имущества, постановка на государственный кадастровый учет, паспортизация объектов недвижимости, техническое обследование зданий, регистрация права</t>
  </si>
  <si>
    <t>Снос расселенных жилых домов и нежилых зданий (сооружений), расположенных на территории муниципальных образований Пермского края (софинансируемые из бюджета Пермского края)</t>
  </si>
  <si>
    <t>Снос расселенных жилых домов и нежилых зданий (сооружений), расположенных на территории муниципальных образований Пермского края (несофинансируемые из бюджета Пермского края)</t>
  </si>
  <si>
    <t xml:space="preserve">06 1 70 L4670 </t>
  </si>
  <si>
    <t>Подпрограмма "Профилактика  террористических  и экстремистских проявлений на территории Юсьвинского муниципального округа Пермского края, минимизация их последствий"</t>
  </si>
  <si>
    <t>Основное мероприятие "Профилактика  террористических  и экстремистских проявлений на территории Юсьвинского муниципального округа Пермского края, минимизация их последствий"</t>
  </si>
  <si>
    <t>09 1 20 4Э080</t>
  </si>
  <si>
    <t>10 2 20 4М098</t>
  </si>
  <si>
    <t xml:space="preserve">10 2 30 4М032 </t>
  </si>
  <si>
    <t>10 3 10 4М080</t>
  </si>
  <si>
    <t>10 3 10 4М085</t>
  </si>
  <si>
    <t>Благоустройство общественных и дворовых территорий Юсьвинского муниципального округа Пермского края (расходы, не софинансируемые из федерального бюджета)</t>
  </si>
  <si>
    <t>Ремонт трубопроводов подземных участков теплотрассы п. Пожва</t>
  </si>
  <si>
    <t>01 1 20 4У040</t>
  </si>
  <si>
    <t>Организация деятельности народной дружины по охране общественного порядка</t>
  </si>
  <si>
    <t>Организация и проведение рейдовых и других профилактических мероприятий, в т.ч. с несовершеннолетними</t>
  </si>
  <si>
    <t>Обеспечение материальными резервами ПВР</t>
  </si>
  <si>
    <t>Переселение граждан из аварийного жилищного фонда, признанного аварийным после 1 января 2017 года на территории Юсьвинского муниципального округа Пермского края</t>
  </si>
  <si>
    <t>92 0 00 2У150</t>
  </si>
  <si>
    <t>01 3 10 2В230</t>
  </si>
  <si>
    <t>Благоустройство общественных и дворовых территорий Юсьвинского муниципального округа Пермского края</t>
  </si>
  <si>
    <t>92 0 00 00420</t>
  </si>
  <si>
    <t>Установка новогодних елей на территории Юсьвинского муниципального округа Пермского края</t>
  </si>
  <si>
    <t>02 1 10 2H420</t>
  </si>
  <si>
    <t>02 1 10 2Н420</t>
  </si>
  <si>
    <t>Обеспечение организации досуга, занятости и отдыха детей приоритетных категорий в каникулярное время</t>
  </si>
  <si>
    <t>11 1 40 SД110</t>
  </si>
  <si>
    <t>11 3 10 9Д060</t>
  </si>
  <si>
    <t>11 1 50 9Д040</t>
  </si>
  <si>
    <t>11 1 40 9Д030</t>
  </si>
  <si>
    <t>11 1 40 9Д031</t>
  </si>
  <si>
    <t>11 1 10 9Д010</t>
  </si>
  <si>
    <t>Организация мероприятий при осуществлении деятельности по обращению с животными без владельцев</t>
  </si>
  <si>
    <t>утверждено</t>
  </si>
  <si>
    <t xml:space="preserve">Обеспечение деятельности  муниципального казенного учреждения «Единый сервисный центр» </t>
  </si>
  <si>
    <t>92 0 00 00600</t>
  </si>
  <si>
    <t>Обеспечение функционирования очистных сооружений в с. Юсьва</t>
  </si>
  <si>
    <t>Обеспечение выполнения функций администрации Юсьвинского муниципального округа и её структурных подразделений</t>
  </si>
  <si>
    <t>Аренда топливозаправщика для хранения сжиженного газа</t>
  </si>
  <si>
    <t>Актуализация схем теплоснабжения, водоснабжения и водоотведения Юсьвинского муниципального округа Пермского края, разработка программы в области энергосбережения и повышения энергетической эффективности</t>
  </si>
  <si>
    <t>92 0 00 00223</t>
  </si>
  <si>
    <t>02 6 10 SН820</t>
  </si>
  <si>
    <t>Проведение работ по ремонту помещений общеобразовательных организаций для размещения дошкольных групп и пришкольных интернатов</t>
  </si>
  <si>
    <t>Основное мероприятие "Региональный проект "Комфортный край"</t>
  </si>
  <si>
    <t>10 2 КК 00000</t>
  </si>
  <si>
    <t>10 2 КК SP430</t>
  </si>
  <si>
    <t>11 3 20 00000</t>
  </si>
  <si>
    <t>Основное мероприятие "Обеспечение транспортной безопасности объектов транспортной инфраструктуры"</t>
  </si>
  <si>
    <t>Разработка плана, паспорта обеспечения транспортной безопасности и подготовка сил обеспечения транспортной безопасности</t>
  </si>
  <si>
    <t xml:space="preserve">11 1 И8 00000 </t>
  </si>
  <si>
    <t>11 1 И8 54470</t>
  </si>
  <si>
    <t>12 0 И4 00000</t>
  </si>
  <si>
    <t>12 0 И4 55550</t>
  </si>
  <si>
    <t>Основное мероприятие "Региональный проект «Формирование комфортной городской среды (Пермский край)»</t>
  </si>
  <si>
    <t>06 1 КК 00000</t>
  </si>
  <si>
    <t>Основное мероприятие «Региональный проект «Комфортный край»</t>
  </si>
  <si>
    <t>06 1 КК SК310</t>
  </si>
  <si>
    <t>Муниципальная программа "Муниципальное управления в Юсьвинском муниципальном округе Пермского края"</t>
  </si>
  <si>
    <t>02 2 Ю6 00000</t>
  </si>
  <si>
    <t>Основное мероприятие "Региональный проект "Педагоги и наставники (Пермский край)""</t>
  </si>
  <si>
    <t>02 2 Ю6 51790</t>
  </si>
  <si>
    <t>10 3 КК 00000</t>
  </si>
  <si>
    <t>10 3 КК SP410</t>
  </si>
  <si>
    <t>Осуществление первичного воинского учета органами местного самоуправления муниципальных и городских округов</t>
  </si>
  <si>
    <t>02 6 10 4Н130</t>
  </si>
  <si>
    <t xml:space="preserve"> Основное мероприятие "Разработка технической документации на автомобильные дороги и (или) искусственные дорожные сооружения"</t>
  </si>
  <si>
    <t>11 1 20 9Д024</t>
  </si>
  <si>
    <t>Проектно-изыскательские работы по капитальному ремонту моста через р. Лысковка на км 0+677 автомобильной дороги "Подъезд к пристани Пожва"</t>
  </si>
  <si>
    <t>10 2 20 4М099</t>
  </si>
  <si>
    <t>Оборудование организованных мест отдыха людей у воды (несофинансируемые)</t>
  </si>
  <si>
    <t>Строительство, реконструкция, капитальный ремонт, ремонт объектов общественной инфраструктуры муниципального значения: инженерной, коммунальной, социальной инфраструктуры</t>
  </si>
  <si>
    <t>2027 год (проект)</t>
  </si>
  <si>
    <t>Распределение бюджетных ассигнований по целевым статьям (муниципальным программам и непрограммным направлениям деятельности) и группам видов расходов классификации расходов на 2026-2028 годы</t>
  </si>
  <si>
    <t xml:space="preserve">в том числе за счет средств краевого  бюджета </t>
  </si>
  <si>
    <t>Предоставление молодым семьям социальных выплат на приобретение (строительство) жилья в рамках реализации мероприятия по обеспечению жильем молодых семей в Пермском крае  государственной программы Пермского края «Социальная поддержка жителей Пермского края»</t>
  </si>
  <si>
    <t>Приведение в нормативное состояние учреждений культуры и образовательных учреждений в сфере культуры</t>
  </si>
  <si>
    <t>Оборудование учреждений социальной сферы инженерно-техническими средствами защиты и системы охраны</t>
  </si>
  <si>
    <t>Текущий ремонт здания филиала "ДШИ п. Пожва МБУ ДО "ДШИ с. Юсьва</t>
  </si>
  <si>
    <t>Проведение конкурса операторов машинного доения</t>
  </si>
  <si>
    <t>09 3 00 00000</t>
  </si>
  <si>
    <t>09 3 10 00000</t>
  </si>
  <si>
    <t>Изготовление знаков навигации</t>
  </si>
  <si>
    <t>Основное мероприятие "Разработка систем навигации и маршрутизации"</t>
  </si>
  <si>
    <t>Инвентаризация кладбищ Юсьвинского муниципального округа Пермского края</t>
  </si>
  <si>
    <t>Разработка проектов санитарно-защитных зон (СЗЗ) кладбищ</t>
  </si>
  <si>
    <t>Приведение в нормативное состояние автомобильных дорог</t>
  </si>
  <si>
    <t>06 1 КК SР420</t>
  </si>
  <si>
    <t>Обеспечение жилыми помещениями реабилитированных лиц, имеющих инвалидность или являющихся пенсионерами, и проживающих совместно членов их семей</t>
  </si>
  <si>
    <t>Основное мероприятие «Обеспечение жильем отдельных категорий граждан, установленных законодательством»</t>
  </si>
  <si>
    <t>Обеспечение бесплатным питанием обучающихся с ограниченными возможностями здоровья в образовательных учреждениях</t>
  </si>
  <si>
    <t>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</si>
  <si>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Оказание поддержки и развития одаренных детей</t>
  </si>
  <si>
    <t>Формирование патриотического и духовно-нравственного воспитания детей</t>
  </si>
  <si>
    <t>Основное мероприятие "Обеспечение кадровой политики в сфере образования"</t>
  </si>
  <si>
    <t>Обеспечение развития педагогического  кадрового потенциала</t>
  </si>
  <si>
    <t>Проведение ремонтных работ в зданиях и помещениях учреждений, направленные на приведение их в соответствие нормативным требованиям, включая мероприятия, связанные с обеспечением доступной среды для маломобильных групп населения</t>
  </si>
  <si>
    <t>04 0 20 00000</t>
  </si>
  <si>
    <t>06 1 70 4К090</t>
  </si>
  <si>
    <t>06 1 70 4К170</t>
  </si>
  <si>
    <t xml:space="preserve">Обеспечение развития и укрепление материально-технической базы домов культуры в населенных пунктах с численностью жителей до 50 тысяч человек </t>
  </si>
  <si>
    <t>09 2 20 4С080</t>
  </si>
  <si>
    <t>09 3 10 4С100</t>
  </si>
  <si>
    <t>11 1 60 L3720</t>
  </si>
  <si>
    <t xml:space="preserve">11 1 60 00000 </t>
  </si>
  <si>
    <t>14 0И2 00000</t>
  </si>
  <si>
    <t>Основное мероприятие ««Реализация федерального проекта «Жилье»»</t>
  </si>
  <si>
    <t>14 0 И2 67483</t>
  </si>
  <si>
    <t>14 0 И2 67484</t>
  </si>
  <si>
    <t>14 0 И2 6748S</t>
  </si>
  <si>
    <t xml:space="preserve">Переселение граждан из аварийного жилищного фонда, признанного аварийным после 1 января 2017 года, на территории Юсьвинского муниципального округа Пермского края» </t>
  </si>
  <si>
    <t>Мероприятие «Переселение граждан из аварийного жилищного фонда, признанного аварийным после 1 января 2017 года, на территории Юсьвинского муниципального округа Пермского края» (МБ)</t>
  </si>
  <si>
    <t>Переселение граждан из аварийного жилищного фонда, признанного аварийным после 1 января 2017 года, на территории Юсьвинского муниципального округа Пермского края (за счет безвозмездных поступлений от ППК «Фонд развития территорий»)</t>
  </si>
  <si>
    <t>02 2 Ю6 50500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</si>
  <si>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</t>
  </si>
  <si>
    <t>11 3 КК 00000</t>
  </si>
  <si>
    <t>11 3 КК SP400</t>
  </si>
  <si>
    <t xml:space="preserve">Участие в реализации  мероприятия по направлению «Школьная остановка» регионального проекта «Комфортный край»  </t>
  </si>
  <si>
    <t>2028 год</t>
  </si>
  <si>
    <t>Основное мероприятие "Реализация федерального проекта "Развитие транспортной инфраструктуры на сельских территориях" государственной программы Российской Федерации "Комплексное развитие сельских территорий"</t>
  </si>
  <si>
    <t xml:space="preserve">2026 год </t>
  </si>
  <si>
    <t xml:space="preserve">2028 год </t>
  </si>
  <si>
    <t>04 0 20 2С520</t>
  </si>
  <si>
    <t xml:space="preserve">Участие в реализации мероприятия по направлению «Культурная реновация» регионального проекта «Комфортный край»  </t>
  </si>
  <si>
    <t>Приложение 1</t>
  </si>
  <si>
    <t>Ведомственная структура расходов Юсьвинского муниципального округа Пермского края  на 2026 год и на плановый период 2027-2028 годы</t>
  </si>
  <si>
    <t>Источники финансирования дефицита бюджета Юсьвинского муниципального округа Пермского края на 2026 год и на плановый период 2027 и 2028 годов</t>
  </si>
  <si>
    <t>Направление расходов (отрасль)</t>
  </si>
  <si>
    <t>Организация предоставления общедоступного и бесплатного дошкольного, начального, основного общего образования для обучающихся с ограниченными возможностями здоровья в отдельных муниципальных образовательных учреждениях, осуществляющих образовательную деятельность по адаптированным основным образовательным программам</t>
  </si>
  <si>
    <t>Основное мероприятие "Региональный проект "Педагоги и наставники (Пермский край)"</t>
  </si>
  <si>
    <t>Основное мероприятие «Реализация федерального проекта «Жилье»</t>
  </si>
  <si>
    <t>10 2 20 4М089</t>
  </si>
  <si>
    <t>10 2 30 4М031</t>
  </si>
  <si>
    <t>Реализация проекта инициативного бюджетирования "Приобретение оборудования для работы музея"</t>
  </si>
  <si>
    <t xml:space="preserve">10 2 20 SP082 </t>
  </si>
  <si>
    <t>Реализация проекта инициативного бюджетирования "Установка тротуаров"</t>
  </si>
  <si>
    <t>Реализация проекта инициативного бюджетирования "Спорт и радость детства! (Обустройство детской, спортивной площадки) в с.Юсьва по адресу Пермский край, с.Юсьва, ул.Заря будущего"</t>
  </si>
  <si>
    <t xml:space="preserve">10 2 20 SP083 </t>
  </si>
  <si>
    <t>Реализация проекта инициативного бюджетирования "Проведение ремонтных работ  в читальном (конференц) зале Юсьвинской центральной библиотеки МБУК "Юсьвинская ЦБС"</t>
  </si>
  <si>
    <t>Реализация проекта инициативного бюджетирования "Проведение текущего ремонта здания Аксеновского библиотечного пункта Купросской сельской библиотеки МБУК «Юсьвинская ЦБС» по адресу: Пермский край, Юсьвинский район, с. Аксеново, ул. Колхозная, 9"</t>
  </si>
  <si>
    <t>Реализация проекта инициативного бюджетирования "Приобретение спортивного оборудования для занятий гиревым спортом"</t>
  </si>
  <si>
    <t xml:space="preserve">10 2 30 4М031 </t>
  </si>
  <si>
    <t>10 2 КК SP432</t>
  </si>
  <si>
    <t>10 3 10 9Т001</t>
  </si>
  <si>
    <t>10 3 10 9Т002</t>
  </si>
  <si>
    <t>04 0 70 L5761</t>
  </si>
  <si>
    <t>14 0 И2 00000</t>
  </si>
  <si>
    <t>06 1 60 L5195</t>
  </si>
  <si>
    <t>06 1 60 L5196</t>
  </si>
  <si>
    <t xml:space="preserve">06 1 70 SP081 </t>
  </si>
  <si>
    <t xml:space="preserve">02 6 10 SP086 </t>
  </si>
  <si>
    <t xml:space="preserve">06 1 70 SP084 </t>
  </si>
  <si>
    <t xml:space="preserve">06 1 70 SP085 </t>
  </si>
  <si>
    <t>02 2 Ю6 53030</t>
  </si>
  <si>
    <t>Основное мероприятие "Включение в реестр муниципальной собственности приобретенных объектов недвижимости "</t>
  </si>
  <si>
    <t>Основное мероприятие "Включение в реестр муниципальной собственности приобретенных объектов недвижимости"</t>
  </si>
  <si>
    <t>11 3 20 9Д071</t>
  </si>
  <si>
    <t>Обеспечение организации отдыха детей в каникулярное время в рамках реализации полномочий Юсьвинского муниципального округа Пермского края</t>
  </si>
  <si>
    <t>Участие в реализации  мероприятия по направлению «Новый клуб» регионального проекта «Комфортный край»</t>
  </si>
  <si>
    <t>Устройство контейнерных площадок для накопления твердых коммунальных отходов в рамках реализации направления «Наша улица» регионального проекта «Комфортный край»</t>
  </si>
  <si>
    <t>Устройство, ремонт тротуаров, сетей уличного освещения, не входящих в состав автомобильных дорог общего пользования местного значения в границах населенного пункта, в рамках реализации направления "Наша улица" регионального проекта "Комфортный край"</t>
  </si>
  <si>
    <t>Капитальный ремонт, ремонт сетей водоснабжения, водозаборных сооружений, устройство, капитальный ремонт и ремонт водонапорных башен в рамках реализации направления «Качественное водоснабжение» регионального проекта «Комфортный край»</t>
  </si>
  <si>
    <t>Реализация мероприятий, направленных на комплексное развитие сельских территорий (улучшение жилищных условий граждан, проживающих на сельских территориях)</t>
  </si>
  <si>
    <t>Подпрограмма  "Знакомство с культурно-познавательными маршрутами"</t>
  </si>
  <si>
    <t>изменения</t>
  </si>
  <si>
    <t>02 3 10 4Н060</t>
  </si>
  <si>
    <t>Обеспечение деятельности психолого-медико педагогической комиссии</t>
  </si>
  <si>
    <t>02 6 10 4Н152</t>
  </si>
  <si>
    <t>92 0 00 00224</t>
  </si>
  <si>
    <t>06 1 Я5 00000</t>
  </si>
  <si>
    <t>Основное мероприятие «Региональный проект "Семейные ценности и инфраструктура культуры (Пермский край)»</t>
  </si>
  <si>
    <t>06 1 Я5 55194</t>
  </si>
  <si>
    <t>Государственная поддержка отрасли культуры (приобретение для детских школ искусств музыкальных инструментов, оборудования, материалов)</t>
  </si>
  <si>
    <t>92 0 00 00280</t>
  </si>
  <si>
    <t>Снос самовольных построек</t>
  </si>
  <si>
    <t>02 6 10 4Н100</t>
  </si>
  <si>
    <t>Приобретение и приведение в нормативное состояние автотранспорта для обеспечения бесплатного проезда обучающихся до места обучения и обратно</t>
  </si>
  <si>
    <t>Обеспечение резерва твердого топлива</t>
  </si>
  <si>
    <t>Разработка ПСД на капитальный ремонт объектов образовательных организаций</t>
  </si>
  <si>
    <t>проект</t>
  </si>
  <si>
    <t>06 1 20 L5190</t>
  </si>
  <si>
    <t>92 0 00 00290</t>
  </si>
  <si>
    <t>Обучение по программе "Эффективная реализация стратегических инвестиционно-строительных проектов 2.0"</t>
  </si>
  <si>
    <t>Модернизация библиотек в части комплектования книжных фондов библиотек муниципальных образований</t>
  </si>
  <si>
    <t>02 6 10 4Н153</t>
  </si>
  <si>
    <t>Благоустройство территорий образовательных организаций</t>
  </si>
  <si>
    <t>Приложение 4</t>
  </si>
  <si>
    <t xml:space="preserve">к  решению Думы Юсьвинского </t>
  </si>
  <si>
    <t xml:space="preserve"> Пермского края</t>
  </si>
  <si>
    <t>Распределение средств дорожного фонда Юсьвинского муниципального округа  Пермского края на 2026 год и на плановый период 2027-2028 годы</t>
  </si>
  <si>
    <t>1. Доходы</t>
  </si>
  <si>
    <t>№ п/п</t>
  </si>
  <si>
    <t>Наименование доходов</t>
  </si>
  <si>
    <t>Сумма (тыс.руб.)</t>
  </si>
  <si>
    <t>в том числе</t>
  </si>
  <si>
    <t>средства федерального бюджета</t>
  </si>
  <si>
    <t>средства краевого бюджета</t>
  </si>
  <si>
    <t>средства местного бюджета</t>
  </si>
  <si>
    <t>1.</t>
  </si>
  <si>
    <t>Доходы для определения объема дорожного фонда, всего</t>
  </si>
  <si>
    <t>в том числе:</t>
  </si>
  <si>
    <t>1.1.</t>
  </si>
  <si>
    <t>акцизы на автомобильный бензин,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подлежащие зачислению в местный бюджет</t>
  </si>
  <si>
    <t>1.2.</t>
  </si>
  <si>
    <t>субсидии на проектирование, строительство (реконструкция), капитальный ремонт и ремонт автомобильных дорог общего пользования местного значения, находящихся на территории Пермского края</t>
  </si>
  <si>
    <t>1.3.</t>
  </si>
  <si>
    <t>Субсидии бюджетам муниципальных округов на приведение в нормативное состояние автомобильных дорог и искусственных дорожных сооружений</t>
  </si>
  <si>
    <t>1.4.</t>
  </si>
  <si>
    <t xml:space="preserve">Субсидии бюджетам муниципальных образований на реализацию мероприятия по направлению «Школьная остановка» регионального проекта «Комфортный край»  </t>
  </si>
  <si>
    <t>1.5.</t>
  </si>
  <si>
    <t>Дотации на выравнивание бюджетной обеспеченности</t>
  </si>
  <si>
    <t>2.Расходы</t>
  </si>
  <si>
    <t>Наименование направлений расходов</t>
  </si>
  <si>
    <t>Муниципальная программа "Развитие транспортной системы Юсьвинского муниципального округа Пермского края", в том числе:</t>
  </si>
  <si>
    <t>Подпрограмма «Развитие и совершенствование автомобильных дорог Юсьвинского муниципального округа»</t>
  </si>
  <si>
    <t>1.1.1.</t>
  </si>
  <si>
    <t>Основное мероприятие "Разработка технической документации на автомобильные дороги и (или) искусственные дорожные сооружения"</t>
  </si>
  <si>
    <t>Мероприятие "Разработка технических паспортов на автомобильные дороги Юсьвинского муниципального округа Пермского края"</t>
  </si>
  <si>
    <t>1.1.2.</t>
  </si>
  <si>
    <t>Основное мероприятие "Проектно-изыскательские работы"</t>
  </si>
  <si>
    <t>1.1.3.</t>
  </si>
  <si>
    <t>Основное мероприятие «Ремонт муниципальных дорог и искусственных дорожных сооружений»</t>
  </si>
  <si>
    <t>Мероприятие "Ремонт автомобильных дорог (софинансируемые из бюджета ПК)"</t>
  </si>
  <si>
    <t>Ремонт автомобильных дорог (нераспределенные средства)</t>
  </si>
  <si>
    <t>Ремонт участка автомобильной дороги "Архангельское-Антипино" км 000+000- км 002+200</t>
  </si>
  <si>
    <t>Ремонт участка автомобильной дороги "Юсьва-Трифаново" км 002+800  км 005+800</t>
  </si>
  <si>
    <t>Ремонт автомобильной дороги по ул. Колхозная с. Аксеново</t>
  </si>
  <si>
    <t>Ремонт автомобильной дороги по ул. Пионерская (от ул. Комсомольская до ул. Студенческая) п. Тукачево</t>
  </si>
  <si>
    <t>Ремонт автомобильной дороги по ул. Пушкина (от дома №47 до ул. Мира) п. Майкор</t>
  </si>
  <si>
    <t>Ремонт автомобильной дороги по ул. Заречная (от дома №5 до дома №26)д. Обирино</t>
  </si>
  <si>
    <t>Ремонт автомобильной дороги по ул. Подгорная (от дома №1 до дома №12)</t>
  </si>
  <si>
    <t>Ремонт автомобильной дороги по ул. Заречная (от ул. Мартыновская до дома №10 с отворотом к дому №4а) д. Ситково</t>
  </si>
  <si>
    <t>Ремонт автомобильной дороги по ул. Полевая (от дома №5 до дома №15) с. Архангельское</t>
  </si>
  <si>
    <t>Ремонт автомобильной дороги по ул. Восточная с. Тимино</t>
  </si>
  <si>
    <t>Ремонт автомобильной дороги по ул. Паньковская (от дома №2 до дома №11) с. Юсьва</t>
  </si>
  <si>
    <t>Ремонт автомобильной дороги по ул. Центральная (от дома №13 до дома №16) д. Вороново</t>
  </si>
  <si>
    <t>Ремонт автомобильной дороги по ул. Почашерская (от дома №21 Б до дома №32А) д. Почшер</t>
  </si>
  <si>
    <t>Ремонт автомобильной дороги по ул. Кооперативная (от ул. Пушкина до ул. Чехова) п. Майкор</t>
  </si>
  <si>
    <t>Ремонт автомобильной дороги по ул. Трудовая п. Майкор</t>
  </si>
  <si>
    <t>Ремонт автомобильной дороги по ул. Мингалевская д. Якино</t>
  </si>
  <si>
    <t>Ремонт автомобильной дороги по ул. Свободы (от ул. Строителей до ул. Рябиновая) п. Пожва</t>
  </si>
  <si>
    <t>Мероприятие "Ремонт автомобильных дорог (несофинансируемые из бюджета ПК)"</t>
  </si>
  <si>
    <t>Ремонт автомобильной дороги по ул. Котельниковой (от пожарного пирса до дома №2Б) д. В.-Мега</t>
  </si>
  <si>
    <t>Ремонт автомобильной дороги по ул. Котельниковой от автомобильной дороги "Кудымкар-Пожва - Верх-Мега до дома №17 д. В.-Мега</t>
  </si>
  <si>
    <t>Ремонт  автомобильной дороги по ул. Раздольная (от дома № 3 до дома №13) с. Юсьва</t>
  </si>
  <si>
    <t>Ремонт автомобильной дороги по ул. Березовая (от дома №3 до дома №16) с. Юсьва</t>
  </si>
  <si>
    <t>Восстановление дорожного полотна автомобильной дороги "Бажино-Шедово" км 000+000 - км 001+840</t>
  </si>
  <si>
    <t>Ремонт автомобильных дорог по ул. Полевая (от автомобильной дороги "Кудымкар-Усолье" до дома №4) д. Чикманово, ул. Центральная (от дома №11 до дома №13) д. Швычи</t>
  </si>
  <si>
    <t>Ремонт  автомобильной дороги по ул. Максима Горького (от дома №1 до дома №1В)  с. Юсьва</t>
  </si>
  <si>
    <t>Восстановление покрытия проезжей части участков автомобильных дорог по ул. Центральная с. Тимино, ул. Пушкина с. Юсьва, ул. Центральная д. Швычи</t>
  </si>
  <si>
    <t>Восстановление покрытия проезжей части автомобильной дороги по переулку от ул. Комсомольской до ул. Лесная п. Кама</t>
  </si>
  <si>
    <t>Мероприятие "Восстановление мостов и труб (несофинансируемые)"</t>
  </si>
  <si>
    <t>Восстановление водопропускной трубы на автомобильной дороге по ул. Центральная д. Спирино, ул. Озерская д. Кузьмино</t>
  </si>
  <si>
    <t xml:space="preserve">Восстановление водопропускных труб на автомобильных дорогах: ул. Народнаяд. Сивашер, ул. Северная д. Они </t>
  </si>
  <si>
    <t>Восстановление водопропускной трубы на автомобильной дороге по ул. Савинская, ул. Полярная с. Юсьва</t>
  </si>
  <si>
    <t xml:space="preserve">Восстановление водопропускной трубы на автомобильной дороге "Бажино-Шедово" км 0+450,  ул. Мингалевская, д. Якино </t>
  </si>
  <si>
    <t>Ремонт моста на ул. Лесная с. Антипино</t>
  </si>
  <si>
    <t>Ремонт моста через ручей на автомобильной дороге "Крохалево-Урманово-Подволошино" км 3+378</t>
  </si>
  <si>
    <t>Ремонт моста через р. Вежайка на автомобильной дороге "Кудымкар-Пожва-Черемново</t>
  </si>
  <si>
    <t>Ремонт моста через р. Кырдымка на автомобильной дороге "Габово-Купрос"</t>
  </si>
  <si>
    <t>Восстановительные работы по мосту через р. Стер на ул. Набережная п. Тукачево</t>
  </si>
  <si>
    <t>Восстановление моста через р. Кемелька на ул. Заводская п. Майкор</t>
  </si>
  <si>
    <t>1.1.4.</t>
  </si>
  <si>
    <t>Основное мероприятие "Содержание муниципальных дорог"</t>
  </si>
  <si>
    <t>Мероприятие "Выполнение работ по содержанию автомобильных дорог общего пользования и улично-дорожной сети Юсьвинского муниципального округа Пермского края"</t>
  </si>
  <si>
    <t>1.1.5.</t>
  </si>
  <si>
    <t>Мероприятие "Приведение в нормативное состояние искусственных дорожных сооружений"</t>
  </si>
  <si>
    <t>Капитальный ремонт автомобильного моста через р. Иньва на автомобильной дороге "Юсьва-Архангельское" в Юсьвинском муниципальном округе Пермского края</t>
  </si>
  <si>
    <t>1.1.6.</t>
  </si>
  <si>
    <t>Мероприятие "Приведение в нормативное состояние автомобильных дорог"</t>
  </si>
  <si>
    <t>Ремонт участка автомобильной дороги "Юсьва-Архангельское" км 000+000 км 1+550, км 2+550 км 4+162, км 4+462 км 6+480</t>
  </si>
  <si>
    <t>Ремонт участка автомобильной дороги "Юсьва-Мелюхино" км 0+000 км 0+980</t>
  </si>
  <si>
    <t>Подпрограмма «Повышение безопасности  дорожного движения на автомобильных дорогах Юсьвинского муниципального округа"</t>
  </si>
  <si>
    <t>1.2.1.</t>
  </si>
  <si>
    <t>Мероприятие "Замена и установка барьерных ограждений, автобусных остановок, недостающих дорожных знаков, информационных щитов, светофоров"</t>
  </si>
  <si>
    <t>1.2.2.</t>
  </si>
  <si>
    <t>Мероприятие "Разработка плана, паспорта обеспечения транспортной безопасности и подготовка сил обеспечения транспортной безопасности"</t>
  </si>
  <si>
    <t>Мероприятие "Участие в реализации  мероприятия по направлению «Школьная остановка» регионального проекта «Комфортный край»"</t>
  </si>
  <si>
    <t>Остаток неиспользованных средств дорожного фонда по состоянию на 01.01.2026, тыс. рублей</t>
  </si>
  <si>
    <t>Нераспределенный остаток средств дорожного фонда, тыс. рублей:</t>
  </si>
  <si>
    <t>Нераспределенные средства</t>
  </si>
  <si>
    <t>11 1 20 9Д025</t>
  </si>
  <si>
    <t>Проведение государственной экспертизы проектной документации в части проверки достоверности определения сметной стоимости по объекту «Капитальный ремонт моста через р. Лысковка на км 0+677 автомобильной дороги «Подъезд к пристани Пожва</t>
  </si>
  <si>
    <t>92 0 00 00230</t>
  </si>
  <si>
    <t>Исполнение решений судов, вступивших в законную силу, и оплата государственной пошлины</t>
  </si>
  <si>
    <t>Восстановление дорожного полотна автомобильной дороги по ул. Прудовая (от мусорной площадки до дома №2) д. Мокрушино</t>
  </si>
  <si>
    <t>Ремонт участка автомобильной дороги по ул. Школьная (от дома № 1 до дома № 2) с. Мелюхино</t>
  </si>
  <si>
    <t>11 1 40 9Д032</t>
  </si>
  <si>
    <t>Устройство снегозадерживающего забора на автомобильной дороге "Они-Потапово"</t>
  </si>
  <si>
    <t>Мероприятие "Устройство снегозадерживающего забора на автомобильной дороге "Они-Потапово"</t>
  </si>
  <si>
    <t>92 0 00 00225</t>
  </si>
  <si>
    <t>Проведение лаабораторных и инструментальных исследований на соответствие воды установленным требованиям</t>
  </si>
  <si>
    <t>Проведение лабораторных и инструментальных исследований на соответствие воды установленным требованиям</t>
  </si>
  <si>
    <t>Предпроектное обследование объектов дорожной сети</t>
  </si>
  <si>
    <t>11 1 20 9Д026</t>
  </si>
  <si>
    <t>Реализация комплекса мероприятий по разработке проектной документации</t>
  </si>
  <si>
    <t>05 0 10 4И090</t>
  </si>
  <si>
    <t>Ремонт объектов муниципального имущества, не включенный в состав расходов муниципальных программ</t>
  </si>
  <si>
    <t>92 0 00 00226</t>
  </si>
  <si>
    <t>Капитальный ремонт моста через р. Лысковка на км 0+677 автомобильной дороги «Подъезд к пристани Пожва»</t>
  </si>
  <si>
    <t>Ремонт моста через р.Филипповка на автомобильной дороге "Мелюхино-Бачизево-Фотино"</t>
  </si>
  <si>
    <t>Доходы</t>
  </si>
  <si>
    <t>дотации</t>
  </si>
  <si>
    <t>возврат "КК"</t>
  </si>
  <si>
    <t>укус Шиловой</t>
  </si>
  <si>
    <t>разработка проекта ЗСО  и проведение экспертизы проекта ЗСО Доег</t>
  </si>
  <si>
    <t xml:space="preserve">Ремонт автомобильных дорог (несофинансируемые из бюджета ПК) </t>
  </si>
  <si>
    <t>Ремонт автомобильной дороги по ул.Новая (от ул.Пионерская до дома № 2а) с.Купрос</t>
  </si>
  <si>
    <t>Восстановление дорожного полотна участка автомобильной дороги по ул.Северная (от ул.Чехова до ул.Вотинова) п.Майкор (от ул.Чехова до ул.Вотинова)</t>
  </si>
  <si>
    <t>Восстановление покрытия проезжей части участка автомобильной дороги "Бажино-Шедово" км 0+000 - км 0+805</t>
  </si>
  <si>
    <t>Итого</t>
  </si>
  <si>
    <t>продажа здания</t>
  </si>
  <si>
    <t>плат</t>
  </si>
  <si>
    <t>ндс от продажи имущества</t>
  </si>
  <si>
    <t>установка пожарной и охранной сигнализации в 2027, в 2026 - возм.расходов гсм 68,2+158,0 оптоволокно</t>
  </si>
  <si>
    <t>может, увеличить резервный в этом году для этого</t>
  </si>
  <si>
    <t>жкх на пожв.очистн</t>
  </si>
  <si>
    <t>Приложение 2</t>
  </si>
  <si>
    <t>Ремонт автомобильной дороги по ул. Новая (от ул. Пионерская до дома № 2а) с. Купрос</t>
  </si>
  <si>
    <t>Ремонт ул. Северная п. Майкор</t>
  </si>
  <si>
    <t>Восстановление покрытия проезжей части участка автомобильной дороги "Бажино-Шедово" 0+000 - км 0+805</t>
  </si>
  <si>
    <t>Ремонт участка автомобильной дороги "Юсьва-Архангельское" км 000+000 - км 1+555, км 2+550 - км 4+162, км 6+480"</t>
  </si>
  <si>
    <t>дох</t>
  </si>
  <si>
    <t>расх</t>
  </si>
  <si>
    <t>деф</t>
  </si>
  <si>
    <t>УУР</t>
  </si>
  <si>
    <t>Противопожарное водоснабжение Юсьвинского муниципального округа Пермского края</t>
  </si>
  <si>
    <t>не учтены</t>
  </si>
  <si>
    <t>насосы жкх (381,6)</t>
  </si>
  <si>
    <t>ЖКХ на валку 4-х деревьев</t>
  </si>
  <si>
    <t>штрафы</t>
  </si>
  <si>
    <t>от возвор</t>
  </si>
  <si>
    <t>10 3 10 4М077</t>
  </si>
  <si>
    <t>Обеспечение функционирования очистных сооружений, систем водоотведения</t>
  </si>
  <si>
    <t>резервный фонд</t>
  </si>
  <si>
    <t>охрана культура</t>
  </si>
  <si>
    <t>охрана имущество</t>
  </si>
  <si>
    <r>
      <t>АПС и СОУЭ новая школа Доег-</t>
    </r>
    <r>
      <rPr>
        <sz val="11"/>
        <color rgb="FFFF0000"/>
        <rFont val="Calibri"/>
        <family val="2"/>
        <charset val="204"/>
        <scheme val="minor"/>
      </rPr>
      <t xml:space="preserve">600, </t>
    </r>
    <r>
      <rPr>
        <sz val="11"/>
        <color theme="1"/>
        <rFont val="Calibri"/>
        <family val="2"/>
        <charset val="204"/>
        <scheme val="minor"/>
      </rPr>
      <t>котел Крохалево 547,3 (в непрограммные)  и крыша Майкор СОШ 231,5</t>
    </r>
  </si>
  <si>
    <r>
      <t xml:space="preserve">Подготовка котельных к отопительному сезону (Универсал 97,5, Пожвинская СОШ </t>
    </r>
    <r>
      <rPr>
        <sz val="10"/>
        <color rgb="FFFF0000"/>
        <rFont val="Times New Roman"/>
        <family val="1"/>
        <charset val="204"/>
      </rPr>
      <t xml:space="preserve">600,0 </t>
    </r>
    <r>
      <rPr>
        <sz val="10"/>
        <rFont val="Times New Roman"/>
        <family val="1"/>
        <charset val="204"/>
      </rPr>
      <t>Крохалевская СОШ 547,3)</t>
    </r>
  </si>
  <si>
    <t>ликвидационная комиссия школа Тукачево</t>
  </si>
  <si>
    <t>92 0 00 00800</t>
  </si>
  <si>
    <t>Расходы на обеспечение ликвидационных мероприятий муниципальных учреждений</t>
  </si>
  <si>
    <t>92 0 00 00001</t>
  </si>
  <si>
    <t>Оказание содействия избирательным комиссиям в реализации их полномочий</t>
  </si>
  <si>
    <t>05 0 10 4И021</t>
  </si>
  <si>
    <t>Уплата налогов, связанных с содержанием и реализацией имущества казны</t>
  </si>
  <si>
    <t>92 0 00 00231</t>
  </si>
  <si>
    <t>Уплата денежных взысканий (штрафов) за нарушение законодательства</t>
  </si>
  <si>
    <t>от 16.09.2026 № 207</t>
  </si>
  <si>
    <t>от 16.09.2026  № 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</si>
</sst>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_р_._-;\-* #,##0.00_р_._-;_-* &quot;-&quot;??_р_._-;_-@_-"/>
    <numFmt numFmtId="165" formatCode="#,##0.00000"/>
    <numFmt numFmtId="166" formatCode="_(* #,##0.00_);_(* \(#,##0.00\);_(* &quot;-&quot;??_);_(@_)"/>
    <numFmt numFmtId="167" formatCode="_-* #,##0.00\ _D_M_-;\-* #,##0.00\ _D_M_-;_-* &quot;-&quot;??\ _D_M_-;_-@_-"/>
    <numFmt numFmtId="168" formatCode="0.00000"/>
    <numFmt numFmtId="169" formatCode="0.0"/>
    <numFmt numFmtId="170" formatCode="#,##0.000"/>
  </numFmts>
  <fonts count="8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Arial"/>
      <family val="2"/>
    </font>
    <font>
      <sz val="11"/>
      <color indexed="8"/>
      <name val="Calibri"/>
      <family val="2"/>
      <charset val="204"/>
    </font>
    <font>
      <sz val="10"/>
      <color indexed="9"/>
      <name val="Arial"/>
      <family val="2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0"/>
      <color indexed="23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1"/>
      <color rgb="FF000000"/>
      <name val="Calibri"/>
      <family val="2"/>
      <scheme val="minor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Times New Roman"/>
      <family val="2"/>
      <charset val="204"/>
    </font>
    <font>
      <sz val="8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7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7"/>
        <b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18"/>
        <bgColor indexed="18"/>
      </patternFill>
    </fill>
    <fill>
      <patternFill patternType="solid">
        <fgColor indexed="49"/>
        <bgColor indexed="49"/>
      </patternFill>
    </fill>
    <fill>
      <patternFill patternType="solid">
        <fgColor indexed="58"/>
        <bgColor indexed="58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  <bgColor indexed="5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2"/>
      </patternFill>
    </fill>
    <fill>
      <patternFill patternType="solid">
        <fgColor indexed="55"/>
      </patternFill>
    </fill>
    <fill>
      <patternFill patternType="solid">
        <fgColor indexed="60"/>
      </patternFill>
    </fill>
    <fill>
      <patternFill patternType="solid">
        <fgColor rgb="FFF0FCB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64">
    <xf numFmtId="0" fontId="0" fillId="0" borderId="0"/>
    <xf numFmtId="0" fontId="3" fillId="0" borderId="0"/>
    <xf numFmtId="0" fontId="9" fillId="0" borderId="0"/>
    <xf numFmtId="0" fontId="1" fillId="0" borderId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1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2" borderId="0" applyNumberFormat="0" applyBorder="0" applyAlignment="0" applyProtection="0"/>
    <xf numFmtId="0" fontId="14" fillId="21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25" borderId="0" applyNumberFormat="0" applyBorder="0" applyAlignment="0" applyProtection="0"/>
    <xf numFmtId="0" fontId="15" fillId="25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26" borderId="0" applyNumberFormat="0" applyBorder="0" applyAlignment="0" applyProtection="0"/>
    <xf numFmtId="0" fontId="15" fillId="26" borderId="0" applyNumberFormat="0" applyBorder="0" applyAlignment="0" applyProtection="0"/>
    <xf numFmtId="0" fontId="16" fillId="22" borderId="0" applyNumberFormat="0" applyBorder="0" applyAlignment="0" applyProtection="0"/>
    <xf numFmtId="0" fontId="16" fillId="1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2" borderId="0" applyNumberFormat="0" applyBorder="0" applyAlignment="0" applyProtection="0"/>
    <xf numFmtId="0" fontId="16" fillId="21" borderId="0" applyNumberFormat="0" applyBorder="0" applyAlignment="0" applyProtection="0"/>
    <xf numFmtId="0" fontId="17" fillId="27" borderId="0" applyNumberFormat="0" applyBorder="0" applyAlignment="0" applyProtection="0"/>
    <xf numFmtId="0" fontId="17" fillId="12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8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8" fillId="34" borderId="0" applyNumberFormat="0" applyBorder="0" applyAlignment="0" applyProtection="0"/>
    <xf numFmtId="0" fontId="18" fillId="35" borderId="0" applyNumberFormat="0" applyBorder="0" applyAlignment="0" applyProtection="0"/>
    <xf numFmtId="0" fontId="19" fillId="36" borderId="0" applyNumberFormat="0" applyBorder="0" applyAlignment="0" applyProtection="0"/>
    <xf numFmtId="0" fontId="19" fillId="37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4" borderId="0" applyNumberFormat="0" applyBorder="0" applyAlignment="0" applyProtection="0"/>
    <xf numFmtId="0" fontId="18" fillId="45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8" fillId="33" borderId="0" applyNumberFormat="0" applyBorder="0" applyAlignment="0" applyProtection="0"/>
    <xf numFmtId="0" fontId="18" fillId="46" borderId="0" applyNumberFormat="0" applyBorder="0" applyAlignment="0" applyProtection="0"/>
    <xf numFmtId="0" fontId="18" fillId="47" borderId="0" applyNumberFormat="0" applyBorder="0" applyAlignment="0" applyProtection="0"/>
    <xf numFmtId="0" fontId="19" fillId="48" borderId="0" applyNumberFormat="0" applyBorder="0" applyAlignment="0" applyProtection="0"/>
    <xf numFmtId="0" fontId="19" fillId="37" borderId="0" applyNumberFormat="0" applyBorder="0" applyAlignment="0" applyProtection="0"/>
    <xf numFmtId="0" fontId="18" fillId="49" borderId="0" applyNumberFormat="0" applyBorder="0" applyAlignment="0" applyProtection="0"/>
    <xf numFmtId="0" fontId="18" fillId="50" borderId="0" applyNumberFormat="0" applyBorder="0" applyAlignment="0" applyProtection="0"/>
    <xf numFmtId="0" fontId="20" fillId="37" borderId="0" applyNumberFormat="0" applyBorder="0" applyAlignment="0" applyProtection="0"/>
    <xf numFmtId="0" fontId="21" fillId="51" borderId="4" applyNumberFormat="0" applyAlignment="0" applyProtection="0"/>
    <xf numFmtId="0" fontId="22" fillId="38" borderId="5" applyNumberFormat="0" applyAlignment="0" applyProtection="0"/>
    <xf numFmtId="0" fontId="23" fillId="52" borderId="0" applyNumberFormat="0" applyBorder="0" applyAlignment="0" applyProtection="0"/>
    <xf numFmtId="0" fontId="23" fillId="53" borderId="0" applyNumberFormat="0" applyBorder="0" applyAlignment="0" applyProtection="0"/>
    <xf numFmtId="0" fontId="23" fillId="54" borderId="0" applyNumberFormat="0" applyBorder="0" applyAlignment="0" applyProtection="0"/>
    <xf numFmtId="0" fontId="24" fillId="0" borderId="0" applyNumberFormat="0" applyFill="0" applyBorder="0" applyAlignment="0" applyProtection="0"/>
    <xf numFmtId="0" fontId="25" fillId="55" borderId="0" applyNumberFormat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8" fillId="0" borderId="8" applyNumberFormat="0" applyFill="0" applyAlignment="0" applyProtection="0"/>
    <xf numFmtId="0" fontId="28" fillId="0" borderId="0" applyNumberFormat="0" applyFill="0" applyBorder="0" applyAlignment="0" applyProtection="0"/>
    <xf numFmtId="0" fontId="29" fillId="49" borderId="4" applyNumberFormat="0" applyAlignment="0" applyProtection="0"/>
    <xf numFmtId="0" fontId="30" fillId="0" borderId="9" applyNumberFormat="0" applyFill="0" applyAlignment="0" applyProtection="0"/>
    <xf numFmtId="0" fontId="31" fillId="49" borderId="0" applyNumberFormat="0" applyBorder="0" applyAlignment="0" applyProtection="0"/>
    <xf numFmtId="0" fontId="32" fillId="0" borderId="0"/>
    <xf numFmtId="0" fontId="9" fillId="48" borderId="10" applyNumberFormat="0" applyFont="0" applyAlignment="0" applyProtection="0"/>
    <xf numFmtId="0" fontId="33" fillId="51" borderId="11" applyNumberFormat="0" applyAlignment="0" applyProtection="0"/>
    <xf numFmtId="0" fontId="9" fillId="0" borderId="0"/>
    <xf numFmtId="4" fontId="34" fillId="56" borderId="12" applyNumberFormat="0" applyProtection="0">
      <alignment vertical="center"/>
    </xf>
    <xf numFmtId="0" fontId="9" fillId="0" borderId="0"/>
    <xf numFmtId="0" fontId="9" fillId="0" borderId="0"/>
    <xf numFmtId="0" fontId="9" fillId="0" borderId="0"/>
    <xf numFmtId="4" fontId="35" fillId="56" borderId="12" applyNumberFormat="0" applyProtection="0">
      <alignment vertical="center"/>
    </xf>
    <xf numFmtId="0" fontId="9" fillId="0" borderId="0"/>
    <xf numFmtId="0" fontId="9" fillId="0" borderId="0"/>
    <xf numFmtId="4" fontId="34" fillId="56" borderId="12" applyNumberFormat="0" applyProtection="0">
      <alignment horizontal="left" vertical="center" indent="1"/>
    </xf>
    <xf numFmtId="0" fontId="9" fillId="0" borderId="0"/>
    <xf numFmtId="4" fontId="36" fillId="57" borderId="13" applyNumberFormat="0" applyProtection="0">
      <alignment horizontal="left" vertical="center" indent="1"/>
    </xf>
    <xf numFmtId="0" fontId="9" fillId="0" borderId="0"/>
    <xf numFmtId="0" fontId="34" fillId="56" borderId="12" applyNumberFormat="0" applyProtection="0">
      <alignment horizontal="left" vertical="top" indent="1"/>
    </xf>
    <xf numFmtId="0" fontId="9" fillId="0" borderId="0"/>
    <xf numFmtId="0" fontId="9" fillId="0" borderId="0"/>
    <xf numFmtId="4" fontId="34" fillId="11" borderId="0" applyNumberFormat="0" applyProtection="0">
      <alignment horizontal="left" vertical="center" indent="1"/>
    </xf>
    <xf numFmtId="0" fontId="9" fillId="0" borderId="0"/>
    <xf numFmtId="0" fontId="9" fillId="0" borderId="0"/>
    <xf numFmtId="4" fontId="14" fillId="16" borderId="12" applyNumberFormat="0" applyProtection="0">
      <alignment horizontal="right" vertical="center"/>
    </xf>
    <xf numFmtId="0" fontId="9" fillId="0" borderId="0"/>
    <xf numFmtId="0" fontId="9" fillId="0" borderId="0"/>
    <xf numFmtId="4" fontId="14" fillId="12" borderId="12" applyNumberFormat="0" applyProtection="0">
      <alignment horizontal="right" vertical="center"/>
    </xf>
    <xf numFmtId="0" fontId="9" fillId="0" borderId="0"/>
    <xf numFmtId="0" fontId="9" fillId="0" borderId="0"/>
    <xf numFmtId="4" fontId="14" fillId="58" borderId="12" applyNumberFormat="0" applyProtection="0">
      <alignment horizontal="right" vertical="center"/>
    </xf>
    <xf numFmtId="0" fontId="9" fillId="0" borderId="0"/>
    <xf numFmtId="0" fontId="9" fillId="0" borderId="0"/>
    <xf numFmtId="4" fontId="14" fillId="26" borderId="12" applyNumberFormat="0" applyProtection="0">
      <alignment horizontal="right" vertical="center"/>
    </xf>
    <xf numFmtId="0" fontId="9" fillId="0" borderId="0"/>
    <xf numFmtId="0" fontId="9" fillId="0" borderId="0"/>
    <xf numFmtId="4" fontId="14" fillId="30" borderId="12" applyNumberFormat="0" applyProtection="0">
      <alignment horizontal="right" vertical="center"/>
    </xf>
    <xf numFmtId="0" fontId="9" fillId="0" borderId="0"/>
    <xf numFmtId="0" fontId="9" fillId="0" borderId="0"/>
    <xf numFmtId="4" fontId="14" fillId="59" borderId="12" applyNumberFormat="0" applyProtection="0">
      <alignment horizontal="right" vertical="center"/>
    </xf>
    <xf numFmtId="0" fontId="9" fillId="0" borderId="0"/>
    <xf numFmtId="0" fontId="9" fillId="0" borderId="0"/>
    <xf numFmtId="4" fontId="14" fillId="23" borderId="12" applyNumberFormat="0" applyProtection="0">
      <alignment horizontal="right" vertical="center"/>
    </xf>
    <xf numFmtId="0" fontId="9" fillId="0" borderId="0"/>
    <xf numFmtId="0" fontId="9" fillId="0" borderId="0"/>
    <xf numFmtId="4" fontId="14" fillId="60" borderId="12" applyNumberFormat="0" applyProtection="0">
      <alignment horizontal="right" vertical="center"/>
    </xf>
    <xf numFmtId="0" fontId="9" fillId="0" borderId="0"/>
    <xf numFmtId="0" fontId="9" fillId="0" borderId="0"/>
    <xf numFmtId="4" fontId="14" fillId="25" borderId="12" applyNumberFormat="0" applyProtection="0">
      <alignment horizontal="right" vertical="center"/>
    </xf>
    <xf numFmtId="0" fontId="9" fillId="0" borderId="0"/>
    <xf numFmtId="0" fontId="9" fillId="0" borderId="0"/>
    <xf numFmtId="4" fontId="34" fillId="61" borderId="14" applyNumberFormat="0" applyProtection="0">
      <alignment horizontal="left" vertical="center" indent="1"/>
    </xf>
    <xf numFmtId="0" fontId="9" fillId="0" borderId="0"/>
    <xf numFmtId="0" fontId="9" fillId="0" borderId="0"/>
    <xf numFmtId="4" fontId="14" fillId="62" borderId="0" applyNumberFormat="0" applyProtection="0">
      <alignment horizontal="left" vertical="center" indent="1"/>
    </xf>
    <xf numFmtId="0" fontId="9" fillId="0" borderId="0"/>
    <xf numFmtId="0" fontId="9" fillId="0" borderId="0"/>
    <xf numFmtId="4" fontId="37" fillId="22" borderId="0" applyNumberFormat="0" applyProtection="0">
      <alignment horizontal="left" vertical="center" indent="1"/>
    </xf>
    <xf numFmtId="0" fontId="9" fillId="0" borderId="0"/>
    <xf numFmtId="0" fontId="9" fillId="0" borderId="0"/>
    <xf numFmtId="4" fontId="14" fillId="11" borderId="12" applyNumberFormat="0" applyProtection="0">
      <alignment horizontal="right" vertical="center"/>
    </xf>
    <xf numFmtId="0" fontId="9" fillId="0" borderId="0"/>
    <xf numFmtId="0" fontId="9" fillId="0" borderId="0"/>
    <xf numFmtId="4" fontId="38" fillId="62" borderId="0" applyNumberFormat="0" applyProtection="0">
      <alignment horizontal="left" vertical="center" indent="1"/>
    </xf>
    <xf numFmtId="0" fontId="9" fillId="0" borderId="0"/>
    <xf numFmtId="0" fontId="9" fillId="0" borderId="0"/>
    <xf numFmtId="4" fontId="38" fillId="11" borderId="0" applyNumberFormat="0" applyProtection="0">
      <alignment horizontal="left" vertical="center" indent="1"/>
    </xf>
    <xf numFmtId="0" fontId="9" fillId="0" borderId="0"/>
    <xf numFmtId="0" fontId="36" fillId="24" borderId="13" applyNumberFormat="0" applyProtection="0">
      <alignment horizontal="left" vertical="center" indent="1"/>
    </xf>
    <xf numFmtId="0" fontId="9" fillId="22" borderId="12" applyNumberFormat="0" applyProtection="0">
      <alignment horizontal="left" vertical="center" indent="1"/>
    </xf>
    <xf numFmtId="0" fontId="9" fillId="22" borderId="12" applyNumberFormat="0" applyProtection="0">
      <alignment horizontal="left" vertical="center" indent="1"/>
    </xf>
    <xf numFmtId="0" fontId="9" fillId="0" borderId="0"/>
    <xf numFmtId="0" fontId="9" fillId="22" borderId="12" applyNumberFormat="0" applyProtection="0">
      <alignment horizontal="left" vertical="top" indent="1"/>
    </xf>
    <xf numFmtId="0" fontId="9" fillId="0" borderId="0"/>
    <xf numFmtId="0" fontId="36" fillId="63" borderId="13" applyNumberFormat="0" applyProtection="0">
      <alignment horizontal="left" vertical="center" indent="1"/>
    </xf>
    <xf numFmtId="0" fontId="9" fillId="11" borderId="12" applyNumberFormat="0" applyProtection="0">
      <alignment horizontal="left" vertical="center" indent="1"/>
    </xf>
    <xf numFmtId="0" fontId="9" fillId="0" borderId="0"/>
    <xf numFmtId="0" fontId="9" fillId="11" borderId="12" applyNumberFormat="0" applyProtection="0">
      <alignment horizontal="left" vertical="top" indent="1"/>
    </xf>
    <xf numFmtId="0" fontId="9" fillId="0" borderId="0"/>
    <xf numFmtId="0" fontId="36" fillId="15" borderId="13" applyNumberFormat="0" applyProtection="0">
      <alignment horizontal="left" vertical="center" indent="1"/>
    </xf>
    <xf numFmtId="0" fontId="36" fillId="15" borderId="13" applyNumberFormat="0" applyProtection="0">
      <alignment horizontal="left" vertical="center" indent="1"/>
    </xf>
    <xf numFmtId="0" fontId="9" fillId="0" borderId="0"/>
    <xf numFmtId="0" fontId="9" fillId="15" borderId="12" applyNumberFormat="0" applyProtection="0">
      <alignment horizontal="left" vertical="top" indent="1"/>
    </xf>
    <xf numFmtId="0" fontId="9" fillId="0" borderId="0"/>
    <xf numFmtId="0" fontId="9" fillId="0" borderId="0"/>
    <xf numFmtId="0" fontId="9" fillId="62" borderId="12" applyNumberFormat="0" applyProtection="0">
      <alignment horizontal="left" vertical="center" indent="1"/>
    </xf>
    <xf numFmtId="0" fontId="9" fillId="0" borderId="0"/>
    <xf numFmtId="0" fontId="9" fillId="0" borderId="0"/>
    <xf numFmtId="0" fontId="9" fillId="62" borderId="12" applyNumberFormat="0" applyProtection="0">
      <alignment horizontal="left" vertical="top" indent="1"/>
    </xf>
    <xf numFmtId="0" fontId="9" fillId="0" borderId="0"/>
    <xf numFmtId="0" fontId="9" fillId="0" borderId="0"/>
    <xf numFmtId="0" fontId="9" fillId="14" borderId="1" applyNumberFormat="0">
      <protection locked="0"/>
    </xf>
    <xf numFmtId="0" fontId="9" fillId="0" borderId="0"/>
    <xf numFmtId="0" fontId="39" fillId="22" borderId="15" applyBorder="0"/>
    <xf numFmtId="0" fontId="9" fillId="0" borderId="0"/>
    <xf numFmtId="4" fontId="14" fillId="13" borderId="12" applyNumberFormat="0" applyProtection="0">
      <alignment vertical="center"/>
    </xf>
    <xf numFmtId="0" fontId="9" fillId="0" borderId="0"/>
    <xf numFmtId="0" fontId="9" fillId="0" borderId="0"/>
    <xf numFmtId="4" fontId="40" fillId="13" borderId="12" applyNumberFormat="0" applyProtection="0">
      <alignment vertical="center"/>
    </xf>
    <xf numFmtId="0" fontId="9" fillId="0" borderId="0"/>
    <xf numFmtId="0" fontId="9" fillId="0" borderId="0"/>
    <xf numFmtId="4" fontId="14" fillId="13" borderId="12" applyNumberFormat="0" applyProtection="0">
      <alignment horizontal="left" vertical="center" indent="1"/>
    </xf>
    <xf numFmtId="0" fontId="9" fillId="0" borderId="0"/>
    <xf numFmtId="0" fontId="9" fillId="0" borderId="0"/>
    <xf numFmtId="0" fontId="14" fillId="13" borderId="12" applyNumberFormat="0" applyProtection="0">
      <alignment horizontal="left" vertical="top" indent="1"/>
    </xf>
    <xf numFmtId="0" fontId="9" fillId="0" borderId="0"/>
    <xf numFmtId="4" fontId="36" fillId="0" borderId="13" applyNumberFormat="0" applyProtection="0">
      <alignment horizontal="right" vertical="center"/>
    </xf>
    <xf numFmtId="4" fontId="36" fillId="0" borderId="13" applyNumberFormat="0" applyProtection="0">
      <alignment horizontal="right" vertical="center"/>
    </xf>
    <xf numFmtId="4" fontId="36" fillId="0" borderId="13" applyNumberFormat="0" applyProtection="0">
      <alignment horizontal="right" vertical="center"/>
    </xf>
    <xf numFmtId="0" fontId="9" fillId="0" borderId="0"/>
    <xf numFmtId="4" fontId="40" fillId="62" borderId="12" applyNumberFormat="0" applyProtection="0">
      <alignment horizontal="right" vertical="center"/>
    </xf>
    <xf numFmtId="0" fontId="9" fillId="0" borderId="0"/>
    <xf numFmtId="0" fontId="9" fillId="0" borderId="0"/>
    <xf numFmtId="4" fontId="14" fillId="11" borderId="12" applyNumberFormat="0" applyProtection="0">
      <alignment horizontal="left" vertical="center" indent="1"/>
    </xf>
    <xf numFmtId="0" fontId="9" fillId="0" borderId="0"/>
    <xf numFmtId="0" fontId="9" fillId="0" borderId="0"/>
    <xf numFmtId="0" fontId="9" fillId="0" borderId="0"/>
    <xf numFmtId="0" fontId="14" fillId="11" borderId="12" applyNumberFormat="0" applyProtection="0">
      <alignment horizontal="left" vertical="top" indent="1"/>
    </xf>
    <xf numFmtId="0" fontId="9" fillId="0" borderId="0"/>
    <xf numFmtId="0" fontId="9" fillId="0" borderId="0"/>
    <xf numFmtId="4" fontId="41" fillId="64" borderId="0" applyNumberFormat="0" applyProtection="0">
      <alignment horizontal="left" vertical="center" indent="1"/>
    </xf>
    <xf numFmtId="0" fontId="9" fillId="0" borderId="0"/>
    <xf numFmtId="0" fontId="36" fillId="65" borderId="1"/>
    <xf numFmtId="0" fontId="9" fillId="0" borderId="0"/>
    <xf numFmtId="4" fontId="42" fillId="62" borderId="12" applyNumberFormat="0" applyProtection="0">
      <alignment horizontal="right" vertical="center"/>
    </xf>
    <xf numFmtId="0" fontId="9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3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17" fillId="66" borderId="0" applyNumberFormat="0" applyBorder="0" applyAlignment="0" applyProtection="0"/>
    <xf numFmtId="0" fontId="17" fillId="58" borderId="0" applyNumberFormat="0" applyBorder="0" applyAlignment="0" applyProtection="0"/>
    <xf numFmtId="0" fontId="17" fillId="23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59" borderId="0" applyNumberFormat="0" applyBorder="0" applyAlignment="0" applyProtection="0"/>
    <xf numFmtId="0" fontId="45" fillId="21" borderId="4" applyNumberFormat="0" applyAlignment="0" applyProtection="0"/>
    <xf numFmtId="0" fontId="46" fillId="24" borderId="11" applyNumberFormat="0" applyAlignment="0" applyProtection="0"/>
    <xf numFmtId="0" fontId="47" fillId="24" borderId="4" applyNumberFormat="0" applyAlignment="0" applyProtection="0"/>
    <xf numFmtId="0" fontId="48" fillId="0" borderId="17" applyNumberFormat="0" applyFill="0" applyAlignment="0" applyProtection="0"/>
    <xf numFmtId="0" fontId="49" fillId="0" borderId="7" applyNumberFormat="0" applyFill="0" applyAlignment="0" applyProtection="0"/>
    <xf numFmtId="0" fontId="50" fillId="0" borderId="18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19" applyNumberFormat="0" applyFill="0" applyAlignment="0" applyProtection="0"/>
    <xf numFmtId="0" fontId="52" fillId="67" borderId="5" applyNumberFormat="0" applyAlignment="0" applyProtection="0"/>
    <xf numFmtId="0" fontId="53" fillId="0" borderId="0" applyNumberFormat="0" applyFill="0" applyBorder="0" applyAlignment="0" applyProtection="0"/>
    <xf numFmtId="0" fontId="54" fillId="5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5" fillId="0" borderId="0"/>
    <xf numFmtId="0" fontId="5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9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58" fillId="68" borderId="0"/>
    <xf numFmtId="0" fontId="3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9" fillId="0" borderId="0"/>
    <xf numFmtId="0" fontId="5" fillId="0" borderId="0"/>
    <xf numFmtId="0" fontId="58" fillId="68" borderId="0"/>
    <xf numFmtId="0" fontId="55" fillId="0" borderId="0"/>
    <xf numFmtId="0" fontId="59" fillId="16" borderId="0" applyNumberFormat="0" applyBorder="0" applyAlignment="0" applyProtection="0"/>
    <xf numFmtId="0" fontId="60" fillId="0" borderId="0" applyNumberFormat="0" applyFill="0" applyBorder="0" applyAlignment="0" applyProtection="0"/>
    <xf numFmtId="0" fontId="9" fillId="13" borderId="10" applyNumberFormat="0" applyFon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1" fillId="0" borderId="20" applyNumberFormat="0" applyFill="0" applyAlignment="0" applyProtection="0"/>
    <xf numFmtId="0" fontId="62" fillId="0" borderId="0"/>
    <xf numFmtId="0" fontId="63" fillId="0" borderId="0" applyNumberFormat="0" applyFill="0" applyBorder="0" applyAlignment="0" applyProtection="0"/>
    <xf numFmtId="166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64" fillId="18" borderId="0" applyNumberFormat="0" applyBorder="0" applyAlignment="0" applyProtection="0"/>
  </cellStyleXfs>
  <cellXfs count="530">
    <xf numFmtId="0" fontId="0" fillId="0" borderId="0" xfId="0"/>
    <xf numFmtId="0" fontId="2" fillId="0" borderId="0" xfId="0" applyFont="1"/>
    <xf numFmtId="165" fontId="4" fillId="2" borderId="1" xfId="1" applyNumberFormat="1" applyFont="1" applyFill="1" applyBorder="1" applyAlignment="1">
      <alignment horizontal="center"/>
    </xf>
    <xf numFmtId="0" fontId="4" fillId="2" borderId="1" xfId="1" applyFont="1" applyFill="1" applyBorder="1" applyAlignment="1">
      <alignment wrapText="1"/>
    </xf>
    <xf numFmtId="0" fontId="5" fillId="2" borderId="1" xfId="1" applyFont="1" applyFill="1" applyBorder="1" applyAlignment="1">
      <alignment horizontal="center" wrapText="1"/>
    </xf>
    <xf numFmtId="165" fontId="5" fillId="0" borderId="1" xfId="1" applyNumberFormat="1" applyFont="1" applyFill="1" applyBorder="1" applyAlignment="1">
      <alignment horizontal="center" wrapText="1"/>
    </xf>
    <xf numFmtId="0" fontId="5" fillId="3" borderId="1" xfId="1" applyFont="1" applyFill="1" applyBorder="1" applyAlignment="1">
      <alignment wrapText="1"/>
    </xf>
    <xf numFmtId="49" fontId="5" fillId="3" borderId="1" xfId="1" applyNumberFormat="1" applyFont="1" applyFill="1" applyBorder="1" applyAlignment="1">
      <alignment horizontal="center" wrapText="1"/>
    </xf>
    <xf numFmtId="0" fontId="2" fillId="0" borderId="1" xfId="0" applyFont="1" applyBorder="1"/>
    <xf numFmtId="165" fontId="5" fillId="3" borderId="1" xfId="1" applyNumberFormat="1" applyFont="1" applyFill="1" applyBorder="1" applyAlignment="1">
      <alignment horizontal="center" wrapText="1"/>
    </xf>
    <xf numFmtId="0" fontId="5" fillId="3" borderId="1" xfId="1" applyFont="1" applyFill="1" applyBorder="1" applyAlignment="1">
      <alignment vertical="top" wrapText="1"/>
    </xf>
    <xf numFmtId="0" fontId="5" fillId="0" borderId="1" xfId="1" applyFont="1" applyFill="1" applyBorder="1" applyAlignment="1">
      <alignment wrapText="1"/>
    </xf>
    <xf numFmtId="165" fontId="4" fillId="4" borderId="1" xfId="1" applyNumberFormat="1" applyFont="1" applyFill="1" applyBorder="1" applyAlignment="1">
      <alignment horizontal="center" wrapText="1"/>
    </xf>
    <xf numFmtId="0" fontId="4" fillId="4" borderId="1" xfId="1" applyFont="1" applyFill="1" applyBorder="1" applyAlignment="1">
      <alignment wrapText="1"/>
    </xf>
    <xf numFmtId="49" fontId="4" fillId="4" borderId="1" xfId="1" applyNumberFormat="1" applyFont="1" applyFill="1" applyBorder="1" applyAlignment="1">
      <alignment horizontal="center" wrapText="1"/>
    </xf>
    <xf numFmtId="165" fontId="4" fillId="5" borderId="1" xfId="1" applyNumberFormat="1" applyFont="1" applyFill="1" applyBorder="1" applyAlignment="1">
      <alignment horizontal="center" wrapText="1"/>
    </xf>
    <xf numFmtId="0" fontId="4" fillId="5" borderId="1" xfId="1" applyFont="1" applyFill="1" applyBorder="1" applyAlignment="1">
      <alignment wrapText="1"/>
    </xf>
    <xf numFmtId="49" fontId="4" fillId="5" borderId="1" xfId="1" applyNumberFormat="1" applyFont="1" applyFill="1" applyBorder="1" applyAlignment="1">
      <alignment horizontal="center" wrapText="1"/>
    </xf>
    <xf numFmtId="165" fontId="4" fillId="3" borderId="1" xfId="1" applyNumberFormat="1" applyFont="1" applyFill="1" applyBorder="1" applyAlignment="1">
      <alignment horizontal="center"/>
    </xf>
    <xf numFmtId="0" fontId="4" fillId="3" borderId="1" xfId="1" applyFont="1" applyFill="1" applyBorder="1" applyAlignment="1">
      <alignment vertical="top" wrapText="1"/>
    </xf>
    <xf numFmtId="0" fontId="4" fillId="3" borderId="1" xfId="1" applyFont="1" applyFill="1" applyBorder="1" applyAlignment="1">
      <alignment horizontal="center" vertical="top" wrapText="1"/>
    </xf>
    <xf numFmtId="0" fontId="4" fillId="3" borderId="1" xfId="1" applyNumberFormat="1" applyFont="1" applyFill="1" applyBorder="1" applyAlignment="1">
      <alignment horizontal="center" vertical="top" wrapText="1"/>
    </xf>
    <xf numFmtId="49" fontId="4" fillId="3" borderId="1" xfId="1" applyNumberFormat="1" applyFont="1" applyFill="1" applyBorder="1" applyAlignment="1">
      <alignment horizontal="center" vertical="top" wrapText="1"/>
    </xf>
    <xf numFmtId="0" fontId="2" fillId="3" borderId="0" xfId="0" applyFont="1" applyFill="1"/>
    <xf numFmtId="0" fontId="2" fillId="4" borderId="1" xfId="0" applyFont="1" applyFill="1" applyBorder="1"/>
    <xf numFmtId="0" fontId="2" fillId="5" borderId="1" xfId="0" applyFont="1" applyFill="1" applyBorder="1"/>
    <xf numFmtId="165" fontId="4" fillId="3" borderId="1" xfId="1" applyNumberFormat="1" applyFont="1" applyFill="1" applyBorder="1" applyAlignment="1">
      <alignment horizontal="center" wrapText="1"/>
    </xf>
    <xf numFmtId="0" fontId="4" fillId="3" borderId="1" xfId="1" applyFont="1" applyFill="1" applyBorder="1" applyAlignment="1">
      <alignment horizontal="left" vertical="top" wrapText="1"/>
    </xf>
    <xf numFmtId="165" fontId="4" fillId="6" borderId="1" xfId="1" applyNumberFormat="1" applyFont="1" applyFill="1" applyBorder="1" applyAlignment="1">
      <alignment horizontal="center" wrapText="1"/>
    </xf>
    <xf numFmtId="0" fontId="4" fillId="6" borderId="1" xfId="0" applyFont="1" applyFill="1" applyBorder="1" applyAlignment="1">
      <alignment wrapText="1"/>
    </xf>
    <xf numFmtId="49" fontId="4" fillId="6" borderId="1" xfId="1" applyNumberFormat="1" applyFont="1" applyFill="1" applyBorder="1" applyAlignment="1">
      <alignment horizontal="center" wrapText="1"/>
    </xf>
    <xf numFmtId="165" fontId="4" fillId="7" borderId="1" xfId="1" applyNumberFormat="1" applyFont="1" applyFill="1" applyBorder="1" applyAlignment="1">
      <alignment horizontal="center" vertical="top" wrapText="1"/>
    </xf>
    <xf numFmtId="0" fontId="4" fillId="7" borderId="1" xfId="1" applyFont="1" applyFill="1" applyBorder="1" applyAlignment="1">
      <alignment vertical="top" wrapText="1"/>
    </xf>
    <xf numFmtId="49" fontId="4" fillId="7" borderId="1" xfId="1" applyNumberFormat="1" applyFont="1" applyFill="1" applyBorder="1" applyAlignment="1">
      <alignment horizontal="center" vertical="top" wrapText="1"/>
    </xf>
    <xf numFmtId="0" fontId="4" fillId="7" borderId="1" xfId="1" applyNumberFormat="1" applyFont="1" applyFill="1" applyBorder="1" applyAlignment="1">
      <alignment horizontal="center" vertical="top" wrapText="1"/>
    </xf>
    <xf numFmtId="0" fontId="5" fillId="7" borderId="1" xfId="1" applyFont="1" applyFill="1" applyBorder="1" applyAlignment="1">
      <alignment horizontal="center" vertical="top" wrapText="1"/>
    </xf>
    <xf numFmtId="0" fontId="5" fillId="3" borderId="1" xfId="1" applyFont="1" applyFill="1" applyBorder="1" applyAlignment="1">
      <alignment horizontal="center" vertical="top" wrapText="1"/>
    </xf>
    <xf numFmtId="165" fontId="4" fillId="2" borderId="1" xfId="1" applyNumberFormat="1" applyFont="1" applyFill="1" applyBorder="1" applyAlignment="1">
      <alignment horizontal="center" wrapText="1"/>
    </xf>
    <xf numFmtId="0" fontId="4" fillId="2" borderId="1" xfId="1" applyFont="1" applyFill="1" applyBorder="1" applyAlignment="1">
      <alignment vertical="top" wrapText="1"/>
    </xf>
    <xf numFmtId="0" fontId="4" fillId="2" borderId="1" xfId="1" applyFont="1" applyFill="1" applyBorder="1" applyAlignment="1">
      <alignment horizontal="center" vertical="top" wrapText="1"/>
    </xf>
    <xf numFmtId="0" fontId="4" fillId="2" borderId="1" xfId="1" applyNumberFormat="1" applyFont="1" applyFill="1" applyBorder="1" applyAlignment="1">
      <alignment horizontal="center" vertical="top" wrapText="1"/>
    </xf>
    <xf numFmtId="49" fontId="4" fillId="2" borderId="1" xfId="1" applyNumberFormat="1" applyFont="1" applyFill="1" applyBorder="1" applyAlignment="1">
      <alignment horizontal="center" vertical="top" wrapText="1"/>
    </xf>
    <xf numFmtId="0" fontId="4" fillId="4" borderId="1" xfId="1" applyFont="1" applyFill="1" applyBorder="1" applyAlignment="1">
      <alignment horizontal="left" vertical="top" wrapText="1"/>
    </xf>
    <xf numFmtId="49" fontId="4" fillId="4" borderId="1" xfId="1" applyNumberFormat="1" applyFont="1" applyFill="1" applyBorder="1" applyAlignment="1">
      <alignment horizontal="center" vertical="top" wrapText="1"/>
    </xf>
    <xf numFmtId="0" fontId="4" fillId="4" borderId="1" xfId="1" applyNumberFormat="1" applyFont="1" applyFill="1" applyBorder="1" applyAlignment="1">
      <alignment horizontal="center" vertical="top" wrapText="1"/>
    </xf>
    <xf numFmtId="49" fontId="5" fillId="4" borderId="1" xfId="1" applyNumberFormat="1" applyFont="1" applyFill="1" applyBorder="1" applyAlignment="1">
      <alignment horizontal="center" wrapText="1"/>
    </xf>
    <xf numFmtId="0" fontId="4" fillId="5" borderId="1" xfId="1" applyFont="1" applyFill="1" applyBorder="1" applyAlignment="1">
      <alignment horizontal="left" vertical="top" wrapText="1"/>
    </xf>
    <xf numFmtId="49" fontId="4" fillId="5" borderId="1" xfId="1" applyNumberFormat="1" applyFont="1" applyFill="1" applyBorder="1" applyAlignment="1">
      <alignment horizontal="center" vertical="top" wrapText="1"/>
    </xf>
    <xf numFmtId="0" fontId="4" fillId="5" borderId="1" xfId="1" applyNumberFormat="1" applyFont="1" applyFill="1" applyBorder="1" applyAlignment="1">
      <alignment horizontal="center" vertical="top" wrapText="1"/>
    </xf>
    <xf numFmtId="49" fontId="5" fillId="5" borderId="1" xfId="1" applyNumberFormat="1" applyFont="1" applyFill="1" applyBorder="1" applyAlignment="1">
      <alignment horizontal="center" vertical="top" wrapText="1"/>
    </xf>
    <xf numFmtId="0" fontId="5" fillId="5" borderId="1" xfId="1" applyFont="1" applyFill="1" applyBorder="1" applyAlignment="1">
      <alignment horizontal="center" vertical="top" wrapText="1"/>
    </xf>
    <xf numFmtId="0" fontId="4" fillId="6" borderId="1" xfId="1" applyFont="1" applyFill="1" applyBorder="1" applyAlignment="1">
      <alignment wrapText="1"/>
    </xf>
    <xf numFmtId="0" fontId="4" fillId="0" borderId="1" xfId="1" applyFont="1" applyFill="1" applyBorder="1" applyAlignment="1">
      <alignment horizontal="center" vertical="top" wrapText="1"/>
    </xf>
    <xf numFmtId="0" fontId="4" fillId="7" borderId="1" xfId="1" applyFont="1" applyFill="1" applyBorder="1" applyAlignment="1">
      <alignment horizontal="center" vertical="top" wrapText="1"/>
    </xf>
    <xf numFmtId="49" fontId="5" fillId="3" borderId="1" xfId="1" applyNumberFormat="1" applyFont="1" applyFill="1" applyBorder="1" applyAlignment="1">
      <alignment horizontal="center" vertical="top" wrapText="1"/>
    </xf>
    <xf numFmtId="0" fontId="5" fillId="3" borderId="1" xfId="1" applyFont="1" applyFill="1" applyBorder="1" applyAlignment="1">
      <alignment horizontal="left" vertical="top" wrapText="1"/>
    </xf>
    <xf numFmtId="0" fontId="5" fillId="3" borderId="1" xfId="1" applyNumberFormat="1" applyFont="1" applyFill="1" applyBorder="1" applyAlignment="1">
      <alignment horizontal="center" vertical="top" wrapText="1"/>
    </xf>
    <xf numFmtId="0" fontId="6" fillId="0" borderId="0" xfId="0" applyFont="1"/>
    <xf numFmtId="165" fontId="5" fillId="0" borderId="1" xfId="1" applyNumberFormat="1" applyFont="1" applyFill="1" applyBorder="1" applyAlignment="1">
      <alignment horizontal="center" vertical="top" wrapText="1"/>
    </xf>
    <xf numFmtId="165" fontId="4" fillId="0" borderId="1" xfId="1" applyNumberFormat="1" applyFont="1" applyFill="1" applyBorder="1" applyAlignment="1">
      <alignment horizontal="center" vertical="top" wrapText="1"/>
    </xf>
    <xf numFmtId="49" fontId="4" fillId="3" borderId="1" xfId="1" applyNumberFormat="1" applyFont="1" applyFill="1" applyBorder="1" applyAlignment="1">
      <alignment horizontal="center" wrapText="1"/>
    </xf>
    <xf numFmtId="49" fontId="7" fillId="3" borderId="1" xfId="1" applyNumberFormat="1" applyFont="1" applyFill="1" applyBorder="1" applyAlignment="1">
      <alignment horizontal="center" wrapText="1"/>
    </xf>
    <xf numFmtId="49" fontId="4" fillId="0" borderId="1" xfId="1" applyNumberFormat="1" applyFont="1" applyFill="1" applyBorder="1" applyAlignment="1">
      <alignment horizontal="center" vertical="top" wrapText="1"/>
    </xf>
    <xf numFmtId="0" fontId="5" fillId="0" borderId="1" xfId="1" applyFont="1" applyBorder="1" applyAlignment="1">
      <alignment wrapText="1"/>
    </xf>
    <xf numFmtId="0" fontId="5" fillId="0" borderId="1" xfId="1" applyFont="1" applyFill="1" applyBorder="1" applyAlignment="1">
      <alignment horizontal="center" vertical="top" wrapText="1"/>
    </xf>
    <xf numFmtId="165" fontId="4" fillId="8" borderId="1" xfId="1" applyNumberFormat="1" applyFont="1" applyFill="1" applyBorder="1" applyAlignment="1">
      <alignment horizontal="center" vertical="top" wrapText="1"/>
    </xf>
    <xf numFmtId="0" fontId="4" fillId="8" borderId="1" xfId="1" applyFont="1" applyFill="1" applyBorder="1" applyAlignment="1">
      <alignment vertical="top" wrapText="1"/>
    </xf>
    <xf numFmtId="49" fontId="4" fillId="8" borderId="1" xfId="1" applyNumberFormat="1" applyFont="1" applyFill="1" applyBorder="1" applyAlignment="1">
      <alignment horizontal="center" vertical="top" wrapText="1"/>
    </xf>
    <xf numFmtId="0" fontId="4" fillId="8" borderId="1" xfId="1" applyNumberFormat="1" applyFont="1" applyFill="1" applyBorder="1" applyAlignment="1">
      <alignment horizontal="center" vertical="top" wrapText="1"/>
    </xf>
    <xf numFmtId="0" fontId="4" fillId="8" borderId="1" xfId="1" applyFont="1" applyFill="1" applyBorder="1" applyAlignment="1">
      <alignment horizontal="center" vertical="top" wrapText="1"/>
    </xf>
    <xf numFmtId="0" fontId="5" fillId="3" borderId="1" xfId="1" applyFont="1" applyFill="1" applyBorder="1" applyAlignment="1">
      <alignment horizontal="center"/>
    </xf>
    <xf numFmtId="0" fontId="5" fillId="3" borderId="2" xfId="0" applyFont="1" applyFill="1" applyBorder="1" applyAlignment="1">
      <alignment wrapText="1"/>
    </xf>
    <xf numFmtId="49" fontId="5" fillId="3" borderId="2" xfId="0" applyNumberFormat="1" applyFont="1" applyFill="1" applyBorder="1" applyAlignment="1">
      <alignment horizontal="center" wrapText="1"/>
    </xf>
    <xf numFmtId="49" fontId="5" fillId="0" borderId="1" xfId="1" applyNumberFormat="1" applyFont="1" applyFill="1" applyBorder="1" applyAlignment="1">
      <alignment horizontal="center" wrapText="1"/>
    </xf>
    <xf numFmtId="0" fontId="8" fillId="0" borderId="0" xfId="0" applyFont="1"/>
    <xf numFmtId="165" fontId="5" fillId="3" borderId="1" xfId="1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 vertical="top" wrapText="1"/>
    </xf>
    <xf numFmtId="0" fontId="5" fillId="3" borderId="1" xfId="2" applyFont="1" applyFill="1" applyBorder="1" applyAlignment="1">
      <alignment wrapText="1"/>
    </xf>
    <xf numFmtId="0" fontId="5" fillId="3" borderId="1" xfId="1" applyFont="1" applyFill="1" applyBorder="1" applyAlignment="1">
      <alignment horizontal="justify"/>
    </xf>
    <xf numFmtId="0" fontId="4" fillId="6" borderId="1" xfId="1" applyFont="1" applyFill="1" applyBorder="1" applyAlignment="1">
      <alignment horizontal="left" wrapText="1"/>
    </xf>
    <xf numFmtId="49" fontId="4" fillId="0" borderId="1" xfId="1" applyNumberFormat="1" applyFont="1" applyFill="1" applyBorder="1" applyAlignment="1">
      <alignment horizontal="center" wrapText="1"/>
    </xf>
    <xf numFmtId="165" fontId="4" fillId="0" borderId="1" xfId="1" applyNumberFormat="1" applyFont="1" applyFill="1" applyBorder="1" applyAlignment="1">
      <alignment horizontal="center" wrapText="1"/>
    </xf>
    <xf numFmtId="0" fontId="4" fillId="0" borderId="1" xfId="1" applyFont="1" applyFill="1" applyBorder="1" applyAlignment="1">
      <alignment vertical="top" wrapText="1"/>
    </xf>
    <xf numFmtId="49" fontId="5" fillId="0" borderId="1" xfId="1" applyNumberFormat="1" applyFont="1" applyFill="1" applyBorder="1" applyAlignment="1">
      <alignment horizontal="center" vertical="top" wrapText="1"/>
    </xf>
    <xf numFmtId="0" fontId="2" fillId="0" borderId="1" xfId="0" applyFont="1" applyFill="1" applyBorder="1"/>
    <xf numFmtId="0" fontId="4" fillId="4" borderId="1" xfId="1" applyFont="1" applyFill="1" applyBorder="1" applyAlignment="1">
      <alignment vertical="top" wrapText="1"/>
    </xf>
    <xf numFmtId="0" fontId="2" fillId="3" borderId="1" xfId="0" applyFont="1" applyFill="1" applyBorder="1"/>
    <xf numFmtId="0" fontId="5" fillId="0" borderId="1" xfId="1" applyNumberFormat="1" applyFont="1" applyFill="1" applyBorder="1" applyAlignment="1">
      <alignment horizontal="center" vertical="top" wrapText="1"/>
    </xf>
    <xf numFmtId="0" fontId="4" fillId="9" borderId="1" xfId="1" applyFont="1" applyFill="1" applyBorder="1" applyAlignment="1">
      <alignment horizontal="left" vertical="top" wrapText="1"/>
    </xf>
    <xf numFmtId="165" fontId="4" fillId="8" borderId="1" xfId="1" applyNumberFormat="1" applyFont="1" applyFill="1" applyBorder="1" applyAlignment="1">
      <alignment horizontal="center" wrapText="1"/>
    </xf>
    <xf numFmtId="0" fontId="4" fillId="8" borderId="1" xfId="1" applyFont="1" applyFill="1" applyBorder="1" applyAlignment="1">
      <alignment horizontal="left" vertical="top" wrapText="1"/>
    </xf>
    <xf numFmtId="0" fontId="2" fillId="8" borderId="1" xfId="0" applyFont="1" applyFill="1" applyBorder="1"/>
    <xf numFmtId="165" fontId="4" fillId="7" borderId="1" xfId="1" applyNumberFormat="1" applyFont="1" applyFill="1" applyBorder="1" applyAlignment="1">
      <alignment horizontal="center" wrapText="1"/>
    </xf>
    <xf numFmtId="0" fontId="2" fillId="7" borderId="1" xfId="0" applyFont="1" applyFill="1" applyBorder="1"/>
    <xf numFmtId="49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justify" vertical="top" wrapText="1"/>
    </xf>
    <xf numFmtId="0" fontId="5" fillId="0" borderId="1" xfId="1" applyFont="1" applyBorder="1" applyAlignment="1">
      <alignment horizontal="left" wrapText="1"/>
    </xf>
    <xf numFmtId="0" fontId="5" fillId="3" borderId="1" xfId="1" applyFont="1" applyFill="1" applyBorder="1" applyAlignment="1">
      <alignment horizontal="left" wrapText="1"/>
    </xf>
    <xf numFmtId="49" fontId="4" fillId="2" borderId="1" xfId="1" applyNumberFormat="1" applyFont="1" applyFill="1" applyBorder="1" applyAlignment="1">
      <alignment horizontal="center" wrapText="1"/>
    </xf>
    <xf numFmtId="0" fontId="5" fillId="0" borderId="1" xfId="1" applyFont="1" applyFill="1" applyBorder="1" applyAlignment="1">
      <alignment horizontal="left" wrapText="1"/>
    </xf>
    <xf numFmtId="0" fontId="8" fillId="4" borderId="1" xfId="0" applyFont="1" applyFill="1" applyBorder="1"/>
    <xf numFmtId="49" fontId="5" fillId="5" borderId="1" xfId="1" applyNumberFormat="1" applyFont="1" applyFill="1" applyBorder="1" applyAlignment="1">
      <alignment horizontal="center" wrapText="1"/>
    </xf>
    <xf numFmtId="0" fontId="5" fillId="0" borderId="1" xfId="1" applyFont="1" applyBorder="1" applyAlignment="1">
      <alignment vertical="center" wrapText="1"/>
    </xf>
    <xf numFmtId="0" fontId="2" fillId="10" borderId="0" xfId="0" applyFont="1" applyFill="1"/>
    <xf numFmtId="165" fontId="4" fillId="4" borderId="1" xfId="1" applyNumberFormat="1" applyFont="1" applyFill="1" applyBorder="1" applyAlignment="1">
      <alignment horizontal="center"/>
    </xf>
    <xf numFmtId="165" fontId="4" fillId="5" borderId="1" xfId="1" applyNumberFormat="1" applyFont="1" applyFill="1" applyBorder="1" applyAlignment="1">
      <alignment horizontal="center"/>
    </xf>
    <xf numFmtId="0" fontId="4" fillId="5" borderId="1" xfId="1" applyFont="1" applyFill="1" applyBorder="1" applyAlignment="1">
      <alignment vertical="top" wrapText="1"/>
    </xf>
    <xf numFmtId="0" fontId="8" fillId="5" borderId="1" xfId="0" applyFont="1" applyFill="1" applyBorder="1"/>
    <xf numFmtId="0" fontId="5" fillId="0" borderId="1" xfId="1" applyFont="1" applyBorder="1" applyAlignment="1">
      <alignment horizontal="justify" wrapText="1"/>
    </xf>
    <xf numFmtId="0" fontId="5" fillId="0" borderId="1" xfId="1" applyFont="1" applyBorder="1" applyAlignment="1">
      <alignment horizontal="justify"/>
    </xf>
    <xf numFmtId="0" fontId="5" fillId="3" borderId="1" xfId="1" applyFont="1" applyFill="1" applyBorder="1" applyAlignment="1">
      <alignment horizontal="justify" wrapText="1"/>
    </xf>
    <xf numFmtId="0" fontId="4" fillId="3" borderId="1" xfId="1" applyFont="1" applyFill="1" applyBorder="1" applyAlignment="1">
      <alignment wrapText="1"/>
    </xf>
    <xf numFmtId="0" fontId="4" fillId="3" borderId="1" xfId="1" applyFont="1" applyFill="1" applyBorder="1" applyAlignment="1">
      <alignment horizontal="center" wrapText="1"/>
    </xf>
    <xf numFmtId="0" fontId="8" fillId="0" borderId="1" xfId="0" applyFont="1" applyBorder="1"/>
    <xf numFmtId="0" fontId="10" fillId="0" borderId="0" xfId="0" applyFont="1"/>
    <xf numFmtId="0" fontId="11" fillId="3" borderId="1" xfId="1" applyFont="1" applyFill="1" applyBorder="1" applyAlignment="1">
      <alignment wrapText="1"/>
    </xf>
    <xf numFmtId="0" fontId="11" fillId="3" borderId="1" xfId="1" applyFont="1" applyFill="1" applyBorder="1" applyAlignment="1">
      <alignment horizontal="center" wrapText="1"/>
    </xf>
    <xf numFmtId="0" fontId="11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5" fillId="0" borderId="0" xfId="1" applyFont="1" applyFill="1" applyBorder="1" applyAlignment="1">
      <alignment vertical="center" wrapText="1"/>
    </xf>
    <xf numFmtId="0" fontId="13" fillId="0" borderId="0" xfId="1" applyFont="1" applyAlignment="1">
      <alignment wrapText="1"/>
    </xf>
    <xf numFmtId="0" fontId="5" fillId="0" borderId="0" xfId="1" applyFont="1" applyFill="1" applyBorder="1" applyAlignment="1">
      <alignment horizontal="right" vertical="center" wrapText="1"/>
    </xf>
    <xf numFmtId="0" fontId="5" fillId="0" borderId="0" xfId="1" applyFont="1" applyFill="1" applyBorder="1" applyAlignment="1">
      <alignment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/>
    <xf numFmtId="0" fontId="4" fillId="6" borderId="2" xfId="1" applyFont="1" applyFill="1" applyBorder="1" applyAlignment="1">
      <alignment wrapText="1"/>
    </xf>
    <xf numFmtId="0" fontId="5" fillId="3" borderId="2" xfId="1" applyFont="1" applyFill="1" applyBorder="1" applyAlignment="1">
      <alignment wrapText="1"/>
    </xf>
    <xf numFmtId="49" fontId="66" fillId="3" borderId="1" xfId="1" applyNumberFormat="1" applyFont="1" applyFill="1" applyBorder="1" applyAlignment="1">
      <alignment horizontal="center" wrapText="1"/>
    </xf>
    <xf numFmtId="0" fontId="7" fillId="3" borderId="1" xfId="1" applyFont="1" applyFill="1" applyBorder="1" applyAlignment="1">
      <alignment horizontal="justify"/>
    </xf>
    <xf numFmtId="0" fontId="69" fillId="0" borderId="0" xfId="0" applyFont="1"/>
    <xf numFmtId="0" fontId="5" fillId="3" borderId="0" xfId="1" applyFont="1" applyFill="1" applyAlignment="1">
      <alignment vertical="center" wrapText="1"/>
    </xf>
    <xf numFmtId="0" fontId="69" fillId="0" borderId="0" xfId="0" applyFont="1" applyAlignment="1"/>
    <xf numFmtId="0" fontId="69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68" fillId="0" borderId="1" xfId="0" applyFont="1" applyBorder="1" applyAlignment="1">
      <alignment horizontal="center" vertical="center" wrapText="1"/>
    </xf>
    <xf numFmtId="0" fontId="69" fillId="0" borderId="1" xfId="0" applyFont="1" applyBorder="1" applyAlignment="1">
      <alignment horizontal="center"/>
    </xf>
    <xf numFmtId="0" fontId="70" fillId="0" borderId="1" xfId="0" applyFont="1" applyBorder="1" applyAlignment="1">
      <alignment horizontal="center"/>
    </xf>
    <xf numFmtId="0" fontId="70" fillId="0" borderId="1" xfId="0" applyFont="1" applyBorder="1" applyAlignment="1">
      <alignment horizontal="center" vertical="center" wrapText="1"/>
    </xf>
    <xf numFmtId="165" fontId="70" fillId="0" borderId="1" xfId="0" applyNumberFormat="1" applyFont="1" applyBorder="1" applyAlignment="1">
      <alignment horizontal="center"/>
    </xf>
    <xf numFmtId="0" fontId="69" fillId="0" borderId="1" xfId="0" applyFont="1" applyBorder="1" applyAlignment="1">
      <alignment horizontal="center" vertical="center" wrapText="1"/>
    </xf>
    <xf numFmtId="165" fontId="69" fillId="0" borderId="1" xfId="0" applyNumberFormat="1" applyFont="1" applyBorder="1" applyAlignment="1">
      <alignment horizontal="center"/>
    </xf>
    <xf numFmtId="0" fontId="68" fillId="0" borderId="1" xfId="0" applyFont="1" applyBorder="1" applyAlignment="1">
      <alignment horizontal="center"/>
    </xf>
    <xf numFmtId="0" fontId="68" fillId="0" borderId="1" xfId="0" applyFont="1" applyBorder="1" applyAlignment="1">
      <alignment horizontal="center" wrapText="1"/>
    </xf>
    <xf numFmtId="165" fontId="68" fillId="0" borderId="1" xfId="0" applyNumberFormat="1" applyFont="1" applyBorder="1" applyAlignment="1">
      <alignment horizontal="center"/>
    </xf>
    <xf numFmtId="165" fontId="0" fillId="0" borderId="0" xfId="0" applyNumberFormat="1"/>
    <xf numFmtId="0" fontId="4" fillId="2" borderId="1" xfId="0" applyFont="1" applyFill="1" applyBorder="1"/>
    <xf numFmtId="0" fontId="5" fillId="0" borderId="1" xfId="0" applyFont="1" applyBorder="1" applyAlignment="1">
      <alignment wrapText="1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wrapText="1"/>
    </xf>
    <xf numFmtId="49" fontId="4" fillId="69" borderId="1" xfId="1" applyNumberFormat="1" applyFont="1" applyFill="1" applyBorder="1" applyAlignment="1">
      <alignment horizontal="center" wrapText="1"/>
    </xf>
    <xf numFmtId="0" fontId="4" fillId="69" borderId="1" xfId="1" applyFont="1" applyFill="1" applyBorder="1" applyAlignment="1">
      <alignment wrapText="1"/>
    </xf>
    <xf numFmtId="165" fontId="4" fillId="69" borderId="1" xfId="1" applyNumberFormat="1" applyFont="1" applyFill="1" applyBorder="1" applyAlignment="1">
      <alignment horizontal="center" wrapText="1"/>
    </xf>
    <xf numFmtId="0" fontId="4" fillId="69" borderId="1" xfId="0" applyFont="1" applyFill="1" applyBorder="1" applyAlignment="1">
      <alignment wrapText="1"/>
    </xf>
    <xf numFmtId="0" fontId="2" fillId="69" borderId="1" xfId="0" applyFont="1" applyFill="1" applyBorder="1"/>
    <xf numFmtId="49" fontId="4" fillId="69" borderId="1" xfId="1" applyNumberFormat="1" applyFont="1" applyFill="1" applyBorder="1" applyAlignment="1">
      <alignment horizontal="center" vertical="top" wrapText="1"/>
    </xf>
    <xf numFmtId="165" fontId="4" fillId="69" borderId="1" xfId="1" applyNumberFormat="1" applyFont="1" applyFill="1" applyBorder="1" applyAlignment="1">
      <alignment horizontal="center" vertical="top" wrapText="1"/>
    </xf>
    <xf numFmtId="49" fontId="5" fillId="69" borderId="1" xfId="1" applyNumberFormat="1" applyFont="1" applyFill="1" applyBorder="1" applyAlignment="1">
      <alignment horizontal="center" wrapText="1"/>
    </xf>
    <xf numFmtId="0" fontId="8" fillId="69" borderId="1" xfId="0" applyFont="1" applyFill="1" applyBorder="1"/>
    <xf numFmtId="0" fontId="4" fillId="69" borderId="1" xfId="1" applyNumberFormat="1" applyFont="1" applyFill="1" applyBorder="1" applyAlignment="1">
      <alignment horizontal="center" vertical="top" wrapText="1"/>
    </xf>
    <xf numFmtId="0" fontId="4" fillId="69" borderId="2" xfId="1" applyFont="1" applyFill="1" applyBorder="1" applyAlignment="1">
      <alignment wrapText="1"/>
    </xf>
    <xf numFmtId="0" fontId="4" fillId="69" borderId="1" xfId="1" applyFont="1" applyFill="1" applyBorder="1" applyAlignment="1">
      <alignment horizontal="left" wrapText="1"/>
    </xf>
    <xf numFmtId="165" fontId="4" fillId="69" borderId="1" xfId="0" applyNumberFormat="1" applyFont="1" applyFill="1" applyBorder="1" applyAlignment="1">
      <alignment horizontal="center"/>
    </xf>
    <xf numFmtId="0" fontId="4" fillId="69" borderId="1" xfId="1" applyFont="1" applyFill="1" applyBorder="1" applyAlignment="1">
      <alignment horizontal="justify" wrapText="1"/>
    </xf>
    <xf numFmtId="49" fontId="4" fillId="69" borderId="1" xfId="1" applyNumberFormat="1" applyFont="1" applyFill="1" applyBorder="1" applyAlignment="1">
      <alignment horizontal="left" wrapText="1"/>
    </xf>
    <xf numFmtId="0" fontId="4" fillId="69" borderId="1" xfId="1" applyFont="1" applyFill="1" applyBorder="1" applyAlignment="1">
      <alignment horizontal="center" vertical="top" wrapText="1"/>
    </xf>
    <xf numFmtId="0" fontId="4" fillId="69" borderId="1" xfId="1" applyFont="1" applyFill="1" applyBorder="1" applyAlignment="1">
      <alignment horizontal="left" vertical="top" wrapText="1"/>
    </xf>
    <xf numFmtId="49" fontId="4" fillId="7" borderId="1" xfId="1" applyNumberFormat="1" applyFont="1" applyFill="1" applyBorder="1" applyAlignment="1">
      <alignment horizontal="center" wrapText="1"/>
    </xf>
    <xf numFmtId="49" fontId="4" fillId="7" borderId="1" xfId="1" applyNumberFormat="1" applyFont="1" applyFill="1" applyBorder="1" applyAlignment="1">
      <alignment wrapText="1"/>
    </xf>
    <xf numFmtId="0" fontId="4" fillId="7" borderId="2" xfId="1" applyFont="1" applyFill="1" applyBorder="1" applyAlignment="1">
      <alignment wrapText="1"/>
    </xf>
    <xf numFmtId="0" fontId="4" fillId="7" borderId="1" xfId="1" applyFont="1" applyFill="1" applyBorder="1" applyAlignment="1">
      <alignment wrapText="1"/>
    </xf>
    <xf numFmtId="49" fontId="5" fillId="7" borderId="1" xfId="1" applyNumberFormat="1" applyFont="1" applyFill="1" applyBorder="1" applyAlignment="1">
      <alignment horizontal="center" wrapText="1"/>
    </xf>
    <xf numFmtId="165" fontId="5" fillId="3" borderId="1" xfId="0" applyNumberFormat="1" applyFont="1" applyFill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165" fontId="65" fillId="0" borderId="1" xfId="0" applyNumberFormat="1" applyFont="1" applyBorder="1" applyAlignment="1">
      <alignment horizontal="center"/>
    </xf>
    <xf numFmtId="0" fontId="4" fillId="0" borderId="24" xfId="1" applyFont="1" applyFill="1" applyBorder="1" applyAlignment="1">
      <alignment horizontal="center" vertical="center" wrapText="1"/>
    </xf>
    <xf numFmtId="49" fontId="5" fillId="3" borderId="24" xfId="1" applyNumberFormat="1" applyFont="1" applyFill="1" applyBorder="1" applyAlignment="1">
      <alignment horizontal="center" wrapText="1"/>
    </xf>
    <xf numFmtId="0" fontId="5" fillId="3" borderId="24" xfId="1" applyFont="1" applyFill="1" applyBorder="1" applyAlignment="1">
      <alignment wrapText="1"/>
    </xf>
    <xf numFmtId="49" fontId="5" fillId="3" borderId="24" xfId="1" applyNumberFormat="1" applyFont="1" applyFill="1" applyBorder="1" applyAlignment="1">
      <alignment horizontal="center" vertical="top" wrapText="1"/>
    </xf>
    <xf numFmtId="0" fontId="5" fillId="3" borderId="24" xfId="1" applyFont="1" applyFill="1" applyBorder="1" applyAlignment="1">
      <alignment vertical="top" wrapText="1"/>
    </xf>
    <xf numFmtId="165" fontId="5" fillId="3" borderId="24" xfId="1" applyNumberFormat="1" applyFont="1" applyFill="1" applyBorder="1" applyAlignment="1">
      <alignment horizontal="center" wrapText="1"/>
    </xf>
    <xf numFmtId="0" fontId="11" fillId="0" borderId="24" xfId="1" applyFont="1" applyFill="1" applyBorder="1" applyAlignment="1">
      <alignment horizontal="center" vertical="center" wrapText="1"/>
    </xf>
    <xf numFmtId="165" fontId="4" fillId="4" borderId="24" xfId="1" applyNumberFormat="1" applyFont="1" applyFill="1" applyBorder="1" applyAlignment="1">
      <alignment horizontal="center" wrapText="1"/>
    </xf>
    <xf numFmtId="0" fontId="4" fillId="3" borderId="24" xfId="1" applyFont="1" applyFill="1" applyBorder="1" applyAlignment="1">
      <alignment horizontal="center" vertical="center" wrapText="1"/>
    </xf>
    <xf numFmtId="49" fontId="5" fillId="0" borderId="24" xfId="1" applyNumberFormat="1" applyFont="1" applyFill="1" applyBorder="1" applyAlignment="1">
      <alignment horizontal="center" wrapText="1"/>
    </xf>
    <xf numFmtId="0" fontId="5" fillId="0" borderId="24" xfId="1" applyFont="1" applyBorder="1" applyAlignment="1">
      <alignment horizontal="left" wrapText="1"/>
    </xf>
    <xf numFmtId="49" fontId="4" fillId="3" borderId="24" xfId="1" applyNumberFormat="1" applyFont="1" applyFill="1" applyBorder="1" applyAlignment="1">
      <alignment horizontal="center" vertical="top" wrapText="1"/>
    </xf>
    <xf numFmtId="49" fontId="4" fillId="4" borderId="24" xfId="1" applyNumberFormat="1" applyFont="1" applyFill="1" applyBorder="1" applyAlignment="1">
      <alignment horizontal="center" wrapText="1"/>
    </xf>
    <xf numFmtId="0" fontId="4" fillId="4" borderId="24" xfId="1" applyFont="1" applyFill="1" applyBorder="1" applyAlignment="1">
      <alignment wrapText="1"/>
    </xf>
    <xf numFmtId="49" fontId="5" fillId="4" borderId="24" xfId="1" applyNumberFormat="1" applyFont="1" applyFill="1" applyBorder="1" applyAlignment="1">
      <alignment horizontal="center" wrapText="1"/>
    </xf>
    <xf numFmtId="0" fontId="5" fillId="0" borderId="24" xfId="3" applyFont="1" applyBorder="1" applyAlignment="1">
      <alignment horizontal="left" vertical="top" wrapText="1"/>
    </xf>
    <xf numFmtId="49" fontId="5" fillId="3" borderId="2" xfId="1" applyNumberFormat="1" applyFont="1" applyFill="1" applyBorder="1" applyAlignment="1">
      <alignment wrapText="1"/>
    </xf>
    <xf numFmtId="49" fontId="5" fillId="0" borderId="24" xfId="1" applyNumberFormat="1" applyFont="1" applyFill="1" applyBorder="1" applyAlignment="1">
      <alignment horizontal="center" vertical="top" wrapText="1"/>
    </xf>
    <xf numFmtId="49" fontId="4" fillId="0" borderId="24" xfId="1" applyNumberFormat="1" applyFont="1" applyFill="1" applyBorder="1" applyAlignment="1">
      <alignment horizontal="center" vertical="top" wrapText="1"/>
    </xf>
    <xf numFmtId="0" fontId="5" fillId="0" borderId="24" xfId="1" applyFont="1" applyFill="1" applyBorder="1" applyAlignment="1">
      <alignment wrapText="1"/>
    </xf>
    <xf numFmtId="0" fontId="5" fillId="0" borderId="24" xfId="1" applyFont="1" applyFill="1" applyBorder="1" applyAlignment="1">
      <alignment horizontal="left" wrapText="1"/>
    </xf>
    <xf numFmtId="49" fontId="5" fillId="3" borderId="27" xfId="1" applyNumberFormat="1" applyFont="1" applyFill="1" applyBorder="1" applyAlignment="1">
      <alignment horizontal="center" wrapText="1"/>
    </xf>
    <xf numFmtId="0" fontId="5" fillId="3" borderId="26" xfId="1" applyFont="1" applyFill="1" applyBorder="1" applyAlignment="1">
      <alignment wrapText="1"/>
    </xf>
    <xf numFmtId="0" fontId="5" fillId="3" borderId="27" xfId="1" applyFont="1" applyFill="1" applyBorder="1" applyAlignment="1">
      <alignment wrapText="1"/>
    </xf>
    <xf numFmtId="49" fontId="5" fillId="3" borderId="27" xfId="1" applyNumberFormat="1" applyFont="1" applyFill="1" applyBorder="1" applyAlignment="1">
      <alignment horizontal="center" vertical="top" wrapText="1"/>
    </xf>
    <xf numFmtId="0" fontId="5" fillId="0" borderId="27" xfId="1" applyFont="1" applyBorder="1" applyAlignment="1">
      <alignment horizontal="left" wrapText="1"/>
    </xf>
    <xf numFmtId="49" fontId="5" fillId="0" borderId="27" xfId="1" applyNumberFormat="1" applyFont="1" applyFill="1" applyBorder="1" applyAlignment="1">
      <alignment horizontal="center" vertical="top" wrapText="1"/>
    </xf>
    <xf numFmtId="49" fontId="4" fillId="69" borderId="27" xfId="1" applyNumberFormat="1" applyFont="1" applyFill="1" applyBorder="1" applyAlignment="1">
      <alignment horizontal="center" wrapText="1"/>
    </xf>
    <xf numFmtId="0" fontId="5" fillId="0" borderId="27" xfId="1" applyFont="1" applyFill="1" applyBorder="1" applyAlignment="1">
      <alignment horizontal="left" wrapText="1"/>
    </xf>
    <xf numFmtId="49" fontId="5" fillId="3" borderId="27" xfId="1" applyNumberFormat="1" applyFont="1" applyFill="1" applyBorder="1" applyAlignment="1">
      <alignment horizontal="center" vertical="center" wrapText="1"/>
    </xf>
    <xf numFmtId="0" fontId="4" fillId="69" borderId="27" xfId="1" applyFont="1" applyFill="1" applyBorder="1" applyAlignment="1">
      <alignment wrapText="1"/>
    </xf>
    <xf numFmtId="165" fontId="5" fillId="3" borderId="27" xfId="1" applyNumberFormat="1" applyFont="1" applyFill="1" applyBorder="1" applyAlignment="1">
      <alignment horizontal="center" wrapText="1"/>
    </xf>
    <xf numFmtId="165" fontId="5" fillId="0" borderId="27" xfId="1" applyNumberFormat="1" applyFont="1" applyFill="1" applyBorder="1" applyAlignment="1">
      <alignment horizontal="center" wrapText="1"/>
    </xf>
    <xf numFmtId="165" fontId="5" fillId="3" borderId="27" xfId="0" applyNumberFormat="1" applyFont="1" applyFill="1" applyBorder="1" applyAlignment="1">
      <alignment horizontal="center"/>
    </xf>
    <xf numFmtId="165" fontId="65" fillId="0" borderId="27" xfId="0" applyNumberFormat="1" applyFont="1" applyBorder="1" applyAlignment="1">
      <alignment horizontal="center"/>
    </xf>
    <xf numFmtId="0" fontId="2" fillId="0" borderId="27" xfId="0" applyFont="1" applyBorder="1"/>
    <xf numFmtId="0" fontId="4" fillId="69" borderId="27" xfId="1" applyFont="1" applyFill="1" applyBorder="1" applyAlignment="1">
      <alignment horizontal="left" wrapText="1"/>
    </xf>
    <xf numFmtId="0" fontId="5" fillId="3" borderId="27" xfId="1" applyFont="1" applyFill="1" applyBorder="1" applyAlignment="1">
      <alignment vertical="top" wrapText="1"/>
    </xf>
    <xf numFmtId="0" fontId="4" fillId="69" borderId="27" xfId="1" applyNumberFormat="1" applyFont="1" applyFill="1" applyBorder="1" applyAlignment="1">
      <alignment horizontal="center" vertical="top" wrapText="1"/>
    </xf>
    <xf numFmtId="49" fontId="4" fillId="69" borderId="27" xfId="1" applyNumberFormat="1" applyFont="1" applyFill="1" applyBorder="1" applyAlignment="1">
      <alignment horizontal="center" vertical="top" wrapText="1"/>
    </xf>
    <xf numFmtId="0" fontId="4" fillId="69" borderId="27" xfId="1" applyFont="1" applyFill="1" applyBorder="1" applyAlignment="1">
      <alignment vertical="top" wrapText="1"/>
    </xf>
    <xf numFmtId="0" fontId="5" fillId="3" borderId="27" xfId="1" applyFont="1" applyFill="1" applyBorder="1" applyAlignment="1">
      <alignment horizontal="left" wrapText="1"/>
    </xf>
    <xf numFmtId="49" fontId="5" fillId="3" borderId="28" xfId="1" applyNumberFormat="1" applyFont="1" applyFill="1" applyBorder="1" applyAlignment="1">
      <alignment horizontal="center" wrapText="1"/>
    </xf>
    <xf numFmtId="0" fontId="5" fillId="3" borderId="28" xfId="1" applyFont="1" applyFill="1" applyBorder="1" applyAlignment="1">
      <alignment wrapText="1"/>
    </xf>
    <xf numFmtId="49" fontId="5" fillId="3" borderId="28" xfId="1" applyNumberFormat="1" applyFont="1" applyFill="1" applyBorder="1" applyAlignment="1">
      <alignment horizontal="center" vertical="center" wrapText="1"/>
    </xf>
    <xf numFmtId="0" fontId="2" fillId="0" borderId="28" xfId="0" applyFont="1" applyBorder="1"/>
    <xf numFmtId="165" fontId="5" fillId="0" borderId="28" xfId="1" applyNumberFormat="1" applyFont="1" applyFill="1" applyBorder="1" applyAlignment="1">
      <alignment horizontal="center" wrapText="1"/>
    </xf>
    <xf numFmtId="49" fontId="5" fillId="0" borderId="28" xfId="1" applyNumberFormat="1" applyFont="1" applyFill="1" applyBorder="1" applyAlignment="1">
      <alignment horizontal="center" vertical="center" wrapText="1"/>
    </xf>
    <xf numFmtId="49" fontId="5" fillId="3" borderId="30" xfId="1" applyNumberFormat="1" applyFont="1" applyFill="1" applyBorder="1" applyAlignment="1">
      <alignment horizontal="center" wrapText="1"/>
    </xf>
    <xf numFmtId="0" fontId="2" fillId="0" borderId="0" xfId="0" applyFont="1" applyFill="1"/>
    <xf numFmtId="0" fontId="2" fillId="0" borderId="30" xfId="0" applyFont="1" applyBorder="1"/>
    <xf numFmtId="165" fontId="5" fillId="0" borderId="30" xfId="1" applyNumberFormat="1" applyFont="1" applyFill="1" applyBorder="1" applyAlignment="1">
      <alignment horizontal="center" wrapText="1"/>
    </xf>
    <xf numFmtId="0" fontId="4" fillId="3" borderId="30" xfId="1" applyFont="1" applyFill="1" applyBorder="1" applyAlignment="1">
      <alignment horizontal="center" vertical="top" wrapText="1"/>
    </xf>
    <xf numFmtId="49" fontId="4" fillId="3" borderId="30" xfId="1" applyNumberFormat="1" applyFont="1" applyFill="1" applyBorder="1" applyAlignment="1">
      <alignment horizontal="center" vertical="top" wrapText="1"/>
    </xf>
    <xf numFmtId="49" fontId="4" fillId="3" borderId="30" xfId="1" applyNumberFormat="1" applyFont="1" applyFill="1" applyBorder="1" applyAlignment="1">
      <alignment horizontal="center" wrapText="1"/>
    </xf>
    <xf numFmtId="0" fontId="6" fillId="3" borderId="0" xfId="0" applyFont="1" applyFill="1"/>
    <xf numFmtId="49" fontId="5" fillId="3" borderId="30" xfId="1" applyNumberFormat="1" applyFont="1" applyFill="1" applyBorder="1" applyAlignment="1">
      <alignment horizontal="center" vertical="top" wrapText="1"/>
    </xf>
    <xf numFmtId="165" fontId="5" fillId="0" borderId="30" xfId="1" applyNumberFormat="1" applyFont="1" applyFill="1" applyBorder="1" applyAlignment="1">
      <alignment horizontal="center" vertical="top" wrapText="1"/>
    </xf>
    <xf numFmtId="0" fontId="5" fillId="3" borderId="30" xfId="1" applyFont="1" applyFill="1" applyBorder="1" applyAlignment="1">
      <alignment horizontal="center" vertical="top" wrapText="1"/>
    </xf>
    <xf numFmtId="165" fontId="5" fillId="3" borderId="30" xfId="1" applyNumberFormat="1" applyFont="1" applyFill="1" applyBorder="1" applyAlignment="1">
      <alignment horizontal="center" wrapText="1"/>
    </xf>
    <xf numFmtId="49" fontId="4" fillId="4" borderId="30" xfId="1" applyNumberFormat="1" applyFont="1" applyFill="1" applyBorder="1" applyAlignment="1">
      <alignment horizontal="center" wrapText="1"/>
    </xf>
    <xf numFmtId="0" fontId="4" fillId="4" borderId="30" xfId="1" applyFont="1" applyFill="1" applyBorder="1" applyAlignment="1">
      <alignment wrapText="1"/>
    </xf>
    <xf numFmtId="165" fontId="4" fillId="4" borderId="30" xfId="1" applyNumberFormat="1" applyFont="1" applyFill="1" applyBorder="1" applyAlignment="1">
      <alignment horizontal="center" wrapText="1"/>
    </xf>
    <xf numFmtId="0" fontId="5" fillId="3" borderId="28" xfId="1" applyFont="1" applyFill="1" applyBorder="1" applyAlignment="1">
      <alignment vertical="center" wrapText="1"/>
    </xf>
    <xf numFmtId="0" fontId="5" fillId="0" borderId="27" xfId="1" applyFont="1" applyFill="1" applyBorder="1" applyAlignment="1">
      <alignment wrapText="1"/>
    </xf>
    <xf numFmtId="165" fontId="5" fillId="3" borderId="0" xfId="1" applyNumberFormat="1" applyFont="1" applyFill="1" applyBorder="1" applyAlignment="1">
      <alignment horizontal="center" wrapText="1"/>
    </xf>
    <xf numFmtId="0" fontId="5" fillId="0" borderId="0" xfId="1" applyFont="1" applyAlignment="1">
      <alignment horizontal="center"/>
    </xf>
    <xf numFmtId="0" fontId="5" fillId="3" borderId="0" xfId="1" applyFont="1" applyFill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/>
    </xf>
    <xf numFmtId="165" fontId="5" fillId="3" borderId="2" xfId="0" applyNumberFormat="1" applyFont="1" applyFill="1" applyBorder="1" applyAlignment="1">
      <alignment horizontal="center"/>
    </xf>
    <xf numFmtId="165" fontId="5" fillId="3" borderId="30" xfId="0" applyNumberFormat="1" applyFont="1" applyFill="1" applyBorder="1" applyAlignment="1">
      <alignment horizontal="center"/>
    </xf>
    <xf numFmtId="165" fontId="4" fillId="6" borderId="1" xfId="0" applyNumberFormat="1" applyFont="1" applyFill="1" applyBorder="1" applyAlignment="1">
      <alignment horizontal="center"/>
    </xf>
    <xf numFmtId="165" fontId="5" fillId="3" borderId="21" xfId="0" applyNumberFormat="1" applyFont="1" applyFill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5" fontId="4" fillId="2" borderId="1" xfId="0" applyNumberFormat="1" applyFont="1" applyFill="1" applyBorder="1" applyAlignment="1">
      <alignment horizontal="center"/>
    </xf>
    <xf numFmtId="165" fontId="4" fillId="7" borderId="1" xfId="0" applyNumberFormat="1" applyFont="1" applyFill="1" applyBorder="1" applyAlignment="1">
      <alignment horizontal="center"/>
    </xf>
    <xf numFmtId="165" fontId="4" fillId="69" borderId="25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8" fontId="5" fillId="0" borderId="0" xfId="0" applyNumberFormat="1" applyFont="1" applyAlignment="1">
      <alignment horizontal="center"/>
    </xf>
    <xf numFmtId="165" fontId="69" fillId="0" borderId="0" xfId="0" applyNumberFormat="1" applyFont="1" applyFill="1" applyBorder="1" applyAlignment="1">
      <alignment horizontal="center"/>
    </xf>
    <xf numFmtId="165" fontId="4" fillId="69" borderId="30" xfId="0" applyNumberFormat="1" applyFont="1" applyFill="1" applyBorder="1" applyAlignment="1">
      <alignment horizontal="center"/>
    </xf>
    <xf numFmtId="0" fontId="5" fillId="3" borderId="30" xfId="1" applyFont="1" applyFill="1" applyBorder="1" applyAlignment="1">
      <alignment wrapText="1"/>
    </xf>
    <xf numFmtId="0" fontId="5" fillId="0" borderId="26" xfId="1" applyFont="1" applyBorder="1" applyAlignment="1">
      <alignment horizontal="left" wrapText="1"/>
    </xf>
    <xf numFmtId="49" fontId="4" fillId="0" borderId="30" xfId="1" applyNumberFormat="1" applyFont="1" applyFill="1" applyBorder="1" applyAlignment="1">
      <alignment horizontal="center" vertical="top" wrapText="1"/>
    </xf>
    <xf numFmtId="49" fontId="5" fillId="0" borderId="30" xfId="1" applyNumberFormat="1" applyFont="1" applyFill="1" applyBorder="1" applyAlignment="1">
      <alignment horizontal="center" wrapText="1"/>
    </xf>
    <xf numFmtId="49" fontId="5" fillId="69" borderId="30" xfId="1" applyNumberFormat="1" applyFont="1" applyFill="1" applyBorder="1" applyAlignment="1">
      <alignment horizontal="center" wrapText="1"/>
    </xf>
    <xf numFmtId="49" fontId="4" fillId="69" borderId="30" xfId="1" applyNumberFormat="1" applyFont="1" applyFill="1" applyBorder="1" applyAlignment="1">
      <alignment horizontal="center" wrapText="1"/>
    </xf>
    <xf numFmtId="0" fontId="5" fillId="0" borderId="0" xfId="0" applyFont="1" applyAlignment="1">
      <alignment horizontal="right"/>
    </xf>
    <xf numFmtId="49" fontId="5" fillId="3" borderId="31" xfId="1" applyNumberFormat="1" applyFont="1" applyFill="1" applyBorder="1" applyAlignment="1">
      <alignment horizontal="center" wrapText="1"/>
    </xf>
    <xf numFmtId="165" fontId="5" fillId="3" borderId="31" xfId="0" applyNumberFormat="1" applyFont="1" applyFill="1" applyBorder="1" applyAlignment="1">
      <alignment horizontal="center"/>
    </xf>
    <xf numFmtId="49" fontId="5" fillId="0" borderId="31" xfId="1" applyNumberFormat="1" applyFont="1" applyFill="1" applyBorder="1" applyAlignment="1">
      <alignment horizontal="center" wrapText="1"/>
    </xf>
    <xf numFmtId="0" fontId="5" fillId="3" borderId="31" xfId="1" applyFont="1" applyFill="1" applyBorder="1" applyAlignment="1">
      <alignment wrapText="1"/>
    </xf>
    <xf numFmtId="0" fontId="2" fillId="0" borderId="31" xfId="0" applyFont="1" applyBorder="1"/>
    <xf numFmtId="165" fontId="5" fillId="0" borderId="31" xfId="1" applyNumberFormat="1" applyFont="1" applyFill="1" applyBorder="1" applyAlignment="1">
      <alignment horizontal="center" wrapText="1"/>
    </xf>
    <xf numFmtId="0" fontId="5" fillId="0" borderId="30" xfId="1" applyFont="1" applyBorder="1" applyAlignment="1">
      <alignment horizontal="left" wrapText="1"/>
    </xf>
    <xf numFmtId="0" fontId="5" fillId="0" borderId="27" xfId="1" applyFont="1" applyFill="1" applyBorder="1" applyAlignment="1">
      <alignment vertical="top" wrapText="1"/>
    </xf>
    <xf numFmtId="49" fontId="5" fillId="3" borderId="33" xfId="1" applyNumberFormat="1" applyFont="1" applyFill="1" applyBorder="1" applyAlignment="1">
      <alignment horizontal="center" wrapText="1"/>
    </xf>
    <xf numFmtId="0" fontId="5" fillId="3" borderId="33" xfId="1" applyFont="1" applyFill="1" applyBorder="1" applyAlignment="1">
      <alignment wrapText="1"/>
    </xf>
    <xf numFmtId="165" fontId="5" fillId="3" borderId="33" xfId="0" applyNumberFormat="1" applyFont="1" applyFill="1" applyBorder="1" applyAlignment="1">
      <alignment horizontal="center"/>
    </xf>
    <xf numFmtId="165" fontId="5" fillId="3" borderId="33" xfId="1" applyNumberFormat="1" applyFont="1" applyFill="1" applyBorder="1" applyAlignment="1">
      <alignment horizontal="center" wrapText="1"/>
    </xf>
    <xf numFmtId="0" fontId="2" fillId="0" borderId="33" xfId="0" applyFont="1" applyBorder="1"/>
    <xf numFmtId="49" fontId="5" fillId="3" borderId="34" xfId="1" applyNumberFormat="1" applyFont="1" applyFill="1" applyBorder="1" applyAlignment="1">
      <alignment horizontal="center" wrapText="1"/>
    </xf>
    <xf numFmtId="0" fontId="5" fillId="3" borderId="35" xfId="1" applyFont="1" applyFill="1" applyBorder="1" applyAlignment="1">
      <alignment wrapText="1"/>
    </xf>
    <xf numFmtId="165" fontId="5" fillId="3" borderId="34" xfId="0" applyNumberFormat="1" applyFont="1" applyFill="1" applyBorder="1" applyAlignment="1">
      <alignment horizontal="center"/>
    </xf>
    <xf numFmtId="0" fontId="2" fillId="0" borderId="34" xfId="0" applyFont="1" applyBorder="1"/>
    <xf numFmtId="165" fontId="5" fillId="0" borderId="34" xfId="1" applyNumberFormat="1" applyFont="1" applyFill="1" applyBorder="1" applyAlignment="1">
      <alignment horizontal="center" wrapText="1"/>
    </xf>
    <xf numFmtId="0" fontId="5" fillId="0" borderId="30" xfId="1" applyFont="1" applyFill="1" applyBorder="1" applyAlignment="1">
      <alignment wrapText="1"/>
    </xf>
    <xf numFmtId="0" fontId="12" fillId="0" borderId="0" xfId="0" applyFont="1" applyAlignment="1"/>
    <xf numFmtId="0" fontId="72" fillId="0" borderId="0" xfId="0" applyFont="1" applyBorder="1" applyAlignment="1">
      <alignment horizontal="center" vertical="center" wrapText="1"/>
    </xf>
    <xf numFmtId="0" fontId="73" fillId="0" borderId="34" xfId="0" applyFont="1" applyBorder="1" applyAlignment="1">
      <alignment horizontal="center" vertical="center" wrapText="1"/>
    </xf>
    <xf numFmtId="0" fontId="73" fillId="0" borderId="21" xfId="0" applyFont="1" applyBorder="1" applyAlignment="1">
      <alignment horizontal="center" vertical="center" wrapText="1"/>
    </xf>
    <xf numFmtId="0" fontId="13" fillId="0" borderId="34" xfId="561" applyFont="1" applyBorder="1" applyAlignment="1">
      <alignment horizontal="center" vertical="center"/>
    </xf>
    <xf numFmtId="0" fontId="73" fillId="70" borderId="34" xfId="561" applyFont="1" applyFill="1" applyBorder="1" applyAlignment="1">
      <alignment vertical="center" wrapText="1"/>
    </xf>
    <xf numFmtId="165" fontId="73" fillId="0" borderId="34" xfId="0" applyNumberFormat="1" applyFont="1" applyBorder="1" applyAlignment="1">
      <alignment horizontal="right" vertical="center" wrapText="1"/>
    </xf>
    <xf numFmtId="165" fontId="72" fillId="0" borderId="34" xfId="0" applyNumberFormat="1" applyFont="1" applyBorder="1" applyAlignment="1">
      <alignment horizontal="right" vertical="center" wrapText="1"/>
    </xf>
    <xf numFmtId="165" fontId="74" fillId="0" borderId="34" xfId="0" applyNumberFormat="1" applyFont="1" applyBorder="1" applyAlignment="1">
      <alignment horizontal="right" vertical="center" wrapText="1"/>
    </xf>
    <xf numFmtId="0" fontId="13" fillId="70" borderId="34" xfId="561" applyFont="1" applyFill="1" applyBorder="1" applyAlignment="1">
      <alignment horizontal="left" vertical="center" wrapText="1" indent="1"/>
    </xf>
    <xf numFmtId="165" fontId="73" fillId="70" borderId="34" xfId="561" applyNumberFormat="1" applyFont="1" applyFill="1" applyBorder="1" applyAlignment="1">
      <alignment horizontal="right" vertical="center" wrapText="1"/>
    </xf>
    <xf numFmtId="165" fontId="13" fillId="70" borderId="34" xfId="561" applyNumberFormat="1" applyFont="1" applyFill="1" applyBorder="1" applyAlignment="1">
      <alignment horizontal="right" vertical="center" wrapText="1"/>
    </xf>
    <xf numFmtId="165" fontId="13" fillId="3" borderId="34" xfId="0" applyNumberFormat="1" applyFont="1" applyFill="1" applyBorder="1" applyAlignment="1">
      <alignment horizontal="right" vertical="center" wrapText="1"/>
    </xf>
    <xf numFmtId="169" fontId="2" fillId="0" borderId="0" xfId="0" applyNumberFormat="1" applyFont="1"/>
    <xf numFmtId="0" fontId="13" fillId="0" borderId="0" xfId="561" applyFont="1" applyBorder="1" applyAlignment="1">
      <alignment horizontal="center" vertical="center"/>
    </xf>
    <xf numFmtId="0" fontId="13" fillId="70" borderId="0" xfId="561" applyFont="1" applyFill="1" applyBorder="1" applyAlignment="1">
      <alignment horizontal="left" vertical="center" wrapText="1" indent="1"/>
    </xf>
    <xf numFmtId="170" fontId="73" fillId="70" borderId="0" xfId="561" applyNumberFormat="1" applyFont="1" applyFill="1" applyBorder="1" applyAlignment="1">
      <alignment horizontal="right" vertical="center" wrapText="1"/>
    </xf>
    <xf numFmtId="170" fontId="13" fillId="70" borderId="0" xfId="561" applyNumberFormat="1" applyFont="1" applyFill="1" applyBorder="1" applyAlignment="1">
      <alignment horizontal="right" vertical="center" wrapText="1"/>
    </xf>
    <xf numFmtId="165" fontId="73" fillId="0" borderId="0" xfId="0" applyNumberFormat="1" applyFont="1" applyBorder="1" applyAlignment="1">
      <alignment horizontal="right" vertical="center" wrapText="1"/>
    </xf>
    <xf numFmtId="165" fontId="13" fillId="3" borderId="0" xfId="0" applyNumberFormat="1" applyFont="1" applyFill="1" applyBorder="1" applyAlignment="1">
      <alignment horizontal="right" vertical="center" wrapText="1"/>
    </xf>
    <xf numFmtId="0" fontId="72" fillId="0" borderId="3" xfId="0" applyFont="1" applyBorder="1" applyAlignment="1">
      <alignment horizontal="center" vertical="center" wrapText="1"/>
    </xf>
    <xf numFmtId="0" fontId="73" fillId="69" borderId="34" xfId="0" applyFont="1" applyFill="1" applyBorder="1" applyAlignment="1">
      <alignment horizontal="center" vertical="top" wrapText="1"/>
    </xf>
    <xf numFmtId="0" fontId="73" fillId="69" borderId="34" xfId="0" applyFont="1" applyFill="1" applyBorder="1" applyAlignment="1">
      <alignment vertical="top" wrapText="1"/>
    </xf>
    <xf numFmtId="165" fontId="73" fillId="69" borderId="34" xfId="0" applyNumberFormat="1" applyFont="1" applyFill="1" applyBorder="1" applyAlignment="1">
      <alignment horizontal="center" vertical="center" wrapText="1"/>
    </xf>
    <xf numFmtId="0" fontId="73" fillId="71" borderId="34" xfId="0" applyFont="1" applyFill="1" applyBorder="1" applyAlignment="1">
      <alignment horizontal="center" vertical="top" wrapText="1"/>
    </xf>
    <xf numFmtId="0" fontId="73" fillId="71" borderId="34" xfId="0" applyFont="1" applyFill="1" applyBorder="1" applyAlignment="1">
      <alignment vertical="top" wrapText="1"/>
    </xf>
    <xf numFmtId="165" fontId="73" fillId="71" borderId="34" xfId="0" applyNumberFormat="1" applyFont="1" applyFill="1" applyBorder="1" applyAlignment="1">
      <alignment horizontal="center" vertical="center" wrapText="1"/>
    </xf>
    <xf numFmtId="0" fontId="0" fillId="72" borderId="0" xfId="0" applyFill="1"/>
    <xf numFmtId="0" fontId="13" fillId="5" borderId="34" xfId="0" applyFont="1" applyFill="1" applyBorder="1" applyAlignment="1">
      <alignment horizontal="center" vertical="top" wrapText="1"/>
    </xf>
    <xf numFmtId="0" fontId="13" fillId="5" borderId="34" xfId="0" applyFont="1" applyFill="1" applyBorder="1" applyAlignment="1">
      <alignment vertical="top" wrapText="1"/>
    </xf>
    <xf numFmtId="165" fontId="13" fillId="5" borderId="34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13" fillId="3" borderId="34" xfId="0" applyFont="1" applyFill="1" applyBorder="1" applyAlignment="1">
      <alignment horizontal="center" vertical="top" wrapText="1"/>
    </xf>
    <xf numFmtId="0" fontId="13" fillId="3" borderId="34" xfId="0" applyFont="1" applyFill="1" applyBorder="1" applyAlignment="1">
      <alignment vertical="top" wrapText="1"/>
    </xf>
    <xf numFmtId="165" fontId="13" fillId="3" borderId="34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13" fillId="5" borderId="34" xfId="0" applyFont="1" applyFill="1" applyBorder="1" applyAlignment="1">
      <alignment vertical="justify" wrapText="1"/>
    </xf>
    <xf numFmtId="0" fontId="73" fillId="3" borderId="34" xfId="0" applyFont="1" applyFill="1" applyBorder="1" applyAlignment="1">
      <alignment horizontal="center" vertical="top" wrapText="1"/>
    </xf>
    <xf numFmtId="0" fontId="73" fillId="3" borderId="34" xfId="0" applyFont="1" applyFill="1" applyBorder="1" applyAlignment="1">
      <alignment vertical="justify" wrapText="1"/>
    </xf>
    <xf numFmtId="165" fontId="73" fillId="3" borderId="34" xfId="0" applyNumberFormat="1" applyFont="1" applyFill="1" applyBorder="1" applyAlignment="1">
      <alignment horizontal="center" vertical="center" wrapText="1"/>
    </xf>
    <xf numFmtId="0" fontId="71" fillId="3" borderId="0" xfId="0" applyFont="1" applyFill="1"/>
    <xf numFmtId="0" fontId="75" fillId="3" borderId="34" xfId="0" applyFont="1" applyFill="1" applyBorder="1" applyAlignment="1">
      <alignment vertical="justify" wrapText="1"/>
    </xf>
    <xf numFmtId="165" fontId="75" fillId="3" borderId="34" xfId="0" applyNumberFormat="1" applyFont="1" applyFill="1" applyBorder="1" applyAlignment="1">
      <alignment horizontal="center" vertical="center" wrapText="1"/>
    </xf>
    <xf numFmtId="165" fontId="75" fillId="3" borderId="0" xfId="0" applyNumberFormat="1" applyFont="1" applyFill="1" applyBorder="1" applyAlignment="1">
      <alignment horizontal="center" vertical="center" wrapText="1"/>
    </xf>
    <xf numFmtId="0" fontId="75" fillId="3" borderId="34" xfId="0" applyFont="1" applyFill="1" applyBorder="1" applyAlignment="1">
      <alignment vertical="justify"/>
    </xf>
    <xf numFmtId="0" fontId="75" fillId="3" borderId="34" xfId="0" applyFont="1" applyFill="1" applyBorder="1" applyAlignment="1">
      <alignment wrapText="1"/>
    </xf>
    <xf numFmtId="168" fontId="71" fillId="3" borderId="0" xfId="0" applyNumberFormat="1" applyFont="1" applyFill="1"/>
    <xf numFmtId="0" fontId="75" fillId="0" borderId="34" xfId="0" applyFont="1" applyBorder="1" applyAlignment="1">
      <alignment wrapText="1"/>
    </xf>
    <xf numFmtId="0" fontId="13" fillId="0" borderId="34" xfId="0" applyFont="1" applyFill="1" applyBorder="1" applyAlignment="1">
      <alignment horizontal="center" vertical="top" wrapText="1"/>
    </xf>
    <xf numFmtId="0" fontId="75" fillId="0" borderId="34" xfId="0" applyFont="1" applyFill="1" applyBorder="1" applyAlignment="1">
      <alignment wrapText="1"/>
    </xf>
    <xf numFmtId="165" fontId="76" fillId="5" borderId="34" xfId="0" applyNumberFormat="1" applyFont="1" applyFill="1" applyBorder="1" applyAlignment="1">
      <alignment horizontal="center" vertical="center"/>
    </xf>
    <xf numFmtId="168" fontId="0" fillId="2" borderId="0" xfId="0" applyNumberFormat="1" applyFill="1"/>
    <xf numFmtId="0" fontId="77" fillId="0" borderId="0" xfId="0" applyFont="1" applyAlignment="1">
      <alignment wrapText="1"/>
    </xf>
    <xf numFmtId="165" fontId="76" fillId="3" borderId="34" xfId="0" applyNumberFormat="1" applyFont="1" applyFill="1" applyBorder="1" applyAlignment="1">
      <alignment horizontal="center" vertical="center"/>
    </xf>
    <xf numFmtId="168" fontId="0" fillId="3" borderId="0" xfId="0" applyNumberFormat="1" applyFill="1"/>
    <xf numFmtId="0" fontId="78" fillId="0" borderId="34" xfId="0" applyFont="1" applyBorder="1" applyAlignment="1">
      <alignment wrapText="1"/>
    </xf>
    <xf numFmtId="165" fontId="75" fillId="70" borderId="34" xfId="561" applyNumberFormat="1" applyFont="1" applyFill="1" applyBorder="1" applyAlignment="1">
      <alignment horizontal="right" vertical="center" wrapText="1"/>
    </xf>
    <xf numFmtId="165" fontId="79" fillId="3" borderId="34" xfId="0" applyNumberFormat="1" applyFont="1" applyFill="1" applyBorder="1" applyAlignment="1">
      <alignment horizontal="center" vertical="center"/>
    </xf>
    <xf numFmtId="165" fontId="80" fillId="71" borderId="34" xfId="0" applyNumberFormat="1" applyFont="1" applyFill="1" applyBorder="1" applyAlignment="1">
      <alignment horizontal="center" vertical="center"/>
    </xf>
    <xf numFmtId="168" fontId="0" fillId="72" borderId="0" xfId="0" applyNumberFormat="1" applyFill="1"/>
    <xf numFmtId="165" fontId="73" fillId="5" borderId="34" xfId="0" applyNumberFormat="1" applyFont="1" applyFill="1" applyBorder="1" applyAlignment="1">
      <alignment horizontal="center" vertical="center" wrapText="1"/>
    </xf>
    <xf numFmtId="165" fontId="80" fillId="5" borderId="34" xfId="0" applyNumberFormat="1" applyFont="1" applyFill="1" applyBorder="1" applyAlignment="1">
      <alignment horizontal="center" vertical="center"/>
    </xf>
    <xf numFmtId="0" fontId="13" fillId="0" borderId="34" xfId="0" applyFont="1" applyBorder="1" applyAlignment="1">
      <alignment horizontal="center" vertical="top" wrapText="1"/>
    </xf>
    <xf numFmtId="165" fontId="13" fillId="0" borderId="34" xfId="0" applyNumberFormat="1" applyFont="1" applyBorder="1" applyAlignment="1">
      <alignment horizontal="center" vertical="center" wrapText="1"/>
    </xf>
    <xf numFmtId="165" fontId="76" fillId="0" borderId="34" xfId="0" applyNumberFormat="1" applyFont="1" applyBorder="1" applyAlignment="1">
      <alignment horizontal="center" vertical="center"/>
    </xf>
    <xf numFmtId="165" fontId="69" fillId="0" borderId="34" xfId="0" applyNumberFormat="1" applyFont="1" applyBorder="1" applyAlignment="1">
      <alignment horizontal="center" vertical="center"/>
    </xf>
    <xf numFmtId="0" fontId="0" fillId="0" borderId="34" xfId="0" applyBorder="1"/>
    <xf numFmtId="0" fontId="72" fillId="0" borderId="0" xfId="0" applyFont="1" applyBorder="1" applyAlignment="1">
      <alignment horizontal="left" vertical="center" wrapText="1"/>
    </xf>
    <xf numFmtId="0" fontId="81" fillId="0" borderId="0" xfId="0" applyFont="1"/>
    <xf numFmtId="165" fontId="81" fillId="0" borderId="0" xfId="0" applyNumberFormat="1" applyFont="1"/>
    <xf numFmtId="0" fontId="73" fillId="3" borderId="40" xfId="0" applyFont="1" applyFill="1" applyBorder="1" applyAlignment="1">
      <alignment horizontal="center" vertical="top" wrapText="1"/>
    </xf>
    <xf numFmtId="0" fontId="75" fillId="3" borderId="40" xfId="0" applyFont="1" applyFill="1" applyBorder="1" applyAlignment="1">
      <alignment vertical="justify" wrapText="1"/>
    </xf>
    <xf numFmtId="165" fontId="75" fillId="3" borderId="40" xfId="0" applyNumberFormat="1" applyFont="1" applyFill="1" applyBorder="1" applyAlignment="1">
      <alignment horizontal="center" vertical="center" wrapText="1"/>
    </xf>
    <xf numFmtId="168" fontId="2" fillId="0" borderId="0" xfId="0" applyNumberFormat="1" applyFont="1" applyAlignment="1">
      <alignment horizontal="center"/>
    </xf>
    <xf numFmtId="49" fontId="5" fillId="3" borderId="40" xfId="1" applyNumberFormat="1" applyFont="1" applyFill="1" applyBorder="1" applyAlignment="1">
      <alignment horizontal="center" wrapText="1"/>
    </xf>
    <xf numFmtId="0" fontId="5" fillId="3" borderId="40" xfId="1" applyFont="1" applyFill="1" applyBorder="1" applyAlignment="1">
      <alignment wrapText="1"/>
    </xf>
    <xf numFmtId="165" fontId="5" fillId="3" borderId="40" xfId="0" applyNumberFormat="1" applyFont="1" applyFill="1" applyBorder="1" applyAlignment="1">
      <alignment horizontal="center"/>
    </xf>
    <xf numFmtId="49" fontId="5" fillId="3" borderId="40" xfId="1" applyNumberFormat="1" applyFont="1" applyFill="1" applyBorder="1" applyAlignment="1">
      <alignment horizontal="center" vertical="top" wrapText="1"/>
    </xf>
    <xf numFmtId="0" fontId="5" fillId="3" borderId="40" xfId="1" applyFont="1" applyFill="1" applyBorder="1" applyAlignment="1">
      <alignment vertical="top" wrapText="1"/>
    </xf>
    <xf numFmtId="49" fontId="65" fillId="3" borderId="40" xfId="1" applyNumberFormat="1" applyFont="1" applyFill="1" applyBorder="1" applyAlignment="1">
      <alignment horizontal="center" wrapText="1"/>
    </xf>
    <xf numFmtId="0" fontId="65" fillId="3" borderId="40" xfId="1" applyFont="1" applyFill="1" applyBorder="1" applyAlignment="1">
      <alignment wrapText="1"/>
    </xf>
    <xf numFmtId="49" fontId="65" fillId="3" borderId="40" xfId="1" applyNumberFormat="1" applyFont="1" applyFill="1" applyBorder="1" applyAlignment="1">
      <alignment horizontal="left" wrapText="1"/>
    </xf>
    <xf numFmtId="49" fontId="82" fillId="3" borderId="40" xfId="1" applyNumberFormat="1" applyFont="1" applyFill="1" applyBorder="1" applyAlignment="1">
      <alignment horizontal="center" wrapText="1"/>
    </xf>
    <xf numFmtId="49" fontId="5" fillId="3" borderId="41" xfId="1" applyNumberFormat="1" applyFont="1" applyFill="1" applyBorder="1" applyAlignment="1">
      <alignment horizontal="center" wrapText="1"/>
    </xf>
    <xf numFmtId="165" fontId="5" fillId="3" borderId="41" xfId="1" applyNumberFormat="1" applyFont="1" applyFill="1" applyBorder="1" applyAlignment="1">
      <alignment horizontal="center" wrapText="1"/>
    </xf>
    <xf numFmtId="165" fontId="5" fillId="3" borderId="41" xfId="0" applyNumberFormat="1" applyFont="1" applyFill="1" applyBorder="1" applyAlignment="1">
      <alignment horizontal="center"/>
    </xf>
    <xf numFmtId="0" fontId="2" fillId="0" borderId="41" xfId="0" applyFont="1" applyBorder="1"/>
    <xf numFmtId="49" fontId="5" fillId="3" borderId="41" xfId="1" applyNumberFormat="1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center"/>
    </xf>
    <xf numFmtId="0" fontId="73" fillId="3" borderId="41" xfId="0" applyFont="1" applyFill="1" applyBorder="1" applyAlignment="1">
      <alignment horizontal="center" vertical="top" wrapText="1"/>
    </xf>
    <xf numFmtId="165" fontId="73" fillId="3" borderId="41" xfId="0" applyNumberFormat="1" applyFont="1" applyFill="1" applyBorder="1" applyAlignment="1">
      <alignment horizontal="center" vertical="center" wrapText="1"/>
    </xf>
    <xf numFmtId="165" fontId="5" fillId="3" borderId="42" xfId="0" applyNumberFormat="1" applyFont="1" applyFill="1" applyBorder="1" applyAlignment="1">
      <alignment horizontal="center"/>
    </xf>
    <xf numFmtId="49" fontId="5" fillId="3" borderId="42" xfId="1" applyNumberFormat="1" applyFont="1" applyFill="1" applyBorder="1" applyAlignment="1">
      <alignment horizontal="center" wrapText="1"/>
    </xf>
    <xf numFmtId="165" fontId="5" fillId="3" borderId="42" xfId="1" applyNumberFormat="1" applyFont="1" applyFill="1" applyBorder="1" applyAlignment="1">
      <alignment horizontal="center" wrapText="1"/>
    </xf>
    <xf numFmtId="49" fontId="83" fillId="3" borderId="1" xfId="1" applyNumberFormat="1" applyFont="1" applyFill="1" applyBorder="1" applyAlignment="1">
      <alignment horizontal="center" wrapText="1"/>
    </xf>
    <xf numFmtId="0" fontId="13" fillId="3" borderId="42" xfId="0" applyFont="1" applyFill="1" applyBorder="1" applyAlignment="1">
      <alignment horizontal="center" vertical="top" wrapText="1"/>
    </xf>
    <xf numFmtId="165" fontId="13" fillId="3" borderId="42" xfId="0" applyNumberFormat="1" applyFont="1" applyFill="1" applyBorder="1" applyAlignment="1">
      <alignment horizontal="center" vertical="center" wrapText="1"/>
    </xf>
    <xf numFmtId="165" fontId="65" fillId="0" borderId="40" xfId="0" applyNumberFormat="1" applyFont="1" applyFill="1" applyBorder="1" applyAlignment="1">
      <alignment horizontal="center" vertical="center"/>
    </xf>
    <xf numFmtId="0" fontId="13" fillId="0" borderId="42" xfId="0" applyFont="1" applyFill="1" applyBorder="1" applyAlignment="1">
      <alignment vertical="top" wrapText="1"/>
    </xf>
    <xf numFmtId="165" fontId="13" fillId="0" borderId="42" xfId="0" applyNumberFormat="1" applyFont="1" applyFill="1" applyBorder="1" applyAlignment="1">
      <alignment horizontal="center" vertical="center" wrapText="1"/>
    </xf>
    <xf numFmtId="165" fontId="65" fillId="0" borderId="42" xfId="0" applyNumberFormat="1" applyFont="1" applyFill="1" applyBorder="1" applyAlignment="1">
      <alignment horizontal="center" vertical="center"/>
    </xf>
    <xf numFmtId="165" fontId="75" fillId="0" borderId="40" xfId="0" applyNumberFormat="1" applyFont="1" applyFill="1" applyBorder="1" applyAlignment="1">
      <alignment horizontal="center" vertical="center" wrapText="1"/>
    </xf>
    <xf numFmtId="165" fontId="75" fillId="0" borderId="34" xfId="0" applyNumberFormat="1" applyFont="1" applyFill="1" applyBorder="1" applyAlignment="1">
      <alignment horizontal="center" vertical="center" wrapText="1"/>
    </xf>
    <xf numFmtId="0" fontId="73" fillId="3" borderId="43" xfId="0" applyFont="1" applyFill="1" applyBorder="1" applyAlignment="1">
      <alignment horizontal="center" vertical="top" wrapText="1"/>
    </xf>
    <xf numFmtId="165" fontId="13" fillId="3" borderId="43" xfId="0" applyNumberFormat="1" applyFont="1" applyFill="1" applyBorder="1" applyAlignment="1">
      <alignment horizontal="center" vertical="center" wrapText="1"/>
    </xf>
    <xf numFmtId="165" fontId="75" fillId="0" borderId="34" xfId="0" applyNumberFormat="1" applyFont="1" applyBorder="1" applyAlignment="1">
      <alignment horizontal="center" vertical="center"/>
    </xf>
    <xf numFmtId="49" fontId="5" fillId="3" borderId="43" xfId="1" applyNumberFormat="1" applyFont="1" applyFill="1" applyBorder="1" applyAlignment="1">
      <alignment horizontal="center" wrapText="1"/>
    </xf>
    <xf numFmtId="165" fontId="5" fillId="3" borderId="43" xfId="0" applyNumberFormat="1" applyFont="1" applyFill="1" applyBorder="1" applyAlignment="1">
      <alignment horizontal="center"/>
    </xf>
    <xf numFmtId="0" fontId="2" fillId="0" borderId="43" xfId="0" applyFont="1" applyBorder="1"/>
    <xf numFmtId="0" fontId="2" fillId="0" borderId="43" xfId="0" applyFont="1" applyFill="1" applyBorder="1"/>
    <xf numFmtId="165" fontId="5" fillId="0" borderId="43" xfId="1" applyNumberFormat="1" applyFont="1" applyFill="1" applyBorder="1" applyAlignment="1">
      <alignment horizontal="center" wrapText="1"/>
    </xf>
    <xf numFmtId="0" fontId="4" fillId="0" borderId="22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13" fillId="3" borderId="44" xfId="0" applyFont="1" applyFill="1" applyBorder="1" applyAlignment="1">
      <alignment horizontal="center" vertical="top" wrapText="1"/>
    </xf>
    <xf numFmtId="165" fontId="75" fillId="3" borderId="44" xfId="0" applyNumberFormat="1" applyFont="1" applyFill="1" applyBorder="1" applyAlignment="1">
      <alignment horizontal="center" vertical="center" wrapText="1"/>
    </xf>
    <xf numFmtId="165" fontId="79" fillId="3" borderId="44" xfId="0" applyNumberFormat="1" applyFont="1" applyFill="1" applyBorder="1" applyAlignment="1">
      <alignment horizontal="center" vertical="center"/>
    </xf>
    <xf numFmtId="0" fontId="4" fillId="0" borderId="45" xfId="1" applyFont="1" applyFill="1" applyBorder="1" applyAlignment="1">
      <alignment horizontal="center" vertical="center" wrapText="1"/>
    </xf>
    <xf numFmtId="165" fontId="4" fillId="7" borderId="44" xfId="0" applyNumberFormat="1" applyFont="1" applyFill="1" applyBorder="1" applyAlignment="1">
      <alignment horizontal="center"/>
    </xf>
    <xf numFmtId="165" fontId="4" fillId="6" borderId="44" xfId="0" applyNumberFormat="1" applyFont="1" applyFill="1" applyBorder="1" applyAlignment="1">
      <alignment horizontal="center"/>
    </xf>
    <xf numFmtId="165" fontId="4" fillId="69" borderId="44" xfId="0" applyNumberFormat="1" applyFont="1" applyFill="1" applyBorder="1" applyAlignment="1">
      <alignment horizontal="center"/>
    </xf>
    <xf numFmtId="165" fontId="5" fillId="3" borderId="44" xfId="0" applyNumberFormat="1" applyFont="1" applyFill="1" applyBorder="1" applyAlignment="1">
      <alignment horizontal="center"/>
    </xf>
    <xf numFmtId="165" fontId="5" fillId="0" borderId="44" xfId="0" applyNumberFormat="1" applyFont="1" applyBorder="1" applyAlignment="1">
      <alignment horizontal="center"/>
    </xf>
    <xf numFmtId="165" fontId="5" fillId="0" borderId="44" xfId="0" applyNumberFormat="1" applyFont="1" applyFill="1" applyBorder="1" applyAlignment="1">
      <alignment horizontal="center"/>
    </xf>
    <xf numFmtId="165" fontId="4" fillId="6" borderId="44" xfId="1" applyNumberFormat="1" applyFont="1" applyFill="1" applyBorder="1" applyAlignment="1">
      <alignment horizontal="center" wrapText="1"/>
    </xf>
    <xf numFmtId="165" fontId="4" fillId="69" borderId="44" xfId="1" applyNumberFormat="1" applyFont="1" applyFill="1" applyBorder="1" applyAlignment="1">
      <alignment horizontal="center" wrapText="1"/>
    </xf>
    <xf numFmtId="165" fontId="5" fillId="3" borderId="44" xfId="1" applyNumberFormat="1" applyFont="1" applyFill="1" applyBorder="1" applyAlignment="1">
      <alignment horizontal="center" wrapText="1"/>
    </xf>
    <xf numFmtId="165" fontId="5" fillId="3" borderId="35" xfId="0" applyNumberFormat="1" applyFont="1" applyFill="1" applyBorder="1" applyAlignment="1">
      <alignment horizontal="center"/>
    </xf>
    <xf numFmtId="165" fontId="4" fillId="4" borderId="44" xfId="0" applyNumberFormat="1" applyFont="1" applyFill="1" applyBorder="1" applyAlignment="1">
      <alignment horizontal="center"/>
    </xf>
    <xf numFmtId="0" fontId="4" fillId="0" borderId="0" xfId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49" fontId="5" fillId="3" borderId="44" xfId="1" applyNumberFormat="1" applyFont="1" applyFill="1" applyBorder="1" applyAlignment="1">
      <alignment horizontal="center" wrapText="1"/>
    </xf>
    <xf numFmtId="49" fontId="4" fillId="3" borderId="44" xfId="1" applyNumberFormat="1" applyFont="1" applyFill="1" applyBorder="1" applyAlignment="1">
      <alignment horizontal="center" wrapText="1"/>
    </xf>
    <xf numFmtId="0" fontId="5" fillId="3" borderId="44" xfId="1" applyFont="1" applyFill="1" applyBorder="1" applyAlignment="1">
      <alignment wrapText="1"/>
    </xf>
    <xf numFmtId="0" fontId="11" fillId="0" borderId="44" xfId="1" applyFont="1" applyFill="1" applyBorder="1" applyAlignment="1">
      <alignment horizontal="center" vertical="center" wrapText="1"/>
    </xf>
    <xf numFmtId="165" fontId="4" fillId="2" borderId="44" xfId="1" applyNumberFormat="1" applyFont="1" applyFill="1" applyBorder="1" applyAlignment="1">
      <alignment horizontal="center" wrapText="1"/>
    </xf>
    <xf numFmtId="165" fontId="4" fillId="0" borderId="44" xfId="1" applyNumberFormat="1" applyFont="1" applyFill="1" applyBorder="1" applyAlignment="1">
      <alignment horizontal="center" wrapText="1"/>
    </xf>
    <xf numFmtId="165" fontId="4" fillId="7" borderId="44" xfId="1" applyNumberFormat="1" applyFont="1" applyFill="1" applyBorder="1" applyAlignment="1">
      <alignment horizontal="center" vertical="top" wrapText="1"/>
    </xf>
    <xf numFmtId="165" fontId="4" fillId="3" borderId="44" xfId="1" applyNumberFormat="1" applyFont="1" applyFill="1" applyBorder="1" applyAlignment="1">
      <alignment horizontal="center" wrapText="1"/>
    </xf>
    <xf numFmtId="165" fontId="5" fillId="0" borderId="44" xfId="1" applyNumberFormat="1" applyFont="1" applyFill="1" applyBorder="1" applyAlignment="1">
      <alignment horizontal="center" wrapText="1"/>
    </xf>
    <xf numFmtId="165" fontId="5" fillId="3" borderId="44" xfId="1" applyNumberFormat="1" applyFont="1" applyFill="1" applyBorder="1" applyAlignment="1">
      <alignment horizontal="center"/>
    </xf>
    <xf numFmtId="165" fontId="4" fillId="5" borderId="44" xfId="1" applyNumberFormat="1" applyFont="1" applyFill="1" applyBorder="1" applyAlignment="1">
      <alignment horizontal="center"/>
    </xf>
    <xf numFmtId="165" fontId="4" fillId="4" borderId="44" xfId="1" applyNumberFormat="1" applyFont="1" applyFill="1" applyBorder="1" applyAlignment="1">
      <alignment horizontal="center" wrapText="1"/>
    </xf>
    <xf numFmtId="165" fontId="4" fillId="3" borderId="44" xfId="1" applyNumberFormat="1" applyFont="1" applyFill="1" applyBorder="1" applyAlignment="1">
      <alignment horizontal="center"/>
    </xf>
    <xf numFmtId="165" fontId="4" fillId="8" borderId="44" xfId="1" applyNumberFormat="1" applyFont="1" applyFill="1" applyBorder="1" applyAlignment="1">
      <alignment horizontal="center" vertical="top" wrapText="1"/>
    </xf>
    <xf numFmtId="165" fontId="4" fillId="69" borderId="44" xfId="1" applyNumberFormat="1" applyFont="1" applyFill="1" applyBorder="1" applyAlignment="1">
      <alignment horizontal="center" vertical="top" wrapText="1"/>
    </xf>
    <xf numFmtId="165" fontId="4" fillId="5" borderId="44" xfId="1" applyNumberFormat="1" applyFont="1" applyFill="1" applyBorder="1" applyAlignment="1">
      <alignment horizontal="center" wrapText="1"/>
    </xf>
    <xf numFmtId="165" fontId="4" fillId="4" borderId="44" xfId="1" applyNumberFormat="1" applyFont="1" applyFill="1" applyBorder="1" applyAlignment="1">
      <alignment horizontal="center"/>
    </xf>
    <xf numFmtId="165" fontId="65" fillId="0" borderId="44" xfId="0" applyNumberFormat="1" applyFont="1" applyBorder="1" applyAlignment="1">
      <alignment horizontal="center"/>
    </xf>
    <xf numFmtId="165" fontId="4" fillId="7" borderId="44" xfId="1" applyNumberFormat="1" applyFont="1" applyFill="1" applyBorder="1" applyAlignment="1">
      <alignment horizontal="center" wrapText="1"/>
    </xf>
    <xf numFmtId="165" fontId="4" fillId="8" borderId="44" xfId="1" applyNumberFormat="1" applyFont="1" applyFill="1" applyBorder="1" applyAlignment="1">
      <alignment horizontal="center" wrapText="1"/>
    </xf>
    <xf numFmtId="165" fontId="5" fillId="0" borderId="44" xfId="1" applyNumberFormat="1" applyFont="1" applyFill="1" applyBorder="1" applyAlignment="1">
      <alignment horizontal="center" vertical="top" wrapText="1"/>
    </xf>
    <xf numFmtId="165" fontId="4" fillId="2" borderId="44" xfId="1" applyNumberFormat="1" applyFont="1" applyFill="1" applyBorder="1" applyAlignment="1">
      <alignment horizontal="center" vertical="top" wrapText="1"/>
    </xf>
    <xf numFmtId="165" fontId="4" fillId="0" borderId="44" xfId="1" applyNumberFormat="1" applyFont="1" applyFill="1" applyBorder="1" applyAlignment="1">
      <alignment horizontal="center" vertical="top" wrapText="1"/>
    </xf>
    <xf numFmtId="165" fontId="4" fillId="2" borderId="44" xfId="1" applyNumberFormat="1" applyFont="1" applyFill="1" applyBorder="1" applyAlignment="1">
      <alignment horizontal="center"/>
    </xf>
    <xf numFmtId="0" fontId="4" fillId="3" borderId="44" xfId="1" applyFont="1" applyFill="1" applyBorder="1" applyAlignment="1">
      <alignment horizontal="center" vertical="top" wrapText="1"/>
    </xf>
    <xf numFmtId="165" fontId="4" fillId="3" borderId="44" xfId="1" applyNumberFormat="1" applyFont="1" applyFill="1" applyBorder="1" applyAlignment="1">
      <alignment horizontal="center" vertical="top" wrapText="1"/>
    </xf>
    <xf numFmtId="165" fontId="5" fillId="3" borderId="44" xfId="1" applyNumberFormat="1" applyFont="1" applyFill="1" applyBorder="1" applyAlignment="1">
      <alignment horizontal="center" vertical="top" wrapText="1"/>
    </xf>
    <xf numFmtId="0" fontId="5" fillId="3" borderId="0" xfId="1" applyFont="1" applyFill="1" applyBorder="1" applyAlignment="1">
      <alignment wrapText="1"/>
    </xf>
    <xf numFmtId="0" fontId="71" fillId="0" borderId="0" xfId="0" applyFont="1"/>
    <xf numFmtId="0" fontId="2" fillId="0" borderId="44" xfId="0" applyFont="1" applyBorder="1"/>
    <xf numFmtId="0" fontId="5" fillId="3" borderId="43" xfId="1" applyFont="1" applyFill="1" applyBorder="1" applyAlignment="1">
      <alignment wrapText="1"/>
    </xf>
    <xf numFmtId="0" fontId="0" fillId="0" borderId="0" xfId="0" applyFill="1"/>
    <xf numFmtId="0" fontId="75" fillId="0" borderId="44" xfId="0" applyFont="1" applyBorder="1" applyAlignment="1">
      <alignment wrapText="1"/>
    </xf>
    <xf numFmtId="165" fontId="13" fillId="3" borderId="44" xfId="0" applyNumberFormat="1" applyFont="1" applyFill="1" applyBorder="1" applyAlignment="1">
      <alignment horizontal="center" vertical="center" wrapText="1"/>
    </xf>
    <xf numFmtId="0" fontId="73" fillId="0" borderId="41" xfId="0" applyFont="1" applyFill="1" applyBorder="1" applyAlignment="1">
      <alignment wrapText="1"/>
    </xf>
    <xf numFmtId="165" fontId="73" fillId="0" borderId="41" xfId="0" applyNumberFormat="1" applyFont="1" applyFill="1" applyBorder="1" applyAlignment="1">
      <alignment horizontal="center" vertical="center" wrapText="1"/>
    </xf>
    <xf numFmtId="0" fontId="78" fillId="0" borderId="44" xfId="0" applyFont="1" applyFill="1" applyBorder="1" applyAlignment="1">
      <alignment wrapText="1"/>
    </xf>
    <xf numFmtId="165" fontId="75" fillId="0" borderId="44" xfId="0" applyNumberFormat="1" applyFont="1" applyFill="1" applyBorder="1" applyAlignment="1">
      <alignment horizontal="center" vertical="center" wrapText="1"/>
    </xf>
    <xf numFmtId="165" fontId="75" fillId="0" borderId="44" xfId="561" applyNumberFormat="1" applyFont="1" applyFill="1" applyBorder="1" applyAlignment="1">
      <alignment horizontal="right" vertical="center" wrapText="1"/>
    </xf>
    <xf numFmtId="0" fontId="5" fillId="0" borderId="40" xfId="1" applyFont="1" applyFill="1" applyBorder="1" applyAlignment="1">
      <alignment wrapText="1"/>
    </xf>
    <xf numFmtId="0" fontId="0" fillId="0" borderId="0" xfId="0" applyFill="1" applyAlignment="1">
      <alignment wrapText="1"/>
    </xf>
    <xf numFmtId="0" fontId="71" fillId="0" borderId="0" xfId="0" applyFont="1" applyFill="1"/>
    <xf numFmtId="0" fontId="0" fillId="0" borderId="44" xfId="0" applyBorder="1"/>
    <xf numFmtId="0" fontId="0" fillId="0" borderId="44" xfId="0" applyFill="1" applyBorder="1"/>
    <xf numFmtId="49" fontId="5" fillId="0" borderId="44" xfId="1" applyNumberFormat="1" applyFont="1" applyFill="1" applyBorder="1" applyAlignment="1">
      <alignment horizontal="center" vertical="center" wrapText="1"/>
    </xf>
    <xf numFmtId="49" fontId="5" fillId="3" borderId="44" xfId="1" applyNumberFormat="1" applyFont="1" applyFill="1" applyBorder="1" applyAlignment="1">
      <alignment horizontal="center" vertical="center" wrapText="1"/>
    </xf>
    <xf numFmtId="0" fontId="5" fillId="3" borderId="44" xfId="1" applyFont="1" applyFill="1" applyBorder="1" applyAlignment="1">
      <alignment vertical="center" wrapText="1"/>
    </xf>
    <xf numFmtId="49" fontId="5" fillId="0" borderId="44" xfId="1" applyNumberFormat="1" applyFont="1" applyFill="1" applyBorder="1" applyAlignment="1">
      <alignment horizontal="center" wrapText="1"/>
    </xf>
    <xf numFmtId="0" fontId="5" fillId="0" borderId="44" xfId="1" applyFont="1" applyFill="1" applyBorder="1" applyAlignment="1">
      <alignment wrapText="1"/>
    </xf>
    <xf numFmtId="0" fontId="71" fillId="0" borderId="44" xfId="0" applyFont="1" applyBorder="1"/>
    <xf numFmtId="0" fontId="4" fillId="3" borderId="44" xfId="1" applyFont="1" applyFill="1" applyBorder="1" applyAlignment="1">
      <alignment wrapText="1"/>
    </xf>
    <xf numFmtId="165" fontId="71" fillId="0" borderId="44" xfId="0" applyNumberFormat="1" applyFont="1" applyFill="1" applyBorder="1"/>
    <xf numFmtId="0" fontId="71" fillId="0" borderId="44" xfId="0" applyFont="1" applyFill="1" applyBorder="1"/>
    <xf numFmtId="0" fontId="84" fillId="73" borderId="44" xfId="0" applyFont="1" applyFill="1" applyBorder="1"/>
    <xf numFmtId="0" fontId="0" fillId="73" borderId="44" xfId="0" applyFill="1" applyBorder="1"/>
    <xf numFmtId="165" fontId="5" fillId="73" borderId="44" xfId="0" applyNumberFormat="1" applyFont="1" applyFill="1" applyBorder="1" applyAlignment="1">
      <alignment horizontal="center"/>
    </xf>
    <xf numFmtId="49" fontId="5" fillId="0" borderId="46" xfId="1" applyNumberFormat="1" applyFont="1" applyFill="1" applyBorder="1" applyAlignment="1">
      <alignment horizontal="center" wrapText="1"/>
    </xf>
    <xf numFmtId="0" fontId="0" fillId="0" borderId="46" xfId="0" applyFill="1" applyBorder="1"/>
    <xf numFmtId="0" fontId="5" fillId="0" borderId="46" xfId="1" applyFont="1" applyFill="1" applyBorder="1" applyAlignment="1">
      <alignment wrapText="1"/>
    </xf>
    <xf numFmtId="0" fontId="0" fillId="73" borderId="46" xfId="0" applyFill="1" applyBorder="1"/>
    <xf numFmtId="49" fontId="5" fillId="3" borderId="46" xfId="1" applyNumberFormat="1" applyFont="1" applyFill="1" applyBorder="1" applyAlignment="1">
      <alignment horizontal="center" wrapText="1"/>
    </xf>
    <xf numFmtId="0" fontId="5" fillId="3" borderId="46" xfId="1" applyFont="1" applyFill="1" applyBorder="1" applyAlignment="1">
      <alignment wrapText="1"/>
    </xf>
    <xf numFmtId="0" fontId="2" fillId="0" borderId="46" xfId="0" applyFont="1" applyBorder="1"/>
    <xf numFmtId="165" fontId="5" fillId="3" borderId="46" xfId="0" applyNumberFormat="1" applyFont="1" applyFill="1" applyBorder="1" applyAlignment="1">
      <alignment horizontal="center"/>
    </xf>
    <xf numFmtId="165" fontId="5" fillId="0" borderId="46" xfId="1" applyNumberFormat="1" applyFont="1" applyFill="1" applyBorder="1" applyAlignment="1">
      <alignment horizontal="center" wrapText="1"/>
    </xf>
    <xf numFmtId="165" fontId="83" fillId="73" borderId="44" xfId="0" applyNumberFormat="1" applyFont="1" applyFill="1" applyBorder="1" applyAlignment="1">
      <alignment horizontal="center"/>
    </xf>
    <xf numFmtId="0" fontId="5" fillId="0" borderId="0" xfId="0" applyFont="1" applyFill="1"/>
    <xf numFmtId="165" fontId="5" fillId="0" borderId="0" xfId="1" applyNumberFormat="1" applyFont="1" applyFill="1" applyBorder="1" applyAlignment="1">
      <alignment horizontal="center" wrapText="1"/>
    </xf>
    <xf numFmtId="165" fontId="5" fillId="0" borderId="30" xfId="0" applyNumberFormat="1" applyFont="1" applyFill="1" applyBorder="1"/>
    <xf numFmtId="165" fontId="5" fillId="73" borderId="46" xfId="0" applyNumberFormat="1" applyFont="1" applyFill="1" applyBorder="1" applyAlignment="1">
      <alignment horizontal="center"/>
    </xf>
    <xf numFmtId="165" fontId="5" fillId="3" borderId="46" xfId="1" applyNumberFormat="1" applyFont="1" applyFill="1" applyBorder="1" applyAlignment="1">
      <alignment horizontal="center" wrapText="1"/>
    </xf>
    <xf numFmtId="49" fontId="4" fillId="3" borderId="46" xfId="1" applyNumberFormat="1" applyFont="1" applyFill="1" applyBorder="1" applyAlignment="1">
      <alignment horizontal="center" wrapText="1"/>
    </xf>
    <xf numFmtId="165" fontId="4" fillId="4" borderId="46" xfId="1" applyNumberFormat="1" applyFont="1" applyFill="1" applyBorder="1" applyAlignment="1">
      <alignment horizontal="center" wrapText="1"/>
    </xf>
    <xf numFmtId="49" fontId="4" fillId="0" borderId="46" xfId="1" applyNumberFormat="1" applyFont="1" applyFill="1" applyBorder="1" applyAlignment="1">
      <alignment horizontal="center" wrapText="1"/>
    </xf>
    <xf numFmtId="165" fontId="4" fillId="0" borderId="46" xfId="1" applyNumberFormat="1" applyFont="1" applyFill="1" applyBorder="1" applyAlignment="1">
      <alignment horizontal="center" wrapText="1"/>
    </xf>
    <xf numFmtId="165" fontId="4" fillId="2" borderId="46" xfId="1" applyNumberFormat="1" applyFont="1" applyFill="1" applyBorder="1" applyAlignment="1">
      <alignment horizontal="center" wrapText="1"/>
    </xf>
    <xf numFmtId="0" fontId="5" fillId="0" borderId="46" xfId="1" applyFont="1" applyFill="1" applyBorder="1" applyAlignment="1">
      <alignment horizontal="center" vertical="top" wrapText="1"/>
    </xf>
    <xf numFmtId="169" fontId="0" fillId="0" borderId="46" xfId="0" applyNumberFormat="1" applyFill="1" applyBorder="1"/>
    <xf numFmtId="0" fontId="4" fillId="7" borderId="44" xfId="1" applyFont="1" applyFill="1" applyBorder="1" applyAlignment="1">
      <alignment horizontal="center" vertical="top" wrapText="1"/>
    </xf>
    <xf numFmtId="0" fontId="2" fillId="7" borderId="0" xfId="0" applyFont="1" applyFill="1"/>
    <xf numFmtId="0" fontId="4" fillId="6" borderId="44" xfId="1" applyFont="1" applyFill="1" applyBorder="1" applyAlignment="1">
      <alignment horizontal="center" vertical="top" wrapText="1"/>
    </xf>
    <xf numFmtId="165" fontId="4" fillId="6" borderId="44" xfId="1" applyNumberFormat="1" applyFont="1" applyFill="1" applyBorder="1" applyAlignment="1">
      <alignment horizontal="center" vertical="top" wrapText="1"/>
    </xf>
    <xf numFmtId="0" fontId="4" fillId="69" borderId="44" xfId="1" applyFont="1" applyFill="1" applyBorder="1" applyAlignment="1">
      <alignment horizontal="center" vertical="top" wrapText="1"/>
    </xf>
    <xf numFmtId="0" fontId="4" fillId="6" borderId="1" xfId="1" applyFont="1" applyFill="1" applyBorder="1" applyAlignment="1">
      <alignment horizontal="center" vertical="top" wrapText="1"/>
    </xf>
    <xf numFmtId="49" fontId="4" fillId="6" borderId="1" xfId="1" applyNumberFormat="1" applyFont="1" applyFill="1" applyBorder="1" applyAlignment="1">
      <alignment horizontal="center" vertical="top" wrapText="1"/>
    </xf>
    <xf numFmtId="0" fontId="4" fillId="6" borderId="1" xfId="1" applyNumberFormat="1" applyFont="1" applyFill="1" applyBorder="1" applyAlignment="1">
      <alignment horizontal="center" vertical="top" wrapText="1"/>
    </xf>
    <xf numFmtId="0" fontId="4" fillId="6" borderId="1" xfId="1" applyFont="1" applyFill="1" applyBorder="1" applyAlignment="1">
      <alignment vertical="top" wrapText="1"/>
    </xf>
    <xf numFmtId="165" fontId="4" fillId="6" borderId="1" xfId="1" applyNumberFormat="1" applyFont="1" applyFill="1" applyBorder="1" applyAlignment="1">
      <alignment horizontal="center" vertical="top" wrapText="1"/>
    </xf>
    <xf numFmtId="0" fontId="5" fillId="73" borderId="1" xfId="1" applyFont="1" applyFill="1" applyBorder="1" applyAlignment="1">
      <alignment wrapText="1"/>
    </xf>
    <xf numFmtId="0" fontId="5" fillId="73" borderId="40" xfId="1" applyFont="1" applyFill="1" applyBorder="1" applyAlignment="1">
      <alignment wrapText="1"/>
    </xf>
    <xf numFmtId="165" fontId="5" fillId="0" borderId="40" xfId="0" applyNumberFormat="1" applyFont="1" applyFill="1" applyBorder="1" applyAlignment="1">
      <alignment horizontal="center"/>
    </xf>
    <xf numFmtId="0" fontId="4" fillId="0" borderId="29" xfId="1" applyFont="1" applyFill="1" applyBorder="1" applyAlignment="1">
      <alignment horizontal="center" vertical="center" wrapText="1"/>
    </xf>
    <xf numFmtId="0" fontId="4" fillId="0" borderId="22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3" xfId="1" applyFont="1" applyFill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72" fillId="0" borderId="0" xfId="0" applyFont="1" applyBorder="1" applyAlignment="1">
      <alignment horizontal="left" vertical="center"/>
    </xf>
    <xf numFmtId="0" fontId="73" fillId="0" borderId="0" xfId="561" applyFont="1" applyBorder="1" applyAlignment="1">
      <alignment horizontal="center" vertical="center"/>
    </xf>
    <xf numFmtId="0" fontId="73" fillId="0" borderId="34" xfId="0" applyFont="1" applyBorder="1" applyAlignment="1">
      <alignment horizontal="center" vertical="center" wrapText="1"/>
    </xf>
    <xf numFmtId="0" fontId="73" fillId="0" borderId="32" xfId="0" applyFont="1" applyBorder="1" applyAlignment="1">
      <alignment horizontal="center" vertical="center" wrapText="1"/>
    </xf>
    <xf numFmtId="0" fontId="73" fillId="0" borderId="22" xfId="0" applyFont="1" applyBorder="1" applyAlignment="1">
      <alignment horizontal="center" vertical="center" wrapText="1"/>
    </xf>
    <xf numFmtId="0" fontId="73" fillId="0" borderId="37" xfId="0" applyFont="1" applyBorder="1" applyAlignment="1">
      <alignment horizontal="center" vertical="center" wrapText="1"/>
    </xf>
    <xf numFmtId="0" fontId="73" fillId="0" borderId="38" xfId="0" applyFont="1" applyBorder="1" applyAlignment="1">
      <alignment horizontal="center" vertical="center" wrapText="1"/>
    </xf>
    <xf numFmtId="0" fontId="73" fillId="0" borderId="39" xfId="0" applyFont="1" applyBorder="1" applyAlignment="1">
      <alignment horizontal="center" vertical="center" wrapText="1"/>
    </xf>
    <xf numFmtId="0" fontId="72" fillId="0" borderId="0" xfId="0" applyFont="1" applyBorder="1" applyAlignment="1">
      <alignment horizontal="center" vertical="center" wrapText="1"/>
    </xf>
    <xf numFmtId="0" fontId="73" fillId="0" borderId="35" xfId="0" applyFont="1" applyBorder="1" applyAlignment="1">
      <alignment horizontal="center" vertical="center" wrapText="1"/>
    </xf>
    <xf numFmtId="0" fontId="73" fillId="0" borderId="36" xfId="0" applyFont="1" applyBorder="1" applyAlignment="1">
      <alignment horizontal="center" vertical="center" wrapText="1"/>
    </xf>
    <xf numFmtId="0" fontId="73" fillId="0" borderId="21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69" fillId="0" borderId="3" xfId="0" applyFont="1" applyBorder="1" applyAlignment="1">
      <alignment horizontal="right"/>
    </xf>
    <xf numFmtId="0" fontId="6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3" fillId="3" borderId="0" xfId="1" applyFont="1" applyFill="1" applyAlignment="1">
      <alignment horizontal="center" vertical="center" wrapText="1"/>
    </xf>
  </cellXfs>
  <cellStyles count="664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20% - Акцент1 2" xfId="10"/>
    <cellStyle name="20% - Акцент1 2 2" xfId="11"/>
    <cellStyle name="20% - Акцент2 2" xfId="12"/>
    <cellStyle name="20% - Акцент2 2 2" xfId="13"/>
    <cellStyle name="20% - Акцент3 2" xfId="14"/>
    <cellStyle name="20% - Акцент3 2 2" xfId="15"/>
    <cellStyle name="20% - Акцент4 2" xfId="16"/>
    <cellStyle name="20% - Акцент4 2 2" xfId="17"/>
    <cellStyle name="20% - Акцент5 2" xfId="18"/>
    <cellStyle name="20% - Акцент5 2 2" xfId="19"/>
    <cellStyle name="20% - Акцент6 2" xfId="20"/>
    <cellStyle name="20% - Акцент6 2 2" xfId="21"/>
    <cellStyle name="40% - Accent1" xfId="22"/>
    <cellStyle name="40% - Accent2" xfId="23"/>
    <cellStyle name="40% - Accent3" xfId="24"/>
    <cellStyle name="40% - Accent4" xfId="25"/>
    <cellStyle name="40% - Accent5" xfId="26"/>
    <cellStyle name="40% - Accent6" xfId="27"/>
    <cellStyle name="40% - Акцент1 2" xfId="28"/>
    <cellStyle name="40% - Акцент1 2 2" xfId="29"/>
    <cellStyle name="40% - Акцент2 2" xfId="30"/>
    <cellStyle name="40% - Акцент2 2 2" xfId="31"/>
    <cellStyle name="40% - Акцент3 2" xfId="32"/>
    <cellStyle name="40% - Акцент3 2 2" xfId="33"/>
    <cellStyle name="40% - Акцент4 2" xfId="34"/>
    <cellStyle name="40% - Акцент4 2 2" xfId="35"/>
    <cellStyle name="40% - Акцент5 2" xfId="36"/>
    <cellStyle name="40% - Акцент5 2 2" xfId="37"/>
    <cellStyle name="40% - Акцент6 2" xfId="38"/>
    <cellStyle name="40% - Акцент6 2 2" xfId="39"/>
    <cellStyle name="60% - Accent1" xfId="40"/>
    <cellStyle name="60% - Accent2" xfId="41"/>
    <cellStyle name="60% - Accent3" xfId="42"/>
    <cellStyle name="60% - Accent4" xfId="43"/>
    <cellStyle name="60% - Accent5" xfId="44"/>
    <cellStyle name="60% - Accent6" xfId="45"/>
    <cellStyle name="60% - Акцент1 2" xfId="46"/>
    <cellStyle name="60% - Акцент2 2" xfId="47"/>
    <cellStyle name="60% - Акцент3 2" xfId="48"/>
    <cellStyle name="60% - Акцент4 2" xfId="49"/>
    <cellStyle name="60% - Акцент5 2" xfId="50"/>
    <cellStyle name="60% - Акцент6 2" xfId="51"/>
    <cellStyle name="Accent1" xfId="52"/>
    <cellStyle name="Accent1 - 20%" xfId="53"/>
    <cellStyle name="Accent1 - 40%" xfId="54"/>
    <cellStyle name="Accent1 - 60%" xfId="55"/>
    <cellStyle name="Accent2" xfId="56"/>
    <cellStyle name="Accent2 - 20%" xfId="57"/>
    <cellStyle name="Accent2 - 40%" xfId="58"/>
    <cellStyle name="Accent2 - 60%" xfId="59"/>
    <cellStyle name="Accent3" xfId="60"/>
    <cellStyle name="Accent3 - 20%" xfId="61"/>
    <cellStyle name="Accent3 - 40%" xfId="62"/>
    <cellStyle name="Accent3 - 60%" xfId="63"/>
    <cellStyle name="Accent3_10" xfId="64"/>
    <cellStyle name="Accent4" xfId="65"/>
    <cellStyle name="Accent4 - 20%" xfId="66"/>
    <cellStyle name="Accent4 - 40%" xfId="67"/>
    <cellStyle name="Accent4 - 60%" xfId="68"/>
    <cellStyle name="Accent4_10" xfId="69"/>
    <cellStyle name="Accent5" xfId="70"/>
    <cellStyle name="Accent5 - 20%" xfId="71"/>
    <cellStyle name="Accent5 - 40%" xfId="72"/>
    <cellStyle name="Accent5 - 60%" xfId="73"/>
    <cellStyle name="Accent5_10" xfId="74"/>
    <cellStyle name="Accent6" xfId="75"/>
    <cellStyle name="Accent6 - 20%" xfId="76"/>
    <cellStyle name="Accent6 - 40%" xfId="77"/>
    <cellStyle name="Accent6 - 60%" xfId="78"/>
    <cellStyle name="Accent6_10" xfId="79"/>
    <cellStyle name="Bad" xfId="80"/>
    <cellStyle name="Calculation" xfId="81"/>
    <cellStyle name="Check Cell" xfId="82"/>
    <cellStyle name="Emphasis 1" xfId="83"/>
    <cellStyle name="Emphasis 2" xfId="84"/>
    <cellStyle name="Emphasis 3" xfId="85"/>
    <cellStyle name="Explanatory Text" xfId="86"/>
    <cellStyle name="Good" xfId="87"/>
    <cellStyle name="Heading 1" xfId="88"/>
    <cellStyle name="Heading 2" xfId="89"/>
    <cellStyle name="Heading 3" xfId="90"/>
    <cellStyle name="Heading 4" xfId="91"/>
    <cellStyle name="Input" xfId="92"/>
    <cellStyle name="Linked Cell" xfId="93"/>
    <cellStyle name="Neutral" xfId="94"/>
    <cellStyle name="Normal" xfId="95"/>
    <cellStyle name="Note" xfId="96"/>
    <cellStyle name="Output" xfId="97"/>
    <cellStyle name="SAPBEXaggData" xfId="98"/>
    <cellStyle name="SAPBEXaggData 2" xfId="99"/>
    <cellStyle name="SAPBEXaggData 3" xfId="100"/>
    <cellStyle name="SAPBEXaggData_Приложения к закону (поправки)" xfId="101"/>
    <cellStyle name="SAPBEXaggDataEmph" xfId="102"/>
    <cellStyle name="SAPBEXaggDataEmph 2" xfId="103"/>
    <cellStyle name="SAPBEXaggDataEmph 3" xfId="104"/>
    <cellStyle name="SAPBEXaggItem" xfId="105"/>
    <cellStyle name="SAPBEXaggItem 2" xfId="106"/>
    <cellStyle name="SAPBEXaggItem 3" xfId="107"/>
    <cellStyle name="SAPBEXaggItem_8" xfId="108"/>
    <cellStyle name="SAPBEXaggItemX" xfId="109"/>
    <cellStyle name="SAPBEXaggItemX 2" xfId="110"/>
    <cellStyle name="SAPBEXaggItemX 3" xfId="111"/>
    <cellStyle name="SAPBEXchaText" xfId="112"/>
    <cellStyle name="SAPBEXchaText 2" xfId="113"/>
    <cellStyle name="SAPBEXchaText 3" xfId="114"/>
    <cellStyle name="SAPBEXexcBad7" xfId="115"/>
    <cellStyle name="SAPBEXexcBad7 2" xfId="116"/>
    <cellStyle name="SAPBEXexcBad7 3" xfId="117"/>
    <cellStyle name="SAPBEXexcBad8" xfId="118"/>
    <cellStyle name="SAPBEXexcBad8 2" xfId="119"/>
    <cellStyle name="SAPBEXexcBad8 3" xfId="120"/>
    <cellStyle name="SAPBEXexcBad9" xfId="121"/>
    <cellStyle name="SAPBEXexcBad9 2" xfId="122"/>
    <cellStyle name="SAPBEXexcBad9 3" xfId="123"/>
    <cellStyle name="SAPBEXexcCritical4" xfId="124"/>
    <cellStyle name="SAPBEXexcCritical4 2" xfId="125"/>
    <cellStyle name="SAPBEXexcCritical4 3" xfId="126"/>
    <cellStyle name="SAPBEXexcCritical5" xfId="127"/>
    <cellStyle name="SAPBEXexcCritical5 2" xfId="128"/>
    <cellStyle name="SAPBEXexcCritical5 3" xfId="129"/>
    <cellStyle name="SAPBEXexcCritical6" xfId="130"/>
    <cellStyle name="SAPBEXexcCritical6 2" xfId="131"/>
    <cellStyle name="SAPBEXexcCritical6 3" xfId="132"/>
    <cellStyle name="SAPBEXexcGood1" xfId="133"/>
    <cellStyle name="SAPBEXexcGood1 2" xfId="134"/>
    <cellStyle name="SAPBEXexcGood1 3" xfId="135"/>
    <cellStyle name="SAPBEXexcGood2" xfId="136"/>
    <cellStyle name="SAPBEXexcGood2 2" xfId="137"/>
    <cellStyle name="SAPBEXexcGood2 3" xfId="138"/>
    <cellStyle name="SAPBEXexcGood3" xfId="139"/>
    <cellStyle name="SAPBEXexcGood3 2" xfId="140"/>
    <cellStyle name="SAPBEXexcGood3 3" xfId="141"/>
    <cellStyle name="SAPBEXfilterDrill" xfId="142"/>
    <cellStyle name="SAPBEXfilterDrill 2" xfId="143"/>
    <cellStyle name="SAPBEXfilterDrill 3" xfId="144"/>
    <cellStyle name="SAPBEXfilterItem" xfId="145"/>
    <cellStyle name="SAPBEXfilterItem 2" xfId="146"/>
    <cellStyle name="SAPBEXfilterItem 3" xfId="147"/>
    <cellStyle name="SAPBEXfilterText" xfId="148"/>
    <cellStyle name="SAPBEXfilterText 2" xfId="149"/>
    <cellStyle name="SAPBEXfilterText 3" xfId="150"/>
    <cellStyle name="SAPBEXformats" xfId="151"/>
    <cellStyle name="SAPBEXformats 2" xfId="152"/>
    <cellStyle name="SAPBEXformats 3" xfId="153"/>
    <cellStyle name="SAPBEXheaderItem" xfId="154"/>
    <cellStyle name="SAPBEXheaderItem 2" xfId="155"/>
    <cellStyle name="SAPBEXheaderItem 3" xfId="156"/>
    <cellStyle name="SAPBEXheaderText" xfId="157"/>
    <cellStyle name="SAPBEXheaderText 2" xfId="158"/>
    <cellStyle name="SAPBEXheaderText 3" xfId="159"/>
    <cellStyle name="SAPBEXHLevel0" xfId="160"/>
    <cellStyle name="SAPBEXHLevel0 2" xfId="161"/>
    <cellStyle name="SAPBEXHLevel0 2 2 3" xfId="162"/>
    <cellStyle name="SAPBEXHLevel0X" xfId="163"/>
    <cellStyle name="SAPBEXHLevel0X 2" xfId="164"/>
    <cellStyle name="SAPBEXHLevel0X 3" xfId="165"/>
    <cellStyle name="SAPBEXHLevel1" xfId="166"/>
    <cellStyle name="SAPBEXHLevel1 2" xfId="167"/>
    <cellStyle name="SAPBEXHLevel1X" xfId="168"/>
    <cellStyle name="SAPBEXHLevel1X 2" xfId="169"/>
    <cellStyle name="SAPBEXHLevel1X 3" xfId="170"/>
    <cellStyle name="SAPBEXHLevel2" xfId="171"/>
    <cellStyle name="SAPBEXHLevel2 2" xfId="172"/>
    <cellStyle name="SAPBEXHLevel2X" xfId="173"/>
    <cellStyle name="SAPBEXHLevel2X 2" xfId="174"/>
    <cellStyle name="SAPBEXHLevel2X 3" xfId="175"/>
    <cellStyle name="SAPBEXHLevel3" xfId="176"/>
    <cellStyle name="SAPBEXHLevel3 2" xfId="177"/>
    <cellStyle name="SAPBEXHLevel3 3" xfId="178"/>
    <cellStyle name="SAPBEXHLevel3X" xfId="179"/>
    <cellStyle name="SAPBEXHLevel3X 2" xfId="180"/>
    <cellStyle name="SAPBEXHLevel3X 3" xfId="181"/>
    <cellStyle name="SAPBEXinputData" xfId="182"/>
    <cellStyle name="SAPBEXinputData 2" xfId="183"/>
    <cellStyle name="SAPBEXinputData 3" xfId="184"/>
    <cellStyle name="SAPBEXItemHeader" xfId="185"/>
    <cellStyle name="SAPBEXresData" xfId="186"/>
    <cellStyle name="SAPBEXresData 2" xfId="187"/>
    <cellStyle name="SAPBEXresData 3" xfId="188"/>
    <cellStyle name="SAPBEXresDataEmph" xfId="189"/>
    <cellStyle name="SAPBEXresDataEmph 2" xfId="190"/>
    <cellStyle name="SAPBEXresDataEmph 3" xfId="191"/>
    <cellStyle name="SAPBEXresItem" xfId="192"/>
    <cellStyle name="SAPBEXresItem 2" xfId="193"/>
    <cellStyle name="SAPBEXresItem 3" xfId="194"/>
    <cellStyle name="SAPBEXresItemX" xfId="195"/>
    <cellStyle name="SAPBEXresItemX 2" xfId="196"/>
    <cellStyle name="SAPBEXresItemX 3" xfId="197"/>
    <cellStyle name="SAPBEXstdData" xfId="198"/>
    <cellStyle name="SAPBEXstdData 2" xfId="199"/>
    <cellStyle name="SAPBEXstdData_726-ПК (прил.)" xfId="200"/>
    <cellStyle name="SAPBEXstdDataEmph" xfId="201"/>
    <cellStyle name="SAPBEXstdDataEmph 2" xfId="202"/>
    <cellStyle name="SAPBEXstdDataEmph 3" xfId="203"/>
    <cellStyle name="SAPBEXstdItem" xfId="204"/>
    <cellStyle name="SAPBEXstdItem 2" xfId="205"/>
    <cellStyle name="SAPBEXstdItem 3" xfId="206"/>
    <cellStyle name="SAPBEXstdItem_726-ПК (прил.)" xfId="207"/>
    <cellStyle name="SAPBEXstdItemX" xfId="208"/>
    <cellStyle name="SAPBEXstdItemX 2" xfId="209"/>
    <cellStyle name="SAPBEXstdItemX 3" xfId="210"/>
    <cellStyle name="SAPBEXtitle" xfId="211"/>
    <cellStyle name="SAPBEXtitle 2" xfId="212"/>
    <cellStyle name="SAPBEXtitle 3" xfId="213"/>
    <cellStyle name="SAPBEXunassignedItem" xfId="214"/>
    <cellStyle name="SAPBEXundefined" xfId="215"/>
    <cellStyle name="SAPBEXundefined 2" xfId="216"/>
    <cellStyle name="SAPBEXundefined 3" xfId="217"/>
    <cellStyle name="Sheet Title" xfId="218"/>
    <cellStyle name="Title" xfId="219"/>
    <cellStyle name="Total" xfId="220"/>
    <cellStyle name="Warning Text" xfId="221"/>
    <cellStyle name="Акцент1 2" xfId="222"/>
    <cellStyle name="Акцент2 2" xfId="223"/>
    <cellStyle name="Акцент3 2" xfId="224"/>
    <cellStyle name="Акцент4 2" xfId="225"/>
    <cellStyle name="Акцент5 2" xfId="226"/>
    <cellStyle name="Акцент6 2" xfId="227"/>
    <cellStyle name="Ввод  2" xfId="228"/>
    <cellStyle name="Вывод 2" xfId="229"/>
    <cellStyle name="Вычисление 2" xfId="230"/>
    <cellStyle name="Заголовок 1 2" xfId="231"/>
    <cellStyle name="Заголовок 2 2" xfId="232"/>
    <cellStyle name="Заголовок 3 2" xfId="233"/>
    <cellStyle name="Заголовок 4 2" xfId="234"/>
    <cellStyle name="Итог 2" xfId="235"/>
    <cellStyle name="Контрольная ячейка 2" xfId="236"/>
    <cellStyle name="Название 2" xfId="237"/>
    <cellStyle name="Нейтральный 2" xfId="238"/>
    <cellStyle name="Обычный" xfId="0" builtinId="0"/>
    <cellStyle name="Обычный 10" xfId="239"/>
    <cellStyle name="Обычный 10 2" xfId="240"/>
    <cellStyle name="Обычный 10 2 2" xfId="241"/>
    <cellStyle name="Обычный 10 2 2 2" xfId="242"/>
    <cellStyle name="Обычный 10 2 2 2 2" xfId="243"/>
    <cellStyle name="Обычный 10 2 2 3" xfId="244"/>
    <cellStyle name="Обычный 10 2 3" xfId="245"/>
    <cellStyle name="Обычный 10 2 3 2" xfId="246"/>
    <cellStyle name="Обычный 10 2 4" xfId="247"/>
    <cellStyle name="Обычный 10 3" xfId="248"/>
    <cellStyle name="Обычный 10 3 2" xfId="249"/>
    <cellStyle name="Обычный 10 3 2 2" xfId="250"/>
    <cellStyle name="Обычный 10 3 3" xfId="251"/>
    <cellStyle name="Обычный 10 4" xfId="252"/>
    <cellStyle name="Обычный 10 4 2" xfId="253"/>
    <cellStyle name="Обычный 10 5" xfId="254"/>
    <cellStyle name="Обычный 11" xfId="255"/>
    <cellStyle name="Обычный 11 2" xfId="256"/>
    <cellStyle name="Обычный 11 2 2" xfId="257"/>
    <cellStyle name="Обычный 11 2 2 2" xfId="258"/>
    <cellStyle name="Обычный 11 2 2 2 2" xfId="259"/>
    <cellStyle name="Обычный 11 2 2 2 2 2" xfId="260"/>
    <cellStyle name="Обычный 11 2 2 2 3" xfId="261"/>
    <cellStyle name="Обычный 11 2 2 3" xfId="262"/>
    <cellStyle name="Обычный 11 2 2 3 2" xfId="263"/>
    <cellStyle name="Обычный 11 2 2 4" xfId="264"/>
    <cellStyle name="Обычный 11 2 3" xfId="265"/>
    <cellStyle name="Обычный 11 2 3 2" xfId="266"/>
    <cellStyle name="Обычный 11 2 3 2 2" xfId="267"/>
    <cellStyle name="Обычный 11 2 3 3" xfId="268"/>
    <cellStyle name="Обычный 11 2 4" xfId="269"/>
    <cellStyle name="Обычный 11 2 4 2" xfId="270"/>
    <cellStyle name="Обычный 11 2 5" xfId="271"/>
    <cellStyle name="Обычный 11 3" xfId="272"/>
    <cellStyle name="Обычный 11 4" xfId="273"/>
    <cellStyle name="Обычный 11 4 2" xfId="274"/>
    <cellStyle name="Обычный 11 4 2 2" xfId="275"/>
    <cellStyle name="Обычный 11 4 2 2 2" xfId="276"/>
    <cellStyle name="Обычный 11 4 2 3" xfId="277"/>
    <cellStyle name="Обычный 11 4 3" xfId="278"/>
    <cellStyle name="Обычный 11 4 3 2" xfId="279"/>
    <cellStyle name="Обычный 11 4 4" xfId="280"/>
    <cellStyle name="Обычный 11 5" xfId="281"/>
    <cellStyle name="Обычный 11 5 2" xfId="282"/>
    <cellStyle name="Обычный 11 5 2 2" xfId="283"/>
    <cellStyle name="Обычный 11 5 3" xfId="284"/>
    <cellStyle name="Обычный 11 6" xfId="285"/>
    <cellStyle name="Обычный 11 6 2" xfId="286"/>
    <cellStyle name="Обычный 11 7" xfId="287"/>
    <cellStyle name="Обычный 12" xfId="288"/>
    <cellStyle name="Обычный 13" xfId="2"/>
    <cellStyle name="Обычный 14" xfId="289"/>
    <cellStyle name="Обычный 15" xfId="290"/>
    <cellStyle name="Обычный 15 2" xfId="291"/>
    <cellStyle name="Обычный 15 2 2" xfId="292"/>
    <cellStyle name="Обычный 15 2 2 2" xfId="293"/>
    <cellStyle name="Обычный 15 2 2 2 2" xfId="294"/>
    <cellStyle name="Обычный 15 2 2 3" xfId="295"/>
    <cellStyle name="Обычный 15 2 3" xfId="296"/>
    <cellStyle name="Обычный 15 2 3 2" xfId="297"/>
    <cellStyle name="Обычный 15 2 4" xfId="298"/>
    <cellStyle name="Обычный 15 3" xfId="299"/>
    <cellStyle name="Обычный 15 3 2" xfId="300"/>
    <cellStyle name="Обычный 15 3 2 2" xfId="301"/>
    <cellStyle name="Обычный 15 3 3" xfId="302"/>
    <cellStyle name="Обычный 15 4" xfId="303"/>
    <cellStyle name="Обычный 15 4 2" xfId="304"/>
    <cellStyle name="Обычный 15 5" xfId="305"/>
    <cellStyle name="Обычный 16" xfId="306"/>
    <cellStyle name="Обычный 16 2" xfId="307"/>
    <cellStyle name="Обычный 16 2 2" xfId="308"/>
    <cellStyle name="Обычный 16 2 2 2" xfId="309"/>
    <cellStyle name="Обычный 16 2 2 2 2" xfId="310"/>
    <cellStyle name="Обычный 16 2 2 3" xfId="311"/>
    <cellStyle name="Обычный 16 2 3" xfId="312"/>
    <cellStyle name="Обычный 16 2 3 2" xfId="313"/>
    <cellStyle name="Обычный 16 2 4" xfId="314"/>
    <cellStyle name="Обычный 16 3" xfId="315"/>
    <cellStyle name="Обычный 16 3 2" xfId="316"/>
    <cellStyle name="Обычный 16 3 2 2" xfId="317"/>
    <cellStyle name="Обычный 16 3 3" xfId="318"/>
    <cellStyle name="Обычный 16 4" xfId="319"/>
    <cellStyle name="Обычный 16 4 2" xfId="320"/>
    <cellStyle name="Обычный 16 5" xfId="321"/>
    <cellStyle name="Обычный 16 6 2" xfId="322"/>
    <cellStyle name="Обычный 16 6 2 2" xfId="323"/>
    <cellStyle name="Обычный 16 6 2 2 2" xfId="324"/>
    <cellStyle name="Обычный 16 6 2 2 2 2" xfId="325"/>
    <cellStyle name="Обычный 16 6 2 2 2 2 2" xfId="326"/>
    <cellStyle name="Обычный 16 6 2 2 2 3" xfId="327"/>
    <cellStyle name="Обычный 16 6 2 2 3" xfId="328"/>
    <cellStyle name="Обычный 16 6 2 2 3 2" xfId="329"/>
    <cellStyle name="Обычный 16 6 2 2 4" xfId="330"/>
    <cellStyle name="Обычный 16 6 2 3" xfId="331"/>
    <cellStyle name="Обычный 16 6 2 3 2" xfId="332"/>
    <cellStyle name="Обычный 16 6 2 3 2 2" xfId="333"/>
    <cellStyle name="Обычный 16 6 2 3 3" xfId="334"/>
    <cellStyle name="Обычный 16 6 2 3 4" xfId="335"/>
    <cellStyle name="Обычный 16 6 2 4" xfId="336"/>
    <cellStyle name="Обычный 16 6 2 4 2" xfId="337"/>
    <cellStyle name="Обычный 16 6 2 5" xfId="338"/>
    <cellStyle name="Обычный 17" xfId="339"/>
    <cellStyle name="Обычный 17 2" xfId="340"/>
    <cellStyle name="Обычный 17 2 2" xfId="341"/>
    <cellStyle name="Обычный 17 2 2 2" xfId="342"/>
    <cellStyle name="Обычный 17 2 2 2 2" xfId="343"/>
    <cellStyle name="Обычный 17 2 2 3" xfId="344"/>
    <cellStyle name="Обычный 17 2 3" xfId="345"/>
    <cellStyle name="Обычный 17 2 3 2" xfId="346"/>
    <cellStyle name="Обычный 17 2 4" xfId="347"/>
    <cellStyle name="Обычный 17 3" xfId="348"/>
    <cellStyle name="Обычный 17 3 2" xfId="349"/>
    <cellStyle name="Обычный 17 3 2 2" xfId="350"/>
    <cellStyle name="Обычный 17 3 3" xfId="351"/>
    <cellStyle name="Обычный 17 4" xfId="352"/>
    <cellStyle name="Обычный 17 4 2" xfId="353"/>
    <cellStyle name="Обычный 17 5" xfId="354"/>
    <cellStyle name="Обычный 17 6" xfId="355"/>
    <cellStyle name="Обычный 18" xfId="356"/>
    <cellStyle name="Обычный 18 2" xfId="357"/>
    <cellStyle name="Обычный 18 2 2" xfId="358"/>
    <cellStyle name="Обычный 18 2 2 2" xfId="359"/>
    <cellStyle name="Обычный 18 2 2 2 2" xfId="360"/>
    <cellStyle name="Обычный 18 2 2 3" xfId="361"/>
    <cellStyle name="Обычный 18 2 3" xfId="362"/>
    <cellStyle name="Обычный 18 2 3 2" xfId="363"/>
    <cellStyle name="Обычный 18 2 4" xfId="364"/>
    <cellStyle name="Обычный 18 3" xfId="365"/>
    <cellStyle name="Обычный 18 3 2" xfId="366"/>
    <cellStyle name="Обычный 18 3 2 2" xfId="367"/>
    <cellStyle name="Обычный 18 3 3" xfId="368"/>
    <cellStyle name="Обычный 18 4" xfId="369"/>
    <cellStyle name="Обычный 18 4 2" xfId="370"/>
    <cellStyle name="Обычный 18 5" xfId="371"/>
    <cellStyle name="Обычный 19" xfId="372"/>
    <cellStyle name="Обычный 19 2" xfId="373"/>
    <cellStyle name="Обычный 19 2 2" xfId="374"/>
    <cellStyle name="Обычный 19 2 2 2" xfId="375"/>
    <cellStyle name="Обычный 19 2 2 2 2" xfId="376"/>
    <cellStyle name="Обычный 19 2 2 3" xfId="377"/>
    <cellStyle name="Обычный 19 2 3" xfId="378"/>
    <cellStyle name="Обычный 19 2 3 2" xfId="379"/>
    <cellStyle name="Обычный 19 2 4" xfId="380"/>
    <cellStyle name="Обычный 19 3" xfId="381"/>
    <cellStyle name="Обычный 19 3 2" xfId="382"/>
    <cellStyle name="Обычный 19 3 2 2" xfId="383"/>
    <cellStyle name="Обычный 19 3 3" xfId="384"/>
    <cellStyle name="Обычный 19 4" xfId="385"/>
    <cellStyle name="Обычный 19 4 2" xfId="386"/>
    <cellStyle name="Обычный 19 5" xfId="387"/>
    <cellStyle name="Обычный 2" xfId="388"/>
    <cellStyle name="Обычный 2 2" xfId="1"/>
    <cellStyle name="Обычный 2 2 2" xfId="389"/>
    <cellStyle name="Обычный 2 2 2 2" xfId="390"/>
    <cellStyle name="Обычный 2 2 2 2 2" xfId="391"/>
    <cellStyle name="Обычный 2 2 2 2 2 2" xfId="392"/>
    <cellStyle name="Обычный 2 2 2 2 3" xfId="393"/>
    <cellStyle name="Обычный 2 2 2 3" xfId="394"/>
    <cellStyle name="Обычный 2 2 2 3 2" xfId="395"/>
    <cellStyle name="Обычный 2 2 2 4" xfId="396"/>
    <cellStyle name="Обычный 2 2 3" xfId="397"/>
    <cellStyle name="Обычный 2 2 3 2" xfId="398"/>
    <cellStyle name="Обычный 2 2 3 2 2" xfId="399"/>
    <cellStyle name="Обычный 2 2 3 3" xfId="400"/>
    <cellStyle name="Обычный 2 2 4" xfId="401"/>
    <cellStyle name="Обычный 2 2 4 2" xfId="402"/>
    <cellStyle name="Обычный 2 2 5" xfId="403"/>
    <cellStyle name="Обычный 2 2 6" xfId="404"/>
    <cellStyle name="Обычный 2 3" xfId="405"/>
    <cellStyle name="Обычный 2 3 2" xfId="406"/>
    <cellStyle name="Обычный 2 3 3" xfId="407"/>
    <cellStyle name="Обычный 2 3 3 2" xfId="408"/>
    <cellStyle name="Обычный 2 3 3 2 2" xfId="409"/>
    <cellStyle name="Обычный 2 3 3 2 2 2" xfId="410"/>
    <cellStyle name="Обычный 2 3 3 2 3" xfId="411"/>
    <cellStyle name="Обычный 2 3 3 3" xfId="412"/>
    <cellStyle name="Обычный 2 3 3 3 2" xfId="413"/>
    <cellStyle name="Обычный 2 3 3 4" xfId="414"/>
    <cellStyle name="Обычный 2 3 4" xfId="415"/>
    <cellStyle name="Обычный 2 3 4 2" xfId="416"/>
    <cellStyle name="Обычный 2 3 4 2 2" xfId="417"/>
    <cellStyle name="Обычный 2 3 4 3" xfId="418"/>
    <cellStyle name="Обычный 2 3 5" xfId="419"/>
    <cellStyle name="Обычный 2 3 5 2" xfId="420"/>
    <cellStyle name="Обычный 2 3 6" xfId="421"/>
    <cellStyle name="Обычный 2 4" xfId="422"/>
    <cellStyle name="Обычный 2 4 2" xfId="423"/>
    <cellStyle name="Обычный 2 4 2 2" xfId="424"/>
    <cellStyle name="Обычный 2 4 2 2 2" xfId="425"/>
    <cellStyle name="Обычный 2 4 2 2 2 2" xfId="426"/>
    <cellStyle name="Обычный 2 4 2 2 3" xfId="427"/>
    <cellStyle name="Обычный 2 4 2 3" xfId="428"/>
    <cellStyle name="Обычный 2 4 2 3 2" xfId="429"/>
    <cellStyle name="Обычный 2 4 2 4" xfId="430"/>
    <cellStyle name="Обычный 2 4 3" xfId="431"/>
    <cellStyle name="Обычный 2 4 3 2" xfId="432"/>
    <cellStyle name="Обычный 2 4 3 2 2" xfId="433"/>
    <cellStyle name="Обычный 2 4 3 3" xfId="434"/>
    <cellStyle name="Обычный 2 4 4" xfId="435"/>
    <cellStyle name="Обычный 2 4 4 2" xfId="436"/>
    <cellStyle name="Обычный 2 4 5" xfId="437"/>
    <cellStyle name="Обычный 2 5" xfId="438"/>
    <cellStyle name="Обычный 2 5 2" xfId="439"/>
    <cellStyle name="Обычный 2 5 2 2" xfId="440"/>
    <cellStyle name="Обычный 2 5 2 2 2" xfId="441"/>
    <cellStyle name="Обычный 2 5 2 2 2 2" xfId="442"/>
    <cellStyle name="Обычный 2 5 2 2 3" xfId="443"/>
    <cellStyle name="Обычный 2 5 2 3" xfId="444"/>
    <cellStyle name="Обычный 2 5 2 3 2" xfId="445"/>
    <cellStyle name="Обычный 2 5 2 4" xfId="446"/>
    <cellStyle name="Обычный 2 5 3" xfId="447"/>
    <cellStyle name="Обычный 2 5 3 2" xfId="448"/>
    <cellStyle name="Обычный 2 5 3 2 2" xfId="449"/>
    <cellStyle name="Обычный 2 5 3 3" xfId="450"/>
    <cellStyle name="Обычный 2 5 4" xfId="451"/>
    <cellStyle name="Обычный 2 5 4 2" xfId="452"/>
    <cellStyle name="Обычный 2 5 5" xfId="453"/>
    <cellStyle name="Обычный 2 6" xfId="454"/>
    <cellStyle name="Обычный 2 6 2" xfId="455"/>
    <cellStyle name="Обычный 2 6 2 2" xfId="456"/>
    <cellStyle name="Обычный 2 6 2 2 2" xfId="457"/>
    <cellStyle name="Обычный 2 6 2 2 2 2" xfId="458"/>
    <cellStyle name="Обычный 2 6 2 2 3" xfId="459"/>
    <cellStyle name="Обычный 2 6 2 3" xfId="460"/>
    <cellStyle name="Обычный 2 6 2 3 2" xfId="461"/>
    <cellStyle name="Обычный 2 6 2 4" xfId="462"/>
    <cellStyle name="Обычный 2 6 3" xfId="463"/>
    <cellStyle name="Обычный 2 6 3 2" xfId="464"/>
    <cellStyle name="Обычный 2 6 3 2 2" xfId="465"/>
    <cellStyle name="Обычный 2 6 3 3" xfId="466"/>
    <cellStyle name="Обычный 2 6 4" xfId="467"/>
    <cellStyle name="Обычный 2 6 4 2" xfId="468"/>
    <cellStyle name="Обычный 2 6 5" xfId="469"/>
    <cellStyle name="Обычный 2 7" xfId="470"/>
    <cellStyle name="Обычный 20" xfId="3"/>
    <cellStyle name="Обычный 20 2" xfId="471"/>
    <cellStyle name="Обычный 20 2 2" xfId="472"/>
    <cellStyle name="Обычный 20 2 2 2" xfId="473"/>
    <cellStyle name="Обычный 20 2 2 2 2" xfId="474"/>
    <cellStyle name="Обычный 20 2 2 3" xfId="475"/>
    <cellStyle name="Обычный 20 2 3" xfId="476"/>
    <cellStyle name="Обычный 20 2 3 2" xfId="477"/>
    <cellStyle name="Обычный 20 2 4" xfId="478"/>
    <cellStyle name="Обычный 20 3" xfId="479"/>
    <cellStyle name="Обычный 20 3 2" xfId="480"/>
    <cellStyle name="Обычный 20 3 2 2" xfId="481"/>
    <cellStyle name="Обычный 20 3 3" xfId="482"/>
    <cellStyle name="Обычный 20 4" xfId="483"/>
    <cellStyle name="Обычный 20 4 2" xfId="484"/>
    <cellStyle name="Обычный 20 5" xfId="485"/>
    <cellStyle name="Обычный 21" xfId="486"/>
    <cellStyle name="Обычный 21 2" xfId="487"/>
    <cellStyle name="Обычный 21 2 2" xfId="488"/>
    <cellStyle name="Обычный 21 2 2 2" xfId="489"/>
    <cellStyle name="Обычный 21 2 2 2 2" xfId="490"/>
    <cellStyle name="Обычный 21 2 2 3" xfId="491"/>
    <cellStyle name="Обычный 21 2 3" xfId="492"/>
    <cellStyle name="Обычный 21 2 3 2" xfId="493"/>
    <cellStyle name="Обычный 21 2 4" xfId="494"/>
    <cellStyle name="Обычный 21 3" xfId="495"/>
    <cellStyle name="Обычный 21 3 2" xfId="496"/>
    <cellStyle name="Обычный 21 3 2 2" xfId="497"/>
    <cellStyle name="Обычный 21 3 3" xfId="498"/>
    <cellStyle name="Обычный 21 4" xfId="499"/>
    <cellStyle name="Обычный 21 4 2" xfId="500"/>
    <cellStyle name="Обычный 21 5" xfId="501"/>
    <cellStyle name="Обычный 22" xfId="502"/>
    <cellStyle name="Обычный 22 2" xfId="503"/>
    <cellStyle name="Обычный 22 2 2" xfId="504"/>
    <cellStyle name="Обычный 22 2 2 2" xfId="505"/>
    <cellStyle name="Обычный 22 2 2 2 2" xfId="506"/>
    <cellStyle name="Обычный 22 2 2 3" xfId="507"/>
    <cellStyle name="Обычный 22 2 3" xfId="508"/>
    <cellStyle name="Обычный 22 2 3 2" xfId="509"/>
    <cellStyle name="Обычный 22 2 4" xfId="510"/>
    <cellStyle name="Обычный 22 3" xfId="511"/>
    <cellStyle name="Обычный 22 3 2" xfId="512"/>
    <cellStyle name="Обычный 22 3 2 2" xfId="513"/>
    <cellStyle name="Обычный 22 3 3" xfId="514"/>
    <cellStyle name="Обычный 22 4" xfId="515"/>
    <cellStyle name="Обычный 22 4 2" xfId="516"/>
    <cellStyle name="Обычный 22 5" xfId="517"/>
    <cellStyle name="Обычный 23" xfId="518"/>
    <cellStyle name="Обычный 23 2" xfId="519"/>
    <cellStyle name="Обычный 23 2 2" xfId="520"/>
    <cellStyle name="Обычный 23 2 2 2" xfId="521"/>
    <cellStyle name="Обычный 23 2 2 2 2" xfId="522"/>
    <cellStyle name="Обычный 23 2 2 3" xfId="523"/>
    <cellStyle name="Обычный 23 2 3" xfId="524"/>
    <cellStyle name="Обычный 23 2 3 2" xfId="525"/>
    <cellStyle name="Обычный 23 2 4" xfId="526"/>
    <cellStyle name="Обычный 23 3" xfId="527"/>
    <cellStyle name="Обычный 23 3 2" xfId="528"/>
    <cellStyle name="Обычный 23 3 2 2" xfId="529"/>
    <cellStyle name="Обычный 23 3 3" xfId="530"/>
    <cellStyle name="Обычный 23 4" xfId="531"/>
    <cellStyle name="Обычный 23 4 2" xfId="532"/>
    <cellStyle name="Обычный 23 5" xfId="533"/>
    <cellStyle name="Обычный 24" xfId="534"/>
    <cellStyle name="Обычный 25" xfId="535"/>
    <cellStyle name="Обычный 25 2" xfId="536"/>
    <cellStyle name="Обычный 25 2 2" xfId="537"/>
    <cellStyle name="Обычный 25 2 2 2" xfId="538"/>
    <cellStyle name="Обычный 25 2 2 2 2" xfId="539"/>
    <cellStyle name="Обычный 25 2 2 3" xfId="540"/>
    <cellStyle name="Обычный 25 2 3" xfId="541"/>
    <cellStyle name="Обычный 25 2 3 2" xfId="542"/>
    <cellStyle name="Обычный 25 2 4" xfId="543"/>
    <cellStyle name="Обычный 25 3" xfId="544"/>
    <cellStyle name="Обычный 25 3 2" xfId="545"/>
    <cellStyle name="Обычный 25 3 2 2" xfId="546"/>
    <cellStyle name="Обычный 25 3 3" xfId="547"/>
    <cellStyle name="Обычный 25 4" xfId="548"/>
    <cellStyle name="Обычный 25 4 2" xfId="549"/>
    <cellStyle name="Обычный 25 5" xfId="550"/>
    <cellStyle name="Обычный 26" xfId="551"/>
    <cellStyle name="Обычный 26 2" xfId="552"/>
    <cellStyle name="Обычный 27" xfId="553"/>
    <cellStyle name="Обычный 27 2" xfId="554"/>
    <cellStyle name="Обычный 28" xfId="555"/>
    <cellStyle name="Обычный 28 2" xfId="556"/>
    <cellStyle name="Обычный 29" xfId="557"/>
    <cellStyle name="Обычный 29 2" xfId="558"/>
    <cellStyle name="Обычный 3" xfId="559"/>
    <cellStyle name="Обычный 3 2" xfId="560"/>
    <cellStyle name="Обычный 3 3" xfId="561"/>
    <cellStyle name="Обычный 30" xfId="562"/>
    <cellStyle name="Обычный 30 2" xfId="563"/>
    <cellStyle name="Обычный 31" xfId="564"/>
    <cellStyle name="Обычный 32" xfId="565"/>
    <cellStyle name="Обычный 4" xfId="566"/>
    <cellStyle name="Обычный 4 2" xfId="567"/>
    <cellStyle name="Обычный 4 3" xfId="568"/>
    <cellStyle name="Обычный 4 3 2" xfId="569"/>
    <cellStyle name="Обычный 4 3 2 2" xfId="570"/>
    <cellStyle name="Обычный 4 3 2 2 2" xfId="571"/>
    <cellStyle name="Обычный 4 3 2 2 2 2" xfId="572"/>
    <cellStyle name="Обычный 4 3 2 2 2 2 2" xfId="573"/>
    <cellStyle name="Обычный 4 3 2 2 2 2 2 2" xfId="574"/>
    <cellStyle name="Обычный 4 3 2 2 2 2 3" xfId="575"/>
    <cellStyle name="Обычный 4 3 2 2 2 3" xfId="576"/>
    <cellStyle name="Обычный 4 3 2 2 2 3 2" xfId="577"/>
    <cellStyle name="Обычный 4 3 2 2 2 4" xfId="578"/>
    <cellStyle name="Обычный 4 3 2 2 3" xfId="579"/>
    <cellStyle name="Обычный 4 3 2 2 3 2" xfId="580"/>
    <cellStyle name="Обычный 4 3 2 2 3 2 2" xfId="581"/>
    <cellStyle name="Обычный 4 3 2 2 3 3" xfId="582"/>
    <cellStyle name="Обычный 4 3 2 2 4" xfId="583"/>
    <cellStyle name="Обычный 4 3 2 2 4 2" xfId="584"/>
    <cellStyle name="Обычный 4 3 2 2 5" xfId="585"/>
    <cellStyle name="Обычный 4 3 2 2 5 2" xfId="586"/>
    <cellStyle name="Обычный 4 3 2 2 6" xfId="587"/>
    <cellStyle name="Обычный 4 3 2 3" xfId="588"/>
    <cellStyle name="Обычный 4 3 2 3 2" xfId="589"/>
    <cellStyle name="Обычный 4 3 2 3 2 2" xfId="590"/>
    <cellStyle name="Обычный 4 3 2 3 2 2 2" xfId="591"/>
    <cellStyle name="Обычный 4 3 2 3 2 3" xfId="592"/>
    <cellStyle name="Обычный 4 3 2 3 3" xfId="593"/>
    <cellStyle name="Обычный 4 3 2 3 3 2" xfId="594"/>
    <cellStyle name="Обычный 4 3 2 3 4" xfId="595"/>
    <cellStyle name="Обычный 4 3 2 4" xfId="596"/>
    <cellStyle name="Обычный 4 3 2 4 2" xfId="597"/>
    <cellStyle name="Обычный 4 3 2 4 2 2" xfId="598"/>
    <cellStyle name="Обычный 4 3 2 4 3" xfId="599"/>
    <cellStyle name="Обычный 4 3 2 5" xfId="600"/>
    <cellStyle name="Обычный 4 3 2 5 2" xfId="601"/>
    <cellStyle name="Обычный 4 3 2 6" xfId="602"/>
    <cellStyle name="Обычный 4 3 3" xfId="603"/>
    <cellStyle name="Обычный 4 3 3 2" xfId="604"/>
    <cellStyle name="Обычный 4 3 3 2 2" xfId="605"/>
    <cellStyle name="Обычный 4 3 3 2 2 2" xfId="606"/>
    <cellStyle name="Обычный 4 3 3 2 3" xfId="607"/>
    <cellStyle name="Обычный 4 3 3 3" xfId="608"/>
    <cellStyle name="Обычный 4 3 3 3 2" xfId="609"/>
    <cellStyle name="Обычный 4 3 3 4" xfId="610"/>
    <cellStyle name="Обычный 4 3 4" xfId="611"/>
    <cellStyle name="Обычный 4 3 4 2" xfId="612"/>
    <cellStyle name="Обычный 4 3 4 2 2" xfId="613"/>
    <cellStyle name="Обычный 4 3 4 3" xfId="614"/>
    <cellStyle name="Обычный 4 3 5" xfId="615"/>
    <cellStyle name="Обычный 4 3 5 2" xfId="616"/>
    <cellStyle name="Обычный 4 3 6" xfId="617"/>
    <cellStyle name="Обычный 5" xfId="618"/>
    <cellStyle name="Обычный 5 2" xfId="619"/>
    <cellStyle name="Обычный 6" xfId="620"/>
    <cellStyle name="Обычный 7" xfId="621"/>
    <cellStyle name="Обычный 7 2" xfId="622"/>
    <cellStyle name="Обычный 7 2 2" xfId="623"/>
    <cellStyle name="Обычный 7 2 2 2" xfId="624"/>
    <cellStyle name="Обычный 7 2 2 2 2" xfId="625"/>
    <cellStyle name="Обычный 7 2 2 2 2 2" xfId="626"/>
    <cellStyle name="Обычный 7 2 2 2 3" xfId="627"/>
    <cellStyle name="Обычный 7 2 2 3" xfId="628"/>
    <cellStyle name="Обычный 7 2 2 3 2" xfId="629"/>
    <cellStyle name="Обычный 7 2 2 4" xfId="630"/>
    <cellStyle name="Обычный 7 2 3" xfId="631"/>
    <cellStyle name="Обычный 7 2 3 2" xfId="632"/>
    <cellStyle name="Обычный 7 2 3 2 2" xfId="633"/>
    <cellStyle name="Обычный 7 2 3 3" xfId="634"/>
    <cellStyle name="Обычный 7 2 4" xfId="635"/>
    <cellStyle name="Обычный 7 2 4 2" xfId="636"/>
    <cellStyle name="Обычный 7 2 5" xfId="637"/>
    <cellStyle name="Обычный 7 3" xfId="638"/>
    <cellStyle name="Обычный 8" xfId="639"/>
    <cellStyle name="Обычный 8 2" xfId="640"/>
    <cellStyle name="Обычный 9" xfId="641"/>
    <cellStyle name="Обычный 9 2" xfId="642"/>
    <cellStyle name="Плохой 2" xfId="643"/>
    <cellStyle name="Пояснение 2" xfId="644"/>
    <cellStyle name="Примечание 2" xfId="645"/>
    <cellStyle name="Процентный 2" xfId="646"/>
    <cellStyle name="Процентный 2 2" xfId="647"/>
    <cellStyle name="Процентный 3" xfId="648"/>
    <cellStyle name="Процентный 3 2" xfId="649"/>
    <cellStyle name="Процентный 3 3" xfId="650"/>
    <cellStyle name="Процентный 4" xfId="651"/>
    <cellStyle name="Процентный 5" xfId="652"/>
    <cellStyle name="Процентный 6" xfId="653"/>
    <cellStyle name="Связанная ячейка 2" xfId="654"/>
    <cellStyle name="Стиль 1" xfId="655"/>
    <cellStyle name="Текст предупреждения 2" xfId="656"/>
    <cellStyle name="Финансовый 2" xfId="657"/>
    <cellStyle name="Финансовый 3" xfId="658"/>
    <cellStyle name="Финансовый 4" xfId="659"/>
    <cellStyle name="Финансовый 5" xfId="660"/>
    <cellStyle name="Финансовый 5 2" xfId="661"/>
    <cellStyle name="Финансовый 6" xfId="662"/>
    <cellStyle name="Хороший 2" xfId="663"/>
  </cellStyles>
  <dxfs count="0"/>
  <tableStyles count="0" defaultTableStyle="TableStyleMedium9" defaultPivotStyle="PivotStyleLight16"/>
  <colors>
    <mruColors>
      <color rgb="FFF0FCB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2"/>
  <sheetViews>
    <sheetView view="pageBreakPreview" zoomScale="115" zoomScaleNormal="100" zoomScaleSheetLayoutView="115" workbookViewId="0">
      <pane xSplit="3" ySplit="9" topLeftCell="E572" activePane="bottomRight" state="frozen"/>
      <selection pane="topRight" activeCell="D1" sqref="D1"/>
      <selection pane="bottomLeft" activeCell="A11" sqref="A11"/>
      <selection pane="bottomRight" activeCell="B582" sqref="B582"/>
    </sheetView>
  </sheetViews>
  <sheetFormatPr defaultColWidth="9.109375" defaultRowHeight="13.2" x14ac:dyDescent="0.25"/>
  <cols>
    <col min="1" max="1" width="14.6640625" style="128" customWidth="1"/>
    <col min="2" max="2" width="12.5546875" style="128" customWidth="1"/>
    <col min="3" max="3" width="58.109375" style="128" customWidth="1"/>
    <col min="4" max="4" width="4.6640625" style="253" customWidth="1"/>
    <col min="5" max="5" width="17.33203125" style="253" hidden="1" customWidth="1"/>
    <col min="6" max="6" width="17.33203125" style="253" customWidth="1"/>
    <col min="7" max="8" width="15.109375" style="253" hidden="1" customWidth="1"/>
    <col min="9" max="10" width="15.109375" style="253" customWidth="1"/>
    <col min="11" max="11" width="10.88671875" style="128" customWidth="1"/>
    <col min="12" max="16384" width="9.109375" style="128"/>
  </cols>
  <sheetData>
    <row r="1" spans="1:13" ht="14.4" customHeight="1" x14ac:dyDescent="0.25">
      <c r="G1" s="399"/>
      <c r="H1" s="399"/>
      <c r="I1" s="528" t="s">
        <v>723</v>
      </c>
      <c r="J1" s="528"/>
      <c r="K1" s="267"/>
      <c r="L1" s="267"/>
      <c r="M1" s="267"/>
    </row>
    <row r="2" spans="1:13" ht="14.4" customHeight="1" x14ac:dyDescent="0.25">
      <c r="G2" s="399"/>
      <c r="H2" s="399"/>
      <c r="I2" s="528" t="s">
        <v>534</v>
      </c>
      <c r="J2" s="528"/>
      <c r="K2" s="267"/>
      <c r="L2" s="267"/>
      <c r="M2" s="267"/>
    </row>
    <row r="3" spans="1:13" ht="14.4" customHeight="1" x14ac:dyDescent="0.25">
      <c r="G3" s="399"/>
      <c r="H3" s="399"/>
      <c r="I3" s="528" t="s">
        <v>533</v>
      </c>
      <c r="J3" s="528"/>
      <c r="K3" s="267"/>
      <c r="L3" s="267"/>
      <c r="M3" s="267"/>
    </row>
    <row r="4" spans="1:13" ht="14.4" customHeight="1" x14ac:dyDescent="0.25">
      <c r="G4" s="399"/>
      <c r="H4" s="399"/>
      <c r="I4" s="528" t="s">
        <v>532</v>
      </c>
      <c r="J4" s="528"/>
      <c r="K4" s="267"/>
      <c r="L4" s="267"/>
      <c r="M4" s="267"/>
    </row>
    <row r="5" spans="1:13" ht="14.4" customHeight="1" x14ac:dyDescent="0.25">
      <c r="G5" s="399"/>
      <c r="H5" s="399"/>
      <c r="I5" s="528" t="s">
        <v>947</v>
      </c>
      <c r="J5" s="528"/>
      <c r="K5" s="267"/>
      <c r="L5" s="267"/>
      <c r="M5" s="267"/>
    </row>
    <row r="6" spans="1:13" ht="33" customHeight="1" x14ac:dyDescent="0.25">
      <c r="A6" s="510" t="s">
        <v>672</v>
      </c>
      <c r="B6" s="510"/>
      <c r="C6" s="510"/>
      <c r="D6" s="510"/>
      <c r="E6" s="510"/>
      <c r="F6" s="510"/>
      <c r="G6" s="510"/>
      <c r="H6" s="510"/>
      <c r="I6" s="510"/>
      <c r="J6" s="510"/>
    </row>
    <row r="7" spans="1:13" x14ac:dyDescent="0.25">
      <c r="J7" s="120" t="s">
        <v>531</v>
      </c>
    </row>
    <row r="8" spans="1:13" ht="14.25" customHeight="1" x14ac:dyDescent="0.25">
      <c r="A8" s="511" t="s">
        <v>528</v>
      </c>
      <c r="B8" s="511" t="s">
        <v>527</v>
      </c>
      <c r="C8" s="511" t="s">
        <v>726</v>
      </c>
      <c r="D8" s="508" t="s">
        <v>526</v>
      </c>
      <c r="E8" s="403"/>
      <c r="F8" s="508" t="s">
        <v>526</v>
      </c>
      <c r="G8" s="508" t="s">
        <v>671</v>
      </c>
      <c r="H8" s="403"/>
      <c r="I8" s="508" t="s">
        <v>525</v>
      </c>
      <c r="J8" s="508" t="s">
        <v>717</v>
      </c>
    </row>
    <row r="9" spans="1:13" ht="26.25" customHeight="1" x14ac:dyDescent="0.25">
      <c r="A9" s="509"/>
      <c r="B9" s="509"/>
      <c r="C9" s="509"/>
      <c r="D9" s="509"/>
      <c r="E9" s="398" t="s">
        <v>763</v>
      </c>
      <c r="F9" s="509"/>
      <c r="G9" s="509"/>
      <c r="H9" s="398"/>
      <c r="I9" s="509"/>
      <c r="J9" s="509"/>
    </row>
    <row r="10" spans="1:13" ht="26.4" x14ac:dyDescent="0.25">
      <c r="A10" s="98" t="s">
        <v>36</v>
      </c>
      <c r="B10" s="149"/>
      <c r="C10" s="3" t="s">
        <v>35</v>
      </c>
      <c r="D10" s="254">
        <f t="shared" ref="D10:J10" si="0">D11+D56+D167+D194+D218+D294+D308+D327+D354+D427+D481+D493+D516+D524</f>
        <v>1351173.5493700004</v>
      </c>
      <c r="E10" s="254">
        <f t="shared" si="0"/>
        <v>3161.8041500000004</v>
      </c>
      <c r="F10" s="254">
        <f t="shared" si="0"/>
        <v>1354335.3535200001</v>
      </c>
      <c r="G10" s="254">
        <f t="shared" si="0"/>
        <v>987024.6319299998</v>
      </c>
      <c r="H10" s="254">
        <f t="shared" si="0"/>
        <v>554.13055000000008</v>
      </c>
      <c r="I10" s="254">
        <f t="shared" si="0"/>
        <v>987578.7624799998</v>
      </c>
      <c r="J10" s="254">
        <f t="shared" si="0"/>
        <v>948255.28646000021</v>
      </c>
    </row>
    <row r="11" spans="1:13" s="1" customFormat="1" ht="40.200000000000003" x14ac:dyDescent="0.3">
      <c r="A11" s="170" t="s">
        <v>34</v>
      </c>
      <c r="B11" s="170"/>
      <c r="C11" s="171" t="s">
        <v>33</v>
      </c>
      <c r="D11" s="255">
        <f t="shared" ref="D11:J11" si="1">D12+D18+D27+D50</f>
        <v>103853.39999999998</v>
      </c>
      <c r="E11" s="404"/>
      <c r="F11" s="255">
        <f>F12+F18+F27+F50</f>
        <v>103853.39999999998</v>
      </c>
      <c r="G11" s="255">
        <f t="shared" si="1"/>
        <v>106681.8</v>
      </c>
      <c r="H11" s="404"/>
      <c r="I11" s="255">
        <f>I12+I18+I27+I50</f>
        <v>106681.8</v>
      </c>
      <c r="J11" s="255">
        <f t="shared" si="1"/>
        <v>108411.09999999999</v>
      </c>
    </row>
    <row r="12" spans="1:13" s="1" customFormat="1" ht="27" x14ac:dyDescent="0.3">
      <c r="A12" s="30" t="s">
        <v>498</v>
      </c>
      <c r="B12" s="30"/>
      <c r="C12" s="51" t="s">
        <v>497</v>
      </c>
      <c r="D12" s="249">
        <f t="shared" ref="D12:J12" si="2">D13</f>
        <v>687.2</v>
      </c>
      <c r="E12" s="405"/>
      <c r="F12" s="249">
        <f t="shared" si="2"/>
        <v>687.2</v>
      </c>
      <c r="G12" s="249">
        <f t="shared" si="2"/>
        <v>69.400000000000006</v>
      </c>
      <c r="H12" s="405"/>
      <c r="I12" s="249">
        <f t="shared" si="2"/>
        <v>69.400000000000006</v>
      </c>
      <c r="J12" s="249">
        <f t="shared" si="2"/>
        <v>615.9</v>
      </c>
    </row>
    <row r="13" spans="1:13" s="1" customFormat="1" ht="27" x14ac:dyDescent="0.3">
      <c r="A13" s="153" t="s">
        <v>496</v>
      </c>
      <c r="B13" s="153"/>
      <c r="C13" s="154" t="s">
        <v>495</v>
      </c>
      <c r="D13" s="165">
        <f>D14+D16</f>
        <v>687.2</v>
      </c>
      <c r="E13" s="406"/>
      <c r="F13" s="165">
        <f>F14+F16</f>
        <v>687.2</v>
      </c>
      <c r="G13" s="165">
        <f>G14+G16</f>
        <v>69.400000000000006</v>
      </c>
      <c r="H13" s="406"/>
      <c r="I13" s="165">
        <f>I14+I16</f>
        <v>69.400000000000006</v>
      </c>
      <c r="J13" s="165">
        <f>J14+J16</f>
        <v>615.9</v>
      </c>
    </row>
    <row r="14" spans="1:13" s="1" customFormat="1" ht="79.8" x14ac:dyDescent="0.3">
      <c r="A14" s="7" t="s">
        <v>494</v>
      </c>
      <c r="B14" s="60"/>
      <c r="C14" s="6" t="s">
        <v>557</v>
      </c>
      <c r="D14" s="175">
        <f t="shared" ref="D14:J14" si="3">D15</f>
        <v>610.70000000000005</v>
      </c>
      <c r="E14" s="407"/>
      <c r="F14" s="175">
        <f t="shared" si="3"/>
        <v>610.70000000000005</v>
      </c>
      <c r="G14" s="175">
        <f t="shared" si="3"/>
        <v>0</v>
      </c>
      <c r="H14" s="407"/>
      <c r="I14" s="175">
        <f t="shared" si="3"/>
        <v>0</v>
      </c>
      <c r="J14" s="175">
        <f t="shared" si="3"/>
        <v>539.4</v>
      </c>
    </row>
    <row r="15" spans="1:13" s="1" customFormat="1" ht="27" x14ac:dyDescent="0.3">
      <c r="A15" s="7"/>
      <c r="B15" s="7" t="s">
        <v>12</v>
      </c>
      <c r="C15" s="6" t="s">
        <v>11</v>
      </c>
      <c r="D15" s="175">
        <v>610.70000000000005</v>
      </c>
      <c r="E15" s="407"/>
      <c r="F15" s="175">
        <v>610.70000000000005</v>
      </c>
      <c r="G15" s="175">
        <v>0</v>
      </c>
      <c r="H15" s="407"/>
      <c r="I15" s="175">
        <v>0</v>
      </c>
      <c r="J15" s="175">
        <v>539.4</v>
      </c>
      <c r="K15" s="227"/>
    </row>
    <row r="16" spans="1:13" s="1" customFormat="1" ht="40.200000000000003" x14ac:dyDescent="0.3">
      <c r="A16" s="7" t="s">
        <v>613</v>
      </c>
      <c r="B16" s="7"/>
      <c r="C16" s="6" t="s">
        <v>493</v>
      </c>
      <c r="D16" s="175">
        <f t="shared" ref="D16:J16" si="4">D17</f>
        <v>76.5</v>
      </c>
      <c r="E16" s="407"/>
      <c r="F16" s="175">
        <f t="shared" si="4"/>
        <v>76.5</v>
      </c>
      <c r="G16" s="175">
        <f t="shared" si="4"/>
        <v>69.400000000000006</v>
      </c>
      <c r="H16" s="407"/>
      <c r="I16" s="175">
        <f t="shared" si="4"/>
        <v>69.400000000000006</v>
      </c>
      <c r="J16" s="175">
        <f t="shared" si="4"/>
        <v>76.5</v>
      </c>
    </row>
    <row r="17" spans="1:12" s="1" customFormat="1" ht="27" x14ac:dyDescent="0.3">
      <c r="A17" s="7"/>
      <c r="B17" s="7" t="s">
        <v>12</v>
      </c>
      <c r="C17" s="6" t="s">
        <v>11</v>
      </c>
      <c r="D17" s="175">
        <v>76.5</v>
      </c>
      <c r="E17" s="407"/>
      <c r="F17" s="175">
        <v>76.5</v>
      </c>
      <c r="G17" s="175">
        <v>69.400000000000006</v>
      </c>
      <c r="H17" s="407"/>
      <c r="I17" s="175">
        <v>69.400000000000006</v>
      </c>
      <c r="J17" s="175">
        <v>76.5</v>
      </c>
      <c r="K17" s="227"/>
      <c r="L17" s="227"/>
    </row>
    <row r="18" spans="1:12" s="1" customFormat="1" ht="53.4" x14ac:dyDescent="0.3">
      <c r="A18" s="30" t="s">
        <v>32</v>
      </c>
      <c r="B18" s="30"/>
      <c r="C18" s="29" t="s">
        <v>31</v>
      </c>
      <c r="D18" s="249">
        <f t="shared" ref="D18:J18" si="5">D19</f>
        <v>96776.299999999988</v>
      </c>
      <c r="E18" s="405"/>
      <c r="F18" s="249">
        <f t="shared" si="5"/>
        <v>96776.299999999988</v>
      </c>
      <c r="G18" s="249">
        <f t="shared" si="5"/>
        <v>100083.90000000001</v>
      </c>
      <c r="H18" s="405"/>
      <c r="I18" s="249">
        <f t="shared" si="5"/>
        <v>100083.90000000001</v>
      </c>
      <c r="J18" s="249">
        <f t="shared" si="5"/>
        <v>100263.40000000001</v>
      </c>
      <c r="K18" s="227"/>
      <c r="L18" s="227"/>
    </row>
    <row r="19" spans="1:12" s="1" customFormat="1" ht="66" customHeight="1" x14ac:dyDescent="0.3">
      <c r="A19" s="153" t="s">
        <v>30</v>
      </c>
      <c r="B19" s="153"/>
      <c r="C19" s="154" t="s">
        <v>29</v>
      </c>
      <c r="D19" s="165">
        <f>D20+D22+D25</f>
        <v>96776.299999999988</v>
      </c>
      <c r="E19" s="406"/>
      <c r="F19" s="165">
        <f>F20+F22+F25</f>
        <v>96776.299999999988</v>
      </c>
      <c r="G19" s="165">
        <f>G20+G22+G25</f>
        <v>100083.90000000001</v>
      </c>
      <c r="H19" s="406"/>
      <c r="I19" s="165">
        <f>I20+I22+I25</f>
        <v>100083.90000000001</v>
      </c>
      <c r="J19" s="165">
        <f>J20+J22+J25</f>
        <v>100263.40000000001</v>
      </c>
      <c r="K19" s="227"/>
      <c r="L19" s="227"/>
    </row>
    <row r="20" spans="1:12" s="1" customFormat="1" ht="40.200000000000003" x14ac:dyDescent="0.3">
      <c r="A20" s="7" t="s">
        <v>521</v>
      </c>
      <c r="B20" s="7"/>
      <c r="C20" s="6" t="s">
        <v>520</v>
      </c>
      <c r="D20" s="176">
        <f t="shared" ref="D20:J20" si="6">D21</f>
        <v>4063.9</v>
      </c>
      <c r="E20" s="408"/>
      <c r="F20" s="176">
        <f t="shared" si="6"/>
        <v>4063.9</v>
      </c>
      <c r="G20" s="176">
        <f t="shared" si="6"/>
        <v>4238.1000000000004</v>
      </c>
      <c r="H20" s="408"/>
      <c r="I20" s="176">
        <f t="shared" si="6"/>
        <v>4238.1000000000004</v>
      </c>
      <c r="J20" s="176">
        <f t="shared" si="6"/>
        <v>4238.1000000000004</v>
      </c>
      <c r="K20" s="227"/>
      <c r="L20" s="227"/>
    </row>
    <row r="21" spans="1:12" s="1" customFormat="1" ht="66.599999999999994" x14ac:dyDescent="0.3">
      <c r="A21" s="7"/>
      <c r="B21" s="7" t="s">
        <v>2</v>
      </c>
      <c r="C21" s="6" t="s">
        <v>1</v>
      </c>
      <c r="D21" s="175">
        <v>4063.9</v>
      </c>
      <c r="E21" s="407"/>
      <c r="F21" s="175">
        <v>4063.9</v>
      </c>
      <c r="G21" s="175">
        <v>4238.1000000000004</v>
      </c>
      <c r="H21" s="407"/>
      <c r="I21" s="175">
        <v>4238.1000000000004</v>
      </c>
      <c r="J21" s="175">
        <v>4238.1000000000004</v>
      </c>
      <c r="K21" s="227"/>
      <c r="L21" s="227"/>
    </row>
    <row r="22" spans="1:12" s="1" customFormat="1" ht="40.200000000000003" x14ac:dyDescent="0.3">
      <c r="A22" s="7" t="s">
        <v>28</v>
      </c>
      <c r="B22" s="7"/>
      <c r="C22" s="6" t="s">
        <v>637</v>
      </c>
      <c r="D22" s="175">
        <f>D23+D24</f>
        <v>83221.399999999994</v>
      </c>
      <c r="E22" s="407"/>
      <c r="F22" s="175">
        <f>F23+F24</f>
        <v>83221.399999999994</v>
      </c>
      <c r="G22" s="175">
        <f>G23+G24</f>
        <v>86166.2</v>
      </c>
      <c r="H22" s="407"/>
      <c r="I22" s="175">
        <f>I23+I24</f>
        <v>86166.2</v>
      </c>
      <c r="J22" s="175">
        <f>J23+J24</f>
        <v>86345.7</v>
      </c>
      <c r="K22" s="227"/>
      <c r="L22" s="227"/>
    </row>
    <row r="23" spans="1:12" s="1" customFormat="1" ht="66.599999999999994" x14ac:dyDescent="0.3">
      <c r="A23" s="7"/>
      <c r="B23" s="7" t="s">
        <v>2</v>
      </c>
      <c r="C23" s="6" t="s">
        <v>1</v>
      </c>
      <c r="D23" s="175">
        <f>78712.2+663.6+71.9</f>
        <v>79447.7</v>
      </c>
      <c r="E23" s="407"/>
      <c r="F23" s="175">
        <f>78712.2+663.6+71.9</f>
        <v>79447.7</v>
      </c>
      <c r="G23" s="175">
        <f>82087.2+828.9</f>
        <v>82916.099999999991</v>
      </c>
      <c r="H23" s="407"/>
      <c r="I23" s="175">
        <f>82087.2+828.9</f>
        <v>82916.099999999991</v>
      </c>
      <c r="J23" s="175">
        <f>82087.2+828.9</f>
        <v>82916.099999999991</v>
      </c>
      <c r="K23" s="227"/>
      <c r="L23" s="227"/>
    </row>
    <row r="24" spans="1:12" s="1" customFormat="1" ht="27" x14ac:dyDescent="0.3">
      <c r="A24" s="7"/>
      <c r="B24" s="7" t="s">
        <v>12</v>
      </c>
      <c r="C24" s="6" t="s">
        <v>11</v>
      </c>
      <c r="D24" s="175">
        <f>3394.5+350+29.2</f>
        <v>3773.7</v>
      </c>
      <c r="E24" s="407"/>
      <c r="F24" s="175">
        <f>3394.5+350+29.2</f>
        <v>3773.7</v>
      </c>
      <c r="G24" s="175">
        <f>3215+35.1</f>
        <v>3250.1</v>
      </c>
      <c r="H24" s="407"/>
      <c r="I24" s="175">
        <f>3215+35.1</f>
        <v>3250.1</v>
      </c>
      <c r="J24" s="175">
        <f>3394.5+35.1</f>
        <v>3429.6</v>
      </c>
      <c r="K24" s="227"/>
      <c r="L24" s="227"/>
    </row>
    <row r="25" spans="1:12" s="1" customFormat="1" ht="40.200000000000003" x14ac:dyDescent="0.3">
      <c r="A25" s="7" t="s">
        <v>264</v>
      </c>
      <c r="B25" s="7"/>
      <c r="C25" s="63" t="s">
        <v>263</v>
      </c>
      <c r="D25" s="175">
        <f t="shared" ref="D25:J25" si="7">D26</f>
        <v>9491</v>
      </c>
      <c r="E25" s="407"/>
      <c r="F25" s="175">
        <f t="shared" si="7"/>
        <v>9491</v>
      </c>
      <c r="G25" s="175">
        <f t="shared" si="7"/>
        <v>9679.6</v>
      </c>
      <c r="H25" s="407"/>
      <c r="I25" s="175">
        <f t="shared" si="7"/>
        <v>9679.6</v>
      </c>
      <c r="J25" s="175">
        <f t="shared" si="7"/>
        <v>9679.6</v>
      </c>
    </row>
    <row r="26" spans="1:12" s="1" customFormat="1" ht="14.4" x14ac:dyDescent="0.3">
      <c r="A26" s="7"/>
      <c r="B26" s="7" t="s">
        <v>71</v>
      </c>
      <c r="C26" s="6" t="s">
        <v>70</v>
      </c>
      <c r="D26" s="175">
        <v>9491</v>
      </c>
      <c r="E26" s="407"/>
      <c r="F26" s="175">
        <v>9491</v>
      </c>
      <c r="G26" s="175">
        <v>9679.6</v>
      </c>
      <c r="H26" s="407"/>
      <c r="I26" s="175">
        <v>9679.6</v>
      </c>
      <c r="J26" s="175">
        <v>9679.6</v>
      </c>
    </row>
    <row r="27" spans="1:12" s="1" customFormat="1" ht="66.599999999999994" x14ac:dyDescent="0.3">
      <c r="A27" s="30" t="s">
        <v>470</v>
      </c>
      <c r="B27" s="30"/>
      <c r="C27" s="51" t="s">
        <v>492</v>
      </c>
      <c r="D27" s="249">
        <f t="shared" ref="D27:J27" si="8">D28</f>
        <v>6170.5</v>
      </c>
      <c r="E27" s="405"/>
      <c r="F27" s="249">
        <f t="shared" si="8"/>
        <v>6170.5</v>
      </c>
      <c r="G27" s="249">
        <f t="shared" si="8"/>
        <v>6528.5</v>
      </c>
      <c r="H27" s="405"/>
      <c r="I27" s="249">
        <f t="shared" si="8"/>
        <v>6528.5</v>
      </c>
      <c r="J27" s="249">
        <f t="shared" si="8"/>
        <v>7312.4</v>
      </c>
    </row>
    <row r="28" spans="1:12" s="1" customFormat="1" ht="40.200000000000003" x14ac:dyDescent="0.3">
      <c r="A28" s="153" t="s">
        <v>468</v>
      </c>
      <c r="B28" s="160"/>
      <c r="C28" s="154" t="s">
        <v>491</v>
      </c>
      <c r="D28" s="165">
        <f>D29+D32+D35+D37+D40+D42+D44+D47</f>
        <v>6170.5</v>
      </c>
      <c r="E28" s="406"/>
      <c r="F28" s="165">
        <f>F29+F32+F35+F37+F40+F42+F44+F47</f>
        <v>6170.5</v>
      </c>
      <c r="G28" s="165">
        <f>G29+G32+G35+G37+G40+G42+G44+G47</f>
        <v>6528.5</v>
      </c>
      <c r="H28" s="406"/>
      <c r="I28" s="165">
        <f>I29+I32+I35+I37+I40+I42+I44+I47</f>
        <v>6528.5</v>
      </c>
      <c r="J28" s="165">
        <f>J29+J32+J35+J37+J40+J42+J44+J47</f>
        <v>7312.4</v>
      </c>
    </row>
    <row r="29" spans="1:12" s="1" customFormat="1" ht="27" x14ac:dyDescent="0.3">
      <c r="A29" s="73" t="s">
        <v>517</v>
      </c>
      <c r="B29" s="7"/>
      <c r="C29" s="63" t="s">
        <v>516</v>
      </c>
      <c r="D29" s="175">
        <f>D30+D31</f>
        <v>1474.7</v>
      </c>
      <c r="E29" s="407"/>
      <c r="F29" s="175">
        <f>F30+F31</f>
        <v>1474.7</v>
      </c>
      <c r="G29" s="175">
        <f>G30+G31</f>
        <v>1513.6000000000001</v>
      </c>
      <c r="H29" s="407"/>
      <c r="I29" s="175">
        <f>I30+I31</f>
        <v>1513.6000000000001</v>
      </c>
      <c r="J29" s="175">
        <f>J30+J31</f>
        <v>1513.6000000000001</v>
      </c>
    </row>
    <row r="30" spans="1:12" s="1" customFormat="1" ht="66.599999999999994" x14ac:dyDescent="0.3">
      <c r="A30" s="7"/>
      <c r="B30" s="7" t="s">
        <v>2</v>
      </c>
      <c r="C30" s="6" t="s">
        <v>1</v>
      </c>
      <c r="D30" s="246">
        <v>1344.2</v>
      </c>
      <c r="E30" s="409"/>
      <c r="F30" s="246">
        <v>1344.2</v>
      </c>
      <c r="G30" s="246">
        <v>1401.9</v>
      </c>
      <c r="H30" s="409"/>
      <c r="I30" s="246">
        <v>1401.9</v>
      </c>
      <c r="J30" s="246">
        <v>1401.9</v>
      </c>
    </row>
    <row r="31" spans="1:12" s="1" customFormat="1" ht="27" x14ac:dyDescent="0.3">
      <c r="A31" s="7"/>
      <c r="B31" s="7" t="s">
        <v>12</v>
      </c>
      <c r="C31" s="6" t="s">
        <v>11</v>
      </c>
      <c r="D31" s="246">
        <v>130.5</v>
      </c>
      <c r="E31" s="409"/>
      <c r="F31" s="246">
        <v>130.5</v>
      </c>
      <c r="G31" s="246">
        <v>111.7</v>
      </c>
      <c r="H31" s="409"/>
      <c r="I31" s="246">
        <v>111.7</v>
      </c>
      <c r="J31" s="246">
        <v>111.7</v>
      </c>
    </row>
    <row r="32" spans="1:12" s="1" customFormat="1" ht="40.200000000000003" x14ac:dyDescent="0.3">
      <c r="A32" s="7" t="s">
        <v>619</v>
      </c>
      <c r="B32" s="7"/>
      <c r="C32" s="63" t="s">
        <v>559</v>
      </c>
      <c r="D32" s="175">
        <f>D33+D34</f>
        <v>696.6</v>
      </c>
      <c r="E32" s="407"/>
      <c r="F32" s="175">
        <f>F33+F34</f>
        <v>696.6</v>
      </c>
      <c r="G32" s="175">
        <f>G33+G34</f>
        <v>714.4</v>
      </c>
      <c r="H32" s="407"/>
      <c r="I32" s="175">
        <f>I33+I34</f>
        <v>714.4</v>
      </c>
      <c r="J32" s="175">
        <f>J33+J34</f>
        <v>714.4</v>
      </c>
    </row>
    <row r="33" spans="1:10" s="1" customFormat="1" ht="66.599999999999994" x14ac:dyDescent="0.3">
      <c r="A33" s="7"/>
      <c r="B33" s="7" t="s">
        <v>2</v>
      </c>
      <c r="C33" s="6" t="s">
        <v>1</v>
      </c>
      <c r="D33" s="175">
        <v>660.5</v>
      </c>
      <c r="E33" s="407"/>
      <c r="F33" s="175">
        <v>660.5</v>
      </c>
      <c r="G33" s="175">
        <v>688.9</v>
      </c>
      <c r="H33" s="407"/>
      <c r="I33" s="175">
        <v>688.9</v>
      </c>
      <c r="J33" s="175">
        <v>688.9</v>
      </c>
    </row>
    <row r="34" spans="1:10" s="1" customFormat="1" ht="27" x14ac:dyDescent="0.3">
      <c r="A34" s="7"/>
      <c r="B34" s="7" t="s">
        <v>12</v>
      </c>
      <c r="C34" s="6" t="s">
        <v>11</v>
      </c>
      <c r="D34" s="175">
        <v>36.1</v>
      </c>
      <c r="E34" s="407"/>
      <c r="F34" s="175">
        <v>36.1</v>
      </c>
      <c r="G34" s="175">
        <v>25.5</v>
      </c>
      <c r="H34" s="407"/>
      <c r="I34" s="175">
        <v>25.5</v>
      </c>
      <c r="J34" s="175">
        <v>25.5</v>
      </c>
    </row>
    <row r="35" spans="1:10" s="1" customFormat="1" ht="27" x14ac:dyDescent="0.3">
      <c r="A35" s="7" t="s">
        <v>514</v>
      </c>
      <c r="B35" s="7"/>
      <c r="C35" s="63" t="s">
        <v>513</v>
      </c>
      <c r="D35" s="175">
        <f t="shared" ref="D35:J35" si="9">D36</f>
        <v>20.9</v>
      </c>
      <c r="E35" s="407"/>
      <c r="F35" s="175">
        <f t="shared" si="9"/>
        <v>20.9</v>
      </c>
      <c r="G35" s="175">
        <f t="shared" si="9"/>
        <v>20.9</v>
      </c>
      <c r="H35" s="407"/>
      <c r="I35" s="175">
        <f t="shared" si="9"/>
        <v>20.9</v>
      </c>
      <c r="J35" s="175">
        <f t="shared" si="9"/>
        <v>20.9</v>
      </c>
    </row>
    <row r="36" spans="1:10" s="1" customFormat="1" ht="27" x14ac:dyDescent="0.3">
      <c r="A36" s="7"/>
      <c r="B36" s="7" t="s">
        <v>12</v>
      </c>
      <c r="C36" s="6" t="s">
        <v>11</v>
      </c>
      <c r="D36" s="175">
        <v>20.9</v>
      </c>
      <c r="E36" s="407"/>
      <c r="F36" s="175">
        <v>20.9</v>
      </c>
      <c r="G36" s="175">
        <v>20.9</v>
      </c>
      <c r="H36" s="407"/>
      <c r="I36" s="175">
        <v>20.9</v>
      </c>
      <c r="J36" s="175">
        <v>20.9</v>
      </c>
    </row>
    <row r="37" spans="1:10" s="1" customFormat="1" ht="40.200000000000003" x14ac:dyDescent="0.3">
      <c r="A37" s="7" t="s">
        <v>512</v>
      </c>
      <c r="B37" s="7"/>
      <c r="C37" s="6" t="s">
        <v>511</v>
      </c>
      <c r="D37" s="175">
        <f>D38+D39</f>
        <v>79.3</v>
      </c>
      <c r="E37" s="407"/>
      <c r="F37" s="175">
        <f>F38+F39</f>
        <v>79.3</v>
      </c>
      <c r="G37" s="175">
        <f>G38+G39</f>
        <v>81.400000000000006</v>
      </c>
      <c r="H37" s="407"/>
      <c r="I37" s="175">
        <f>I38+I39</f>
        <v>81.400000000000006</v>
      </c>
      <c r="J37" s="175">
        <f>J38+J39</f>
        <v>81.400000000000006</v>
      </c>
    </row>
    <row r="38" spans="1:10" s="1" customFormat="1" ht="66.599999999999994" x14ac:dyDescent="0.3">
      <c r="A38" s="7"/>
      <c r="B38" s="7" t="s">
        <v>2</v>
      </c>
      <c r="C38" s="6" t="s">
        <v>1</v>
      </c>
      <c r="D38" s="175">
        <v>23</v>
      </c>
      <c r="E38" s="407"/>
      <c r="F38" s="175">
        <v>23</v>
      </c>
      <c r="G38" s="175">
        <v>24</v>
      </c>
      <c r="H38" s="407"/>
      <c r="I38" s="175">
        <v>24</v>
      </c>
      <c r="J38" s="175">
        <v>24</v>
      </c>
    </row>
    <row r="39" spans="1:10" s="1" customFormat="1" ht="27" x14ac:dyDescent="0.3">
      <c r="A39" s="7"/>
      <c r="B39" s="7" t="s">
        <v>12</v>
      </c>
      <c r="C39" s="6" t="s">
        <v>11</v>
      </c>
      <c r="D39" s="175">
        <v>56.3</v>
      </c>
      <c r="E39" s="407"/>
      <c r="F39" s="175">
        <v>56.3</v>
      </c>
      <c r="G39" s="175">
        <v>57.4</v>
      </c>
      <c r="H39" s="407"/>
      <c r="I39" s="175">
        <v>57.4</v>
      </c>
      <c r="J39" s="175">
        <v>57.4</v>
      </c>
    </row>
    <row r="40" spans="1:10" s="1" customFormat="1" ht="66.599999999999994" x14ac:dyDescent="0.3">
      <c r="A40" s="7" t="s">
        <v>510</v>
      </c>
      <c r="B40" s="7"/>
      <c r="C40" s="63" t="s">
        <v>509</v>
      </c>
      <c r="D40" s="175">
        <f t="shared" ref="D40:J40" si="10">D41</f>
        <v>17.5</v>
      </c>
      <c r="E40" s="407"/>
      <c r="F40" s="175">
        <f t="shared" si="10"/>
        <v>17.5</v>
      </c>
      <c r="G40" s="175">
        <f t="shared" si="10"/>
        <v>18</v>
      </c>
      <c r="H40" s="407"/>
      <c r="I40" s="175">
        <f t="shared" si="10"/>
        <v>18</v>
      </c>
      <c r="J40" s="175">
        <f t="shared" si="10"/>
        <v>18</v>
      </c>
    </row>
    <row r="41" spans="1:10" s="1" customFormat="1" ht="27" x14ac:dyDescent="0.3">
      <c r="A41" s="7"/>
      <c r="B41" s="7" t="s">
        <v>12</v>
      </c>
      <c r="C41" s="6" t="s">
        <v>11</v>
      </c>
      <c r="D41" s="246">
        <v>17.5</v>
      </c>
      <c r="E41" s="409"/>
      <c r="F41" s="246">
        <v>17.5</v>
      </c>
      <c r="G41" s="246">
        <v>18</v>
      </c>
      <c r="H41" s="409"/>
      <c r="I41" s="246">
        <v>18</v>
      </c>
      <c r="J41" s="246">
        <v>18</v>
      </c>
    </row>
    <row r="42" spans="1:10" s="1" customFormat="1" ht="53.4" x14ac:dyDescent="0.3">
      <c r="A42" s="7" t="s">
        <v>500</v>
      </c>
      <c r="B42" s="7"/>
      <c r="C42" s="6" t="s">
        <v>499</v>
      </c>
      <c r="D42" s="175">
        <f t="shared" ref="D42:J42" si="11">D43</f>
        <v>34.9</v>
      </c>
      <c r="E42" s="407"/>
      <c r="F42" s="175">
        <f t="shared" si="11"/>
        <v>34.9</v>
      </c>
      <c r="G42" s="175">
        <f t="shared" si="11"/>
        <v>1.7</v>
      </c>
      <c r="H42" s="407"/>
      <c r="I42" s="175">
        <f t="shared" si="11"/>
        <v>1.7</v>
      </c>
      <c r="J42" s="175">
        <f t="shared" si="11"/>
        <v>1.9</v>
      </c>
    </row>
    <row r="43" spans="1:10" s="1" customFormat="1" ht="27" x14ac:dyDescent="0.3">
      <c r="A43" s="7"/>
      <c r="B43" s="7" t="s">
        <v>12</v>
      </c>
      <c r="C43" s="6" t="s">
        <v>11</v>
      </c>
      <c r="D43" s="175">
        <v>34.9</v>
      </c>
      <c r="E43" s="407"/>
      <c r="F43" s="175">
        <v>34.9</v>
      </c>
      <c r="G43" s="175">
        <v>1.7</v>
      </c>
      <c r="H43" s="407"/>
      <c r="I43" s="175">
        <v>1.7</v>
      </c>
      <c r="J43" s="175">
        <v>1.9</v>
      </c>
    </row>
    <row r="44" spans="1:10" s="1" customFormat="1" ht="27" x14ac:dyDescent="0.3">
      <c r="A44" s="7" t="s">
        <v>490</v>
      </c>
      <c r="B44" s="7"/>
      <c r="C44" s="6" t="s">
        <v>489</v>
      </c>
      <c r="D44" s="175">
        <f>D45+D46</f>
        <v>1232.2</v>
      </c>
      <c r="E44" s="407"/>
      <c r="F44" s="175">
        <f>F45+F46</f>
        <v>1232.2</v>
      </c>
      <c r="G44" s="175">
        <f>G45+G46</f>
        <v>1267</v>
      </c>
      <c r="H44" s="407"/>
      <c r="I44" s="175">
        <f>I45+I46</f>
        <v>1267</v>
      </c>
      <c r="J44" s="175">
        <f>J45+J46</f>
        <v>1267</v>
      </c>
    </row>
    <row r="45" spans="1:10" s="1" customFormat="1" ht="66.599999999999994" x14ac:dyDescent="0.3">
      <c r="A45" s="7"/>
      <c r="B45" s="7" t="s">
        <v>2</v>
      </c>
      <c r="C45" s="6" t="s">
        <v>1</v>
      </c>
      <c r="D45" s="175">
        <v>1148.2</v>
      </c>
      <c r="E45" s="407"/>
      <c r="F45" s="175">
        <v>1148.2</v>
      </c>
      <c r="G45" s="175">
        <v>1197.5</v>
      </c>
      <c r="H45" s="407"/>
      <c r="I45" s="175">
        <v>1197.5</v>
      </c>
      <c r="J45" s="175">
        <v>1197.5</v>
      </c>
    </row>
    <row r="46" spans="1:10" s="1" customFormat="1" ht="27" x14ac:dyDescent="0.3">
      <c r="A46" s="7"/>
      <c r="B46" s="7" t="s">
        <v>12</v>
      </c>
      <c r="C46" s="6" t="s">
        <v>11</v>
      </c>
      <c r="D46" s="175">
        <v>84</v>
      </c>
      <c r="E46" s="407"/>
      <c r="F46" s="175">
        <v>84</v>
      </c>
      <c r="G46" s="175">
        <v>69.5</v>
      </c>
      <c r="H46" s="407"/>
      <c r="I46" s="175">
        <v>69.5</v>
      </c>
      <c r="J46" s="175">
        <v>69.5</v>
      </c>
    </row>
    <row r="47" spans="1:10" s="1" customFormat="1" ht="40.200000000000003" x14ac:dyDescent="0.3">
      <c r="A47" s="7" t="s">
        <v>466</v>
      </c>
      <c r="B47" s="7"/>
      <c r="C47" s="11" t="s">
        <v>663</v>
      </c>
      <c r="D47" s="175">
        <f>D48+D49</f>
        <v>2614.4</v>
      </c>
      <c r="E47" s="407"/>
      <c r="F47" s="175">
        <f>F48+F49</f>
        <v>2614.4</v>
      </c>
      <c r="G47" s="175">
        <f>G48+G49</f>
        <v>2911.5</v>
      </c>
      <c r="H47" s="407"/>
      <c r="I47" s="175">
        <f>I48+I49</f>
        <v>2911.5</v>
      </c>
      <c r="J47" s="175">
        <f>J48+J49</f>
        <v>3695.2</v>
      </c>
    </row>
    <row r="48" spans="1:10" s="1" customFormat="1" ht="66.599999999999994" x14ac:dyDescent="0.3">
      <c r="A48" s="7"/>
      <c r="B48" s="7" t="s">
        <v>2</v>
      </c>
      <c r="C48" s="6" t="s">
        <v>1</v>
      </c>
      <c r="D48" s="246">
        <v>1812</v>
      </c>
      <c r="E48" s="409"/>
      <c r="F48" s="246">
        <v>1812</v>
      </c>
      <c r="G48" s="246">
        <v>1889.7</v>
      </c>
      <c r="H48" s="409"/>
      <c r="I48" s="246">
        <v>1889.7</v>
      </c>
      <c r="J48" s="246">
        <v>1889.7</v>
      </c>
    </row>
    <row r="49" spans="1:11" s="1" customFormat="1" ht="27" x14ac:dyDescent="0.3">
      <c r="A49" s="7"/>
      <c r="B49" s="7" t="s">
        <v>12</v>
      </c>
      <c r="C49" s="6" t="s">
        <v>11</v>
      </c>
      <c r="D49" s="246">
        <f>287.3+515.1</f>
        <v>802.40000000000009</v>
      </c>
      <c r="E49" s="409"/>
      <c r="F49" s="246">
        <f>287.3+515.1</f>
        <v>802.40000000000009</v>
      </c>
      <c r="G49" s="246">
        <f>283.2+738.6</f>
        <v>1021.8</v>
      </c>
      <c r="H49" s="409"/>
      <c r="I49" s="246">
        <f>283.2+738.6</f>
        <v>1021.8</v>
      </c>
      <c r="J49" s="246">
        <f>283.2+1522.3</f>
        <v>1805.5</v>
      </c>
    </row>
    <row r="50" spans="1:11" s="1" customFormat="1" ht="40.200000000000003" x14ac:dyDescent="0.3">
      <c r="A50" s="30" t="s">
        <v>488</v>
      </c>
      <c r="B50" s="30"/>
      <c r="C50" s="51" t="s">
        <v>487</v>
      </c>
      <c r="D50" s="249">
        <f t="shared" ref="D50:J50" si="12">D51</f>
        <v>219.39999999999998</v>
      </c>
      <c r="E50" s="405"/>
      <c r="F50" s="249">
        <f t="shared" si="12"/>
        <v>219.39999999999998</v>
      </c>
      <c r="G50" s="249">
        <f t="shared" si="12"/>
        <v>0</v>
      </c>
      <c r="H50" s="405"/>
      <c r="I50" s="249">
        <f t="shared" si="12"/>
        <v>0</v>
      </c>
      <c r="J50" s="249">
        <f t="shared" si="12"/>
        <v>219.39999999999998</v>
      </c>
    </row>
    <row r="51" spans="1:11" s="1" customFormat="1" ht="79.8" x14ac:dyDescent="0.3">
      <c r="A51" s="153" t="s">
        <v>486</v>
      </c>
      <c r="B51" s="160"/>
      <c r="C51" s="154" t="s">
        <v>560</v>
      </c>
      <c r="D51" s="165">
        <f>D52+D54</f>
        <v>219.39999999999998</v>
      </c>
      <c r="E51" s="406"/>
      <c r="F51" s="165">
        <f>F52+F54</f>
        <v>219.39999999999998</v>
      </c>
      <c r="G51" s="165">
        <f>G52+G54</f>
        <v>0</v>
      </c>
      <c r="H51" s="406"/>
      <c r="I51" s="165">
        <f>I52+I54</f>
        <v>0</v>
      </c>
      <c r="J51" s="165">
        <f>J52+J54</f>
        <v>219.39999999999998</v>
      </c>
    </row>
    <row r="52" spans="1:11" s="1" customFormat="1" ht="14.4" x14ac:dyDescent="0.3">
      <c r="A52" s="7" t="s">
        <v>484</v>
      </c>
      <c r="B52" s="7"/>
      <c r="C52" s="63" t="s">
        <v>483</v>
      </c>
      <c r="D52" s="175">
        <f t="shared" ref="D52:J52" si="13">D53</f>
        <v>97.8</v>
      </c>
      <c r="E52" s="407"/>
      <c r="F52" s="175">
        <f t="shared" si="13"/>
        <v>97.8</v>
      </c>
      <c r="G52" s="175">
        <f t="shared" si="13"/>
        <v>0</v>
      </c>
      <c r="H52" s="407"/>
      <c r="I52" s="175">
        <f t="shared" si="13"/>
        <v>0</v>
      </c>
      <c r="J52" s="175">
        <f t="shared" si="13"/>
        <v>97.8</v>
      </c>
    </row>
    <row r="53" spans="1:11" s="1" customFormat="1" ht="27" x14ac:dyDescent="0.3">
      <c r="A53" s="7"/>
      <c r="B53" s="7" t="s">
        <v>12</v>
      </c>
      <c r="C53" s="6" t="s">
        <v>11</v>
      </c>
      <c r="D53" s="175">
        <v>97.8</v>
      </c>
      <c r="E53" s="407"/>
      <c r="F53" s="175">
        <v>97.8</v>
      </c>
      <c r="G53" s="175">
        <v>0</v>
      </c>
      <c r="H53" s="407"/>
      <c r="I53" s="175">
        <v>0</v>
      </c>
      <c r="J53" s="175">
        <v>97.8</v>
      </c>
      <c r="K53" s="227"/>
    </row>
    <row r="54" spans="1:11" s="1" customFormat="1" ht="53.4" x14ac:dyDescent="0.3">
      <c r="A54" s="7" t="s">
        <v>482</v>
      </c>
      <c r="B54" s="7"/>
      <c r="C54" s="63" t="s">
        <v>558</v>
      </c>
      <c r="D54" s="175">
        <f t="shared" ref="D54:J54" si="14">D55</f>
        <v>121.6</v>
      </c>
      <c r="E54" s="407"/>
      <c r="F54" s="175">
        <f t="shared" si="14"/>
        <v>121.6</v>
      </c>
      <c r="G54" s="175">
        <f t="shared" si="14"/>
        <v>0</v>
      </c>
      <c r="H54" s="407"/>
      <c r="I54" s="175">
        <f t="shared" si="14"/>
        <v>0</v>
      </c>
      <c r="J54" s="175">
        <f t="shared" si="14"/>
        <v>121.6</v>
      </c>
    </row>
    <row r="55" spans="1:11" s="1" customFormat="1" ht="27" x14ac:dyDescent="0.3">
      <c r="A55" s="7"/>
      <c r="B55" s="7" t="s">
        <v>12</v>
      </c>
      <c r="C55" s="6" t="s">
        <v>11</v>
      </c>
      <c r="D55" s="175">
        <v>121.6</v>
      </c>
      <c r="E55" s="407"/>
      <c r="F55" s="175">
        <v>121.6</v>
      </c>
      <c r="G55" s="175">
        <v>0</v>
      </c>
      <c r="H55" s="407"/>
      <c r="I55" s="175">
        <v>0</v>
      </c>
      <c r="J55" s="175">
        <v>121.6</v>
      </c>
      <c r="K55" s="227"/>
    </row>
    <row r="56" spans="1:11" ht="39.6" x14ac:dyDescent="0.25">
      <c r="A56" s="170" t="s">
        <v>79</v>
      </c>
      <c r="B56" s="170"/>
      <c r="C56" s="172" t="s">
        <v>206</v>
      </c>
      <c r="D56" s="255">
        <f>D57+D74+D106+D122+D132+D145+D163</f>
        <v>590138.67566000007</v>
      </c>
      <c r="E56" s="255">
        <f>E57+E74+E106+E122+E132+E145+E163</f>
        <v>-597.69999999999993</v>
      </c>
      <c r="F56" s="255">
        <f>F57+F74+F106+F122+F132+F145+F163</f>
        <v>589540.97566</v>
      </c>
      <c r="G56" s="255">
        <f>G57+G74+G106+G122+G132+G145+G163</f>
        <v>597005.08779000002</v>
      </c>
      <c r="H56" s="404"/>
      <c r="I56" s="255">
        <f>I57+I74+I106+I122+I132+I145+I163</f>
        <v>597005.08779000002</v>
      </c>
      <c r="J56" s="255">
        <f>J57+J74+J106+J122+J132+J145+J163</f>
        <v>562113.82419000007</v>
      </c>
      <c r="K56" s="483"/>
    </row>
    <row r="57" spans="1:11" x14ac:dyDescent="0.25">
      <c r="A57" s="30" t="s">
        <v>161</v>
      </c>
      <c r="B57" s="30"/>
      <c r="C57" s="129" t="s">
        <v>160</v>
      </c>
      <c r="D57" s="249">
        <f t="shared" ref="D57:J57" si="15">D58</f>
        <v>146708.6856</v>
      </c>
      <c r="E57" s="249">
        <f t="shared" si="15"/>
        <v>-1009.4</v>
      </c>
      <c r="F57" s="249">
        <f t="shared" si="15"/>
        <v>145699.28559999997</v>
      </c>
      <c r="G57" s="249">
        <f t="shared" si="15"/>
        <v>140976.74080000003</v>
      </c>
      <c r="H57" s="405"/>
      <c r="I57" s="249">
        <f t="shared" si="15"/>
        <v>140976.74080000003</v>
      </c>
      <c r="J57" s="249">
        <f t="shared" si="15"/>
        <v>139771.17259999999</v>
      </c>
      <c r="K57" s="483"/>
    </row>
    <row r="58" spans="1:11" ht="52.8" x14ac:dyDescent="0.25">
      <c r="A58" s="153" t="s">
        <v>159</v>
      </c>
      <c r="B58" s="153"/>
      <c r="C58" s="163" t="s">
        <v>177</v>
      </c>
      <c r="D58" s="165">
        <f>D59+D61+D64+D66+D68+D70</f>
        <v>146708.6856</v>
      </c>
      <c r="E58" s="165">
        <f>E59+E61+E64+E66+E68+E70</f>
        <v>-1009.4</v>
      </c>
      <c r="F58" s="165">
        <f>F59+F61+F64+F66+F68+F70</f>
        <v>145699.28559999997</v>
      </c>
      <c r="G58" s="165">
        <f>G59+G61+G64+G66+G68</f>
        <v>140976.74080000003</v>
      </c>
      <c r="H58" s="406"/>
      <c r="I58" s="165">
        <f>I59+I61+I64+I66+I68</f>
        <v>140976.74080000003</v>
      </c>
      <c r="J58" s="165">
        <f>J59+J61+J64+J66+J68</f>
        <v>139771.17259999999</v>
      </c>
      <c r="K58" s="483"/>
    </row>
    <row r="59" spans="1:11" ht="39.6" x14ac:dyDescent="0.25">
      <c r="A59" s="7" t="s">
        <v>235</v>
      </c>
      <c r="B59" s="60"/>
      <c r="C59" s="130" t="s">
        <v>234</v>
      </c>
      <c r="D59" s="175">
        <f t="shared" ref="D59:J59" si="16">D60</f>
        <v>30109</v>
      </c>
      <c r="E59" s="175">
        <f t="shared" si="16"/>
        <v>-1009.4</v>
      </c>
      <c r="F59" s="175">
        <f t="shared" si="16"/>
        <v>29099.599999999999</v>
      </c>
      <c r="G59" s="175">
        <f t="shared" si="16"/>
        <v>30109</v>
      </c>
      <c r="H59" s="407"/>
      <c r="I59" s="175">
        <f t="shared" si="16"/>
        <v>30109</v>
      </c>
      <c r="J59" s="175">
        <f t="shared" si="16"/>
        <v>30109</v>
      </c>
      <c r="K59" s="483"/>
    </row>
    <row r="60" spans="1:11" ht="26.4" x14ac:dyDescent="0.25">
      <c r="A60" s="7"/>
      <c r="B60" s="7" t="s">
        <v>57</v>
      </c>
      <c r="C60" s="130" t="s">
        <v>56</v>
      </c>
      <c r="D60" s="175">
        <v>30109</v>
      </c>
      <c r="E60" s="407">
        <v>-1009.4</v>
      </c>
      <c r="F60" s="175">
        <f>D60-1009.4</f>
        <v>29099.599999999999</v>
      </c>
      <c r="G60" s="175">
        <v>30109</v>
      </c>
      <c r="H60" s="407"/>
      <c r="I60" s="175">
        <v>30109</v>
      </c>
      <c r="J60" s="175">
        <v>30109</v>
      </c>
      <c r="K60" s="483"/>
    </row>
    <row r="61" spans="1:11" ht="52.8" x14ac:dyDescent="0.25">
      <c r="A61" s="7" t="s">
        <v>233</v>
      </c>
      <c r="B61" s="7"/>
      <c r="C61" s="130" t="s">
        <v>232</v>
      </c>
      <c r="D61" s="175">
        <f>D62+D63</f>
        <v>110421.28559999999</v>
      </c>
      <c r="E61" s="407"/>
      <c r="F61" s="175">
        <f>F62+F63</f>
        <v>110421.28559999999</v>
      </c>
      <c r="G61" s="175">
        <f>G62+G63</f>
        <v>105471.0408</v>
      </c>
      <c r="H61" s="407"/>
      <c r="I61" s="175">
        <f>I62+I63</f>
        <v>105471.0408</v>
      </c>
      <c r="J61" s="175">
        <f>J62+J63</f>
        <v>104153.7726</v>
      </c>
      <c r="K61" s="483"/>
    </row>
    <row r="62" spans="1:11" x14ac:dyDescent="0.25">
      <c r="A62" s="7"/>
      <c r="B62" s="7" t="s">
        <v>71</v>
      </c>
      <c r="C62" s="130" t="s">
        <v>70</v>
      </c>
      <c r="D62" s="175">
        <v>23.352499999999999</v>
      </c>
      <c r="E62" s="407"/>
      <c r="F62" s="175">
        <v>23.352499999999999</v>
      </c>
      <c r="G62" s="175">
        <v>0</v>
      </c>
      <c r="H62" s="407"/>
      <c r="I62" s="175">
        <v>0</v>
      </c>
      <c r="J62" s="175">
        <v>0</v>
      </c>
      <c r="K62" s="483"/>
    </row>
    <row r="63" spans="1:11" ht="26.4" x14ac:dyDescent="0.25">
      <c r="A63" s="7"/>
      <c r="B63" s="7" t="s">
        <v>57</v>
      </c>
      <c r="C63" s="130" t="s">
        <v>56</v>
      </c>
      <c r="D63" s="175">
        <v>110397.93309999999</v>
      </c>
      <c r="E63" s="407"/>
      <c r="F63" s="175">
        <v>110397.93309999999</v>
      </c>
      <c r="G63" s="175">
        <v>105471.0408</v>
      </c>
      <c r="H63" s="407"/>
      <c r="I63" s="175">
        <v>105471.0408</v>
      </c>
      <c r="J63" s="175">
        <v>104153.7726</v>
      </c>
      <c r="K63" s="483"/>
    </row>
    <row r="64" spans="1:11" ht="66" x14ac:dyDescent="0.25">
      <c r="A64" s="7" t="s">
        <v>157</v>
      </c>
      <c r="B64" s="7"/>
      <c r="C64" s="130" t="s">
        <v>9</v>
      </c>
      <c r="D64" s="175">
        <f t="shared" ref="D64:J64" si="17">D65</f>
        <v>4095.9</v>
      </c>
      <c r="E64" s="407"/>
      <c r="F64" s="175">
        <f t="shared" si="17"/>
        <v>4095.9</v>
      </c>
      <c r="G64" s="175">
        <f t="shared" si="17"/>
        <v>3785.2</v>
      </c>
      <c r="H64" s="407"/>
      <c r="I64" s="175">
        <f t="shared" si="17"/>
        <v>3785.2</v>
      </c>
      <c r="J64" s="175">
        <f t="shared" si="17"/>
        <v>3896.9</v>
      </c>
      <c r="K64" s="483"/>
    </row>
    <row r="65" spans="1:13" ht="26.4" x14ac:dyDescent="0.25">
      <c r="A65" s="7"/>
      <c r="B65" s="7" t="s">
        <v>57</v>
      </c>
      <c r="C65" s="130" t="s">
        <v>56</v>
      </c>
      <c r="D65" s="246">
        <v>4095.9</v>
      </c>
      <c r="E65" s="409"/>
      <c r="F65" s="246">
        <v>4095.9</v>
      </c>
      <c r="G65" s="246">
        <v>3785.2</v>
      </c>
      <c r="H65" s="409"/>
      <c r="I65" s="246">
        <v>3785.2</v>
      </c>
      <c r="J65" s="246">
        <v>3896.9</v>
      </c>
      <c r="K65" s="483"/>
    </row>
    <row r="66" spans="1:13" ht="26.4" x14ac:dyDescent="0.25">
      <c r="A66" s="7" t="s">
        <v>231</v>
      </c>
      <c r="B66" s="7"/>
      <c r="C66" s="130" t="s">
        <v>230</v>
      </c>
      <c r="D66" s="175">
        <f t="shared" ref="D66:J66" si="18">D67</f>
        <v>1443.4</v>
      </c>
      <c r="E66" s="407"/>
      <c r="F66" s="175">
        <f t="shared" si="18"/>
        <v>1443.4</v>
      </c>
      <c r="G66" s="175">
        <f t="shared" si="18"/>
        <v>1443.4</v>
      </c>
      <c r="H66" s="407"/>
      <c r="I66" s="175">
        <f t="shared" si="18"/>
        <v>1443.4</v>
      </c>
      <c r="J66" s="175">
        <f t="shared" si="18"/>
        <v>1443.4</v>
      </c>
      <c r="K66" s="483"/>
    </row>
    <row r="67" spans="1:13" ht="26.4" x14ac:dyDescent="0.25">
      <c r="A67" s="7"/>
      <c r="B67" s="7" t="s">
        <v>57</v>
      </c>
      <c r="C67" s="130" t="s">
        <v>56</v>
      </c>
      <c r="D67" s="175">
        <v>1443.4</v>
      </c>
      <c r="E67" s="407"/>
      <c r="F67" s="175">
        <v>1443.4</v>
      </c>
      <c r="G67" s="175">
        <v>1443.4</v>
      </c>
      <c r="H67" s="407"/>
      <c r="I67" s="175">
        <v>1443.4</v>
      </c>
      <c r="J67" s="175">
        <v>1443.4</v>
      </c>
      <c r="K67" s="483"/>
      <c r="L67" s="483"/>
      <c r="M67" s="483"/>
    </row>
    <row r="68" spans="1:13" ht="39.6" x14ac:dyDescent="0.25">
      <c r="A68" s="54" t="s">
        <v>176</v>
      </c>
      <c r="B68" s="7"/>
      <c r="C68" s="130" t="s">
        <v>689</v>
      </c>
      <c r="D68" s="175">
        <f t="shared" ref="D68:J68" si="19">D69</f>
        <v>289.10000000000002</v>
      </c>
      <c r="E68" s="175"/>
      <c r="F68" s="175">
        <f t="shared" si="19"/>
        <v>289.10000000000002</v>
      </c>
      <c r="G68" s="175">
        <f t="shared" si="19"/>
        <v>168.1</v>
      </c>
      <c r="H68" s="407"/>
      <c r="I68" s="175">
        <f t="shared" si="19"/>
        <v>168.1</v>
      </c>
      <c r="J68" s="175">
        <f t="shared" si="19"/>
        <v>168.1</v>
      </c>
      <c r="K68" s="483"/>
    </row>
    <row r="69" spans="1:13" ht="26.4" x14ac:dyDescent="0.25">
      <c r="A69" s="54"/>
      <c r="B69" s="7" t="s">
        <v>57</v>
      </c>
      <c r="C69" s="130" t="s">
        <v>56</v>
      </c>
      <c r="D69" s="175">
        <f>168.1+121</f>
        <v>289.10000000000002</v>
      </c>
      <c r="E69" s="407"/>
      <c r="F69" s="175">
        <f>168.1+121</f>
        <v>289.10000000000002</v>
      </c>
      <c r="G69" s="175">
        <v>168.1</v>
      </c>
      <c r="H69" s="407"/>
      <c r="I69" s="175">
        <v>168.1</v>
      </c>
      <c r="J69" s="175">
        <v>168.1</v>
      </c>
      <c r="K69" s="483"/>
    </row>
    <row r="70" spans="1:13" ht="39.6" x14ac:dyDescent="0.25">
      <c r="A70" s="7" t="s">
        <v>623</v>
      </c>
      <c r="B70" s="7"/>
      <c r="C70" s="130" t="s">
        <v>561</v>
      </c>
      <c r="D70" s="175">
        <f>D71</f>
        <v>350</v>
      </c>
      <c r="E70" s="407"/>
      <c r="F70" s="175">
        <f>F71</f>
        <v>350</v>
      </c>
      <c r="G70" s="175">
        <v>0</v>
      </c>
      <c r="H70" s="407"/>
      <c r="I70" s="175">
        <v>0</v>
      </c>
      <c r="J70" s="175">
        <v>0</v>
      </c>
      <c r="K70" s="483"/>
    </row>
    <row r="71" spans="1:13" ht="26.4" x14ac:dyDescent="0.25">
      <c r="A71" s="7"/>
      <c r="B71" s="7" t="s">
        <v>57</v>
      </c>
      <c r="C71" s="130" t="s">
        <v>56</v>
      </c>
      <c r="D71" s="175">
        <f>D72+D73</f>
        <v>350</v>
      </c>
      <c r="E71" s="407"/>
      <c r="F71" s="175">
        <f>F72+F73</f>
        <v>350</v>
      </c>
      <c r="G71" s="175">
        <v>0</v>
      </c>
      <c r="H71" s="407"/>
      <c r="I71" s="175">
        <v>0</v>
      </c>
      <c r="J71" s="175">
        <v>0</v>
      </c>
      <c r="K71" s="483"/>
    </row>
    <row r="72" spans="1:13" x14ac:dyDescent="0.25">
      <c r="A72" s="7"/>
      <c r="B72" s="7"/>
      <c r="C72" s="130" t="s">
        <v>149</v>
      </c>
      <c r="D72" s="175">
        <v>350</v>
      </c>
      <c r="E72" s="407"/>
      <c r="F72" s="175">
        <v>350</v>
      </c>
      <c r="G72" s="175">
        <v>0</v>
      </c>
      <c r="H72" s="407"/>
      <c r="I72" s="175">
        <v>0</v>
      </c>
      <c r="J72" s="175">
        <v>0</v>
      </c>
      <c r="K72" s="483"/>
    </row>
    <row r="73" spans="1:13" x14ac:dyDescent="0.25">
      <c r="A73" s="7"/>
      <c r="B73" s="7"/>
      <c r="C73" s="130" t="s">
        <v>148</v>
      </c>
      <c r="D73" s="246">
        <v>0</v>
      </c>
      <c r="E73" s="409"/>
      <c r="F73" s="246">
        <v>0</v>
      </c>
      <c r="G73" s="246">
        <v>0</v>
      </c>
      <c r="H73" s="409"/>
      <c r="I73" s="246">
        <v>0</v>
      </c>
      <c r="J73" s="246">
        <v>0</v>
      </c>
      <c r="K73" s="483"/>
    </row>
    <row r="74" spans="1:13" ht="26.4" x14ac:dyDescent="0.25">
      <c r="A74" s="30" t="s">
        <v>175</v>
      </c>
      <c r="B74" s="30"/>
      <c r="C74" s="129" t="s">
        <v>174</v>
      </c>
      <c r="D74" s="249">
        <f>D75+D84+D99</f>
        <v>359466.55206000002</v>
      </c>
      <c r="E74" s="249">
        <f>E75+E84+E99</f>
        <v>-462.20000000000005</v>
      </c>
      <c r="F74" s="249">
        <f>F75+F84+F99</f>
        <v>359004.35206</v>
      </c>
      <c r="G74" s="249">
        <f>G75+G84+G99</f>
        <v>352064.09099</v>
      </c>
      <c r="H74" s="405"/>
      <c r="I74" s="249">
        <f>I75+I84+I99</f>
        <v>352064.09099</v>
      </c>
      <c r="J74" s="249">
        <f>J75+J84+J99</f>
        <v>344518.68458999996</v>
      </c>
      <c r="K74" s="483"/>
    </row>
    <row r="75" spans="1:13" ht="52.8" x14ac:dyDescent="0.25">
      <c r="A75" s="153" t="s">
        <v>227</v>
      </c>
      <c r="B75" s="153"/>
      <c r="C75" s="163" t="s">
        <v>158</v>
      </c>
      <c r="D75" s="165">
        <f>D76+D78+D80</f>
        <v>308386.82516000001</v>
      </c>
      <c r="E75" s="165">
        <f>E76+E78+E80</f>
        <v>-889.7</v>
      </c>
      <c r="F75" s="165">
        <f>F76+F78+F80</f>
        <v>307497.12516</v>
      </c>
      <c r="G75" s="165">
        <f>G76+G78+G80</f>
        <v>302580.32988999999</v>
      </c>
      <c r="H75" s="406"/>
      <c r="I75" s="165">
        <f>I76+I78+I80</f>
        <v>302580.32988999999</v>
      </c>
      <c r="J75" s="165">
        <f>J76+J78+J80</f>
        <v>295945.78578999999</v>
      </c>
      <c r="K75" s="483"/>
    </row>
    <row r="76" spans="1:13" ht="39.6" x14ac:dyDescent="0.25">
      <c r="A76" s="7" t="s">
        <v>226</v>
      </c>
      <c r="B76" s="60"/>
      <c r="C76" s="130" t="s">
        <v>225</v>
      </c>
      <c r="D76" s="175">
        <f t="shared" ref="D76:J76" si="20">D77</f>
        <v>38014.1</v>
      </c>
      <c r="E76" s="175">
        <f t="shared" si="20"/>
        <v>-889.7</v>
      </c>
      <c r="F76" s="175">
        <f t="shared" si="20"/>
        <v>37124.400000000001</v>
      </c>
      <c r="G76" s="175">
        <f t="shared" si="20"/>
        <v>38014.1</v>
      </c>
      <c r="H76" s="407"/>
      <c r="I76" s="175">
        <f t="shared" si="20"/>
        <v>38014.1</v>
      </c>
      <c r="J76" s="175">
        <f t="shared" si="20"/>
        <v>38014.1</v>
      </c>
      <c r="K76" s="483"/>
    </row>
    <row r="77" spans="1:13" ht="26.4" x14ac:dyDescent="0.25">
      <c r="A77" s="7"/>
      <c r="B77" s="7" t="s">
        <v>57</v>
      </c>
      <c r="C77" s="130" t="s">
        <v>56</v>
      </c>
      <c r="D77" s="175">
        <v>38014.1</v>
      </c>
      <c r="E77" s="407">
        <v>-889.7</v>
      </c>
      <c r="F77" s="175">
        <v>37124.400000000001</v>
      </c>
      <c r="G77" s="175">
        <v>38014.1</v>
      </c>
      <c r="H77" s="407"/>
      <c r="I77" s="175">
        <v>38014.1</v>
      </c>
      <c r="J77" s="175">
        <v>38014.1</v>
      </c>
      <c r="K77" s="483"/>
    </row>
    <row r="78" spans="1:13" ht="66" x14ac:dyDescent="0.25">
      <c r="A78" s="7" t="s">
        <v>224</v>
      </c>
      <c r="B78" s="7"/>
      <c r="C78" s="130" t="s">
        <v>223</v>
      </c>
      <c r="D78" s="175">
        <f t="shared" ref="D78:J78" si="21">D79</f>
        <v>260129.92516000001</v>
      </c>
      <c r="E78" s="407"/>
      <c r="F78" s="175">
        <f t="shared" si="21"/>
        <v>260129.92516000001</v>
      </c>
      <c r="G78" s="175">
        <f t="shared" si="21"/>
        <v>254323.42989</v>
      </c>
      <c r="H78" s="407"/>
      <c r="I78" s="175">
        <f t="shared" si="21"/>
        <v>254323.42989</v>
      </c>
      <c r="J78" s="175">
        <f t="shared" si="21"/>
        <v>247688.88579</v>
      </c>
      <c r="K78" s="483"/>
    </row>
    <row r="79" spans="1:13" ht="26.4" x14ac:dyDescent="0.25">
      <c r="A79" s="7"/>
      <c r="B79" s="7" t="s">
        <v>57</v>
      </c>
      <c r="C79" s="130" t="s">
        <v>56</v>
      </c>
      <c r="D79" s="175">
        <v>260129.92516000001</v>
      </c>
      <c r="E79" s="407"/>
      <c r="F79" s="175">
        <v>260129.92516000001</v>
      </c>
      <c r="G79" s="175">
        <v>254323.42989</v>
      </c>
      <c r="H79" s="407"/>
      <c r="I79" s="175">
        <v>254323.42989</v>
      </c>
      <c r="J79" s="175">
        <v>247688.88579</v>
      </c>
      <c r="K79" s="483"/>
    </row>
    <row r="80" spans="1:13" ht="105.6" x14ac:dyDescent="0.25">
      <c r="A80" s="7" t="s">
        <v>222</v>
      </c>
      <c r="B80" s="7"/>
      <c r="C80" s="130" t="s">
        <v>727</v>
      </c>
      <c r="D80" s="175">
        <f t="shared" ref="D80:J80" si="22">D81</f>
        <v>10242.800000000001</v>
      </c>
      <c r="E80" s="407"/>
      <c r="F80" s="175">
        <f t="shared" si="22"/>
        <v>10242.800000000001</v>
      </c>
      <c r="G80" s="175">
        <f t="shared" si="22"/>
        <v>10242.800000000001</v>
      </c>
      <c r="H80" s="407"/>
      <c r="I80" s="175">
        <f t="shared" si="22"/>
        <v>10242.800000000001</v>
      </c>
      <c r="J80" s="175">
        <f t="shared" si="22"/>
        <v>10242.800000000001</v>
      </c>
      <c r="K80" s="483"/>
    </row>
    <row r="81" spans="1:13" ht="26.4" x14ac:dyDescent="0.25">
      <c r="A81" s="7"/>
      <c r="B81" s="7" t="s">
        <v>57</v>
      </c>
      <c r="C81" s="130" t="s">
        <v>56</v>
      </c>
      <c r="D81" s="175">
        <f>D82+D83</f>
        <v>10242.800000000001</v>
      </c>
      <c r="E81" s="407"/>
      <c r="F81" s="175">
        <f>F82+F83</f>
        <v>10242.800000000001</v>
      </c>
      <c r="G81" s="175">
        <f>G82+G83</f>
        <v>10242.800000000001</v>
      </c>
      <c r="H81" s="407"/>
      <c r="I81" s="175">
        <f>I82+I83</f>
        <v>10242.800000000001</v>
      </c>
      <c r="J81" s="175">
        <f>J82+J83</f>
        <v>10242.800000000001</v>
      </c>
      <c r="K81" s="483"/>
    </row>
    <row r="82" spans="1:13" x14ac:dyDescent="0.25">
      <c r="A82" s="7"/>
      <c r="B82" s="7"/>
      <c r="C82" s="130" t="s">
        <v>149</v>
      </c>
      <c r="D82" s="175">
        <v>9474.6</v>
      </c>
      <c r="E82" s="407"/>
      <c r="F82" s="175">
        <v>9474.6</v>
      </c>
      <c r="G82" s="175">
        <v>9474.6</v>
      </c>
      <c r="H82" s="407"/>
      <c r="I82" s="175">
        <v>9474.6</v>
      </c>
      <c r="J82" s="175">
        <v>9474.6</v>
      </c>
      <c r="K82" s="483"/>
    </row>
    <row r="83" spans="1:13" x14ac:dyDescent="0.25">
      <c r="A83" s="7"/>
      <c r="B83" s="7"/>
      <c r="C83" s="130" t="s">
        <v>148</v>
      </c>
      <c r="D83" s="175">
        <v>768.2</v>
      </c>
      <c r="E83" s="250"/>
      <c r="F83" s="175">
        <v>768.2</v>
      </c>
      <c r="G83" s="250">
        <v>768.2</v>
      </c>
      <c r="H83" s="250"/>
      <c r="I83" s="250">
        <v>768.2</v>
      </c>
      <c r="J83" s="175">
        <v>768.2</v>
      </c>
      <c r="K83" s="483"/>
    </row>
    <row r="84" spans="1:13" ht="52.8" x14ac:dyDescent="0.25">
      <c r="A84" s="153" t="s">
        <v>173</v>
      </c>
      <c r="B84" s="153"/>
      <c r="C84" s="163" t="s">
        <v>172</v>
      </c>
      <c r="D84" s="165">
        <f>D85+D87+D89+D91+D93+D95+D97</f>
        <v>28776.9</v>
      </c>
      <c r="E84" s="165">
        <f>E85+E87+E89+E91+E93+E95+E97</f>
        <v>427.5</v>
      </c>
      <c r="F84" s="165">
        <f>F85+F87+F89+F91+F93+F95+F97</f>
        <v>29204.400000000001</v>
      </c>
      <c r="G84" s="165">
        <f>G85+G87+G89+G91+G93+G95+G97</f>
        <v>27237.699999999997</v>
      </c>
      <c r="H84" s="406"/>
      <c r="I84" s="165">
        <f>I85+I87+I89+I91+I93+I95+I97</f>
        <v>27237.699999999997</v>
      </c>
      <c r="J84" s="165">
        <f>J85+J87+J89+J91+J93+J95+J97</f>
        <v>26320.799999999996</v>
      </c>
      <c r="K84" s="483"/>
    </row>
    <row r="85" spans="1:13" ht="26.4" x14ac:dyDescent="0.25">
      <c r="A85" s="7" t="s">
        <v>220</v>
      </c>
      <c r="B85" s="7"/>
      <c r="C85" s="130" t="s">
        <v>219</v>
      </c>
      <c r="D85" s="175">
        <f t="shared" ref="D85:J85" si="23">D86</f>
        <v>7277.9</v>
      </c>
      <c r="E85" s="175">
        <f t="shared" si="23"/>
        <v>295.3</v>
      </c>
      <c r="F85" s="175">
        <f t="shared" si="23"/>
        <v>7573.2</v>
      </c>
      <c r="G85" s="175">
        <f t="shared" si="23"/>
        <v>7208.4</v>
      </c>
      <c r="H85" s="407"/>
      <c r="I85" s="175">
        <f t="shared" si="23"/>
        <v>7208.4</v>
      </c>
      <c r="J85" s="175">
        <f t="shared" si="23"/>
        <v>7277.9</v>
      </c>
      <c r="K85" s="483"/>
    </row>
    <row r="86" spans="1:13" ht="26.4" x14ac:dyDescent="0.25">
      <c r="A86" s="7"/>
      <c r="B86" s="7" t="s">
        <v>57</v>
      </c>
      <c r="C86" s="130" t="s">
        <v>56</v>
      </c>
      <c r="D86" s="175">
        <v>7277.9</v>
      </c>
      <c r="E86" s="407">
        <v>295.3</v>
      </c>
      <c r="F86" s="175">
        <f>D86+295.3</f>
        <v>7573.2</v>
      </c>
      <c r="G86" s="175">
        <v>7208.4</v>
      </c>
      <c r="H86" s="407"/>
      <c r="I86" s="175">
        <v>7208.4</v>
      </c>
      <c r="J86" s="175">
        <v>7277.9</v>
      </c>
      <c r="K86" s="483"/>
      <c r="L86" s="483"/>
      <c r="M86" s="483"/>
    </row>
    <row r="87" spans="1:13" ht="39.6" x14ac:dyDescent="0.25">
      <c r="A87" s="7" t="s">
        <v>167</v>
      </c>
      <c r="B87" s="7"/>
      <c r="C87" s="130" t="s">
        <v>689</v>
      </c>
      <c r="D87" s="175">
        <f t="shared" ref="D87:J87" si="24">D88</f>
        <v>1502.2</v>
      </c>
      <c r="E87" s="175">
        <f t="shared" si="24"/>
        <v>132.19999999999999</v>
      </c>
      <c r="F87" s="175">
        <f t="shared" si="24"/>
        <v>1634.4</v>
      </c>
      <c r="G87" s="175">
        <f t="shared" si="24"/>
        <v>1451</v>
      </c>
      <c r="H87" s="407"/>
      <c r="I87" s="175">
        <f t="shared" si="24"/>
        <v>1451</v>
      </c>
      <c r="J87" s="175">
        <f t="shared" si="24"/>
        <v>1451</v>
      </c>
      <c r="K87" s="483"/>
      <c r="L87" s="483"/>
      <c r="M87" s="483"/>
    </row>
    <row r="88" spans="1:13" ht="26.4" x14ac:dyDescent="0.25">
      <c r="A88" s="7"/>
      <c r="B88" s="7" t="s">
        <v>57</v>
      </c>
      <c r="C88" s="130" t="s">
        <v>56</v>
      </c>
      <c r="D88" s="175">
        <v>1502.2</v>
      </c>
      <c r="E88" s="407">
        <v>132.19999999999999</v>
      </c>
      <c r="F88" s="175">
        <f>1502.2+132.2</f>
        <v>1634.4</v>
      </c>
      <c r="G88" s="175">
        <v>1451</v>
      </c>
      <c r="H88" s="407"/>
      <c r="I88" s="175">
        <v>1451</v>
      </c>
      <c r="J88" s="175">
        <v>1451</v>
      </c>
      <c r="K88" s="483"/>
      <c r="L88" s="483"/>
      <c r="M88" s="483"/>
    </row>
    <row r="89" spans="1:13" ht="39.6" x14ac:dyDescent="0.25">
      <c r="A89" s="7" t="s">
        <v>218</v>
      </c>
      <c r="B89" s="7"/>
      <c r="C89" s="130" t="s">
        <v>217</v>
      </c>
      <c r="D89" s="175">
        <f t="shared" ref="D89:J89" si="25">D90</f>
        <v>446.3</v>
      </c>
      <c r="E89" s="407"/>
      <c r="F89" s="175">
        <f t="shared" si="25"/>
        <v>446.3</v>
      </c>
      <c r="G89" s="175">
        <f t="shared" si="25"/>
        <v>446.3</v>
      </c>
      <c r="H89" s="407"/>
      <c r="I89" s="175">
        <f t="shared" si="25"/>
        <v>446.3</v>
      </c>
      <c r="J89" s="175">
        <f t="shared" si="25"/>
        <v>446.3</v>
      </c>
      <c r="K89" s="483"/>
      <c r="L89" s="483"/>
      <c r="M89" s="483"/>
    </row>
    <row r="90" spans="1:13" ht="26.4" x14ac:dyDescent="0.25">
      <c r="A90" s="7"/>
      <c r="B90" s="7" t="s">
        <v>57</v>
      </c>
      <c r="C90" s="130" t="s">
        <v>56</v>
      </c>
      <c r="D90" s="175">
        <v>446.3</v>
      </c>
      <c r="E90" s="407"/>
      <c r="F90" s="175">
        <v>446.3</v>
      </c>
      <c r="G90" s="175">
        <v>446.3</v>
      </c>
      <c r="H90" s="407"/>
      <c r="I90" s="175">
        <v>446.3</v>
      </c>
      <c r="J90" s="175">
        <v>446.3</v>
      </c>
      <c r="K90" s="483"/>
      <c r="L90" s="483"/>
      <c r="M90" s="483"/>
    </row>
    <row r="91" spans="1:13" ht="39.6" x14ac:dyDescent="0.25">
      <c r="A91" s="7" t="s">
        <v>216</v>
      </c>
      <c r="B91" s="7"/>
      <c r="C91" s="130" t="s">
        <v>215</v>
      </c>
      <c r="D91" s="175">
        <f t="shared" ref="D91:J91" si="26">D92</f>
        <v>105</v>
      </c>
      <c r="E91" s="407"/>
      <c r="F91" s="175">
        <f t="shared" si="26"/>
        <v>105</v>
      </c>
      <c r="G91" s="175">
        <f t="shared" si="26"/>
        <v>105</v>
      </c>
      <c r="H91" s="407"/>
      <c r="I91" s="175">
        <f t="shared" si="26"/>
        <v>105</v>
      </c>
      <c r="J91" s="175">
        <f t="shared" si="26"/>
        <v>105</v>
      </c>
      <c r="K91" s="483"/>
      <c r="L91" s="483"/>
      <c r="M91" s="483"/>
    </row>
    <row r="92" spans="1:13" ht="26.4" x14ac:dyDescent="0.25">
      <c r="A92" s="7"/>
      <c r="B92" s="7" t="s">
        <v>57</v>
      </c>
      <c r="C92" s="130" t="s">
        <v>56</v>
      </c>
      <c r="D92" s="175">
        <v>105</v>
      </c>
      <c r="E92" s="407"/>
      <c r="F92" s="175">
        <v>105</v>
      </c>
      <c r="G92" s="175">
        <v>105</v>
      </c>
      <c r="H92" s="407"/>
      <c r="I92" s="175">
        <v>105</v>
      </c>
      <c r="J92" s="175">
        <v>105</v>
      </c>
      <c r="K92" s="483"/>
      <c r="L92" s="483"/>
      <c r="M92" s="483"/>
    </row>
    <row r="93" spans="1:13" ht="26.4" x14ac:dyDescent="0.25">
      <c r="A93" s="70" t="s">
        <v>171</v>
      </c>
      <c r="B93" s="7"/>
      <c r="C93" s="130" t="s">
        <v>170</v>
      </c>
      <c r="D93" s="175">
        <f t="shared" ref="D93:J93" si="27">D94</f>
        <v>4249.5</v>
      </c>
      <c r="E93" s="407"/>
      <c r="F93" s="175">
        <f t="shared" si="27"/>
        <v>4249.5</v>
      </c>
      <c r="G93" s="175">
        <f t="shared" si="27"/>
        <v>3853.7</v>
      </c>
      <c r="H93" s="407"/>
      <c r="I93" s="175">
        <f t="shared" si="27"/>
        <v>3853.7</v>
      </c>
      <c r="J93" s="175">
        <f t="shared" si="27"/>
        <v>3853.7</v>
      </c>
      <c r="K93" s="483"/>
    </row>
    <row r="94" spans="1:13" ht="26.4" x14ac:dyDescent="0.25">
      <c r="A94" s="70"/>
      <c r="B94" s="7" t="s">
        <v>57</v>
      </c>
      <c r="C94" s="130" t="s">
        <v>56</v>
      </c>
      <c r="D94" s="175">
        <v>4249.5</v>
      </c>
      <c r="E94" s="407"/>
      <c r="F94" s="175">
        <v>4249.5</v>
      </c>
      <c r="G94" s="175">
        <v>3853.7</v>
      </c>
      <c r="H94" s="407"/>
      <c r="I94" s="175">
        <v>3853.7</v>
      </c>
      <c r="J94" s="175">
        <v>3853.7</v>
      </c>
      <c r="K94" s="483"/>
    </row>
    <row r="95" spans="1:13" ht="26.4" x14ac:dyDescent="0.25">
      <c r="A95" s="70" t="s">
        <v>169</v>
      </c>
      <c r="B95" s="7"/>
      <c r="C95" s="130" t="s">
        <v>168</v>
      </c>
      <c r="D95" s="175">
        <f t="shared" ref="D95:J95" si="28">D96</f>
        <v>2895.5</v>
      </c>
      <c r="E95" s="407"/>
      <c r="F95" s="175">
        <f t="shared" si="28"/>
        <v>2895.5</v>
      </c>
      <c r="G95" s="175">
        <f t="shared" si="28"/>
        <v>2541.3000000000002</v>
      </c>
      <c r="H95" s="407"/>
      <c r="I95" s="175">
        <f t="shared" si="28"/>
        <v>2541.3000000000002</v>
      </c>
      <c r="J95" s="175">
        <f t="shared" si="28"/>
        <v>2541.3000000000002</v>
      </c>
      <c r="K95" s="483"/>
    </row>
    <row r="96" spans="1:13" ht="26.4" x14ac:dyDescent="0.25">
      <c r="A96" s="70"/>
      <c r="B96" s="7" t="s">
        <v>57</v>
      </c>
      <c r="C96" s="130" t="s">
        <v>56</v>
      </c>
      <c r="D96" s="246">
        <v>2895.5</v>
      </c>
      <c r="E96" s="409"/>
      <c r="F96" s="246">
        <v>2895.5</v>
      </c>
      <c r="G96" s="246">
        <v>2541.3000000000002</v>
      </c>
      <c r="H96" s="409"/>
      <c r="I96" s="246">
        <v>2541.3000000000002</v>
      </c>
      <c r="J96" s="246">
        <v>2541.3000000000002</v>
      </c>
      <c r="K96" s="483"/>
    </row>
    <row r="97" spans="1:11" ht="52.8" x14ac:dyDescent="0.25">
      <c r="A97" s="7" t="s">
        <v>213</v>
      </c>
      <c r="B97" s="7"/>
      <c r="C97" s="130" t="s">
        <v>212</v>
      </c>
      <c r="D97" s="175">
        <f t="shared" ref="D97:J97" si="29">D98</f>
        <v>12300.5</v>
      </c>
      <c r="E97" s="407"/>
      <c r="F97" s="175">
        <f t="shared" si="29"/>
        <v>12300.5</v>
      </c>
      <c r="G97" s="175">
        <f t="shared" si="29"/>
        <v>11632</v>
      </c>
      <c r="H97" s="407"/>
      <c r="I97" s="175">
        <f t="shared" si="29"/>
        <v>11632</v>
      </c>
      <c r="J97" s="175">
        <f t="shared" si="29"/>
        <v>10645.6</v>
      </c>
      <c r="K97" s="483"/>
    </row>
    <row r="98" spans="1:11" ht="26.4" x14ac:dyDescent="0.25">
      <c r="A98" s="7"/>
      <c r="B98" s="7" t="s">
        <v>57</v>
      </c>
      <c r="C98" s="130" t="s">
        <v>56</v>
      </c>
      <c r="D98" s="246">
        <v>12300.5</v>
      </c>
      <c r="E98" s="409"/>
      <c r="F98" s="246">
        <v>12300.5</v>
      </c>
      <c r="G98" s="246">
        <v>11632</v>
      </c>
      <c r="H98" s="409"/>
      <c r="I98" s="246">
        <v>11632</v>
      </c>
      <c r="J98" s="246">
        <v>10645.6</v>
      </c>
      <c r="K98" s="483"/>
    </row>
    <row r="99" spans="1:11" ht="26.4" x14ac:dyDescent="0.25">
      <c r="A99" s="216" t="s">
        <v>658</v>
      </c>
      <c r="B99" s="217"/>
      <c r="C99" s="218" t="s">
        <v>728</v>
      </c>
      <c r="D99" s="165">
        <f>D100+D102+D104</f>
        <v>22302.8269</v>
      </c>
      <c r="E99" s="406"/>
      <c r="F99" s="165">
        <f>F100+F102+F104</f>
        <v>22302.8269</v>
      </c>
      <c r="G99" s="165">
        <f>G100+G102+G104</f>
        <v>22246.061099999999</v>
      </c>
      <c r="H99" s="406"/>
      <c r="I99" s="165">
        <f>I100+I102+I104</f>
        <v>22246.061099999999</v>
      </c>
      <c r="J99" s="165">
        <f>J100+J102+J104</f>
        <v>22252.0988</v>
      </c>
      <c r="K99" s="483"/>
    </row>
    <row r="100" spans="1:11" ht="52.8" x14ac:dyDescent="0.25">
      <c r="A100" s="199" t="s">
        <v>660</v>
      </c>
      <c r="B100" s="199"/>
      <c r="C100" s="242" t="s">
        <v>690</v>
      </c>
      <c r="D100" s="175">
        <f t="shared" ref="D100:J100" si="30">D101</f>
        <v>416.92689999999999</v>
      </c>
      <c r="E100" s="407"/>
      <c r="F100" s="175">
        <f t="shared" si="30"/>
        <v>416.92689999999999</v>
      </c>
      <c r="G100" s="175">
        <f t="shared" si="30"/>
        <v>540.36109999999996</v>
      </c>
      <c r="H100" s="407"/>
      <c r="I100" s="175">
        <f t="shared" si="30"/>
        <v>540.36109999999996</v>
      </c>
      <c r="J100" s="175">
        <f t="shared" si="30"/>
        <v>546.79880000000003</v>
      </c>
      <c r="K100" s="483"/>
    </row>
    <row r="101" spans="1:11" ht="26.4" x14ac:dyDescent="0.25">
      <c r="A101" s="7"/>
      <c r="B101" s="7" t="s">
        <v>57</v>
      </c>
      <c r="C101" s="130" t="s">
        <v>56</v>
      </c>
      <c r="D101" s="175">
        <v>416.92689999999999</v>
      </c>
      <c r="E101" s="407"/>
      <c r="F101" s="175">
        <v>416.92689999999999</v>
      </c>
      <c r="G101" s="175">
        <v>540.36109999999996</v>
      </c>
      <c r="H101" s="407"/>
      <c r="I101" s="175">
        <v>540.36109999999996</v>
      </c>
      <c r="J101" s="175">
        <v>546.79880000000003</v>
      </c>
      <c r="K101" s="483"/>
    </row>
    <row r="102" spans="1:11" ht="66" x14ac:dyDescent="0.25">
      <c r="A102" s="199" t="s">
        <v>712</v>
      </c>
      <c r="B102" s="7"/>
      <c r="C102" s="130" t="s">
        <v>713</v>
      </c>
      <c r="D102" s="175">
        <f>D103</f>
        <v>267</v>
      </c>
      <c r="E102" s="407"/>
      <c r="F102" s="175">
        <f>F103</f>
        <v>267</v>
      </c>
      <c r="G102" s="175">
        <f>G103</f>
        <v>267</v>
      </c>
      <c r="H102" s="407"/>
      <c r="I102" s="175">
        <f>I103</f>
        <v>267</v>
      </c>
      <c r="J102" s="175">
        <f>J103</f>
        <v>267</v>
      </c>
      <c r="K102" s="483"/>
    </row>
    <row r="103" spans="1:11" ht="27.75" customHeight="1" x14ac:dyDescent="0.25">
      <c r="A103" s="7"/>
      <c r="B103" s="7" t="s">
        <v>57</v>
      </c>
      <c r="C103" s="130" t="s">
        <v>56</v>
      </c>
      <c r="D103" s="246">
        <v>267</v>
      </c>
      <c r="E103" s="409"/>
      <c r="F103" s="246">
        <v>267</v>
      </c>
      <c r="G103" s="246">
        <v>267</v>
      </c>
      <c r="H103" s="409"/>
      <c r="I103" s="246">
        <v>267</v>
      </c>
      <c r="J103" s="246">
        <v>267</v>
      </c>
      <c r="K103" s="483"/>
    </row>
    <row r="104" spans="1:11" ht="52.8" x14ac:dyDescent="0.25">
      <c r="A104" s="7" t="s">
        <v>752</v>
      </c>
      <c r="B104" s="7"/>
      <c r="C104" s="130" t="s">
        <v>214</v>
      </c>
      <c r="D104" s="175">
        <f t="shared" ref="D104:J104" si="31">D105</f>
        <v>21618.9</v>
      </c>
      <c r="E104" s="407"/>
      <c r="F104" s="175">
        <f t="shared" si="31"/>
        <v>21618.9</v>
      </c>
      <c r="G104" s="175">
        <f t="shared" si="31"/>
        <v>21438.7</v>
      </c>
      <c r="H104" s="407"/>
      <c r="I104" s="175">
        <f t="shared" si="31"/>
        <v>21438.7</v>
      </c>
      <c r="J104" s="175">
        <f t="shared" si="31"/>
        <v>21438.3</v>
      </c>
      <c r="K104" s="483"/>
    </row>
    <row r="105" spans="1:11" ht="26.4" x14ac:dyDescent="0.25">
      <c r="A105" s="7"/>
      <c r="B105" s="7" t="s">
        <v>57</v>
      </c>
      <c r="C105" s="130" t="s">
        <v>56</v>
      </c>
      <c r="D105" s="175">
        <v>21618.9</v>
      </c>
      <c r="E105" s="407"/>
      <c r="F105" s="175">
        <v>21618.9</v>
      </c>
      <c r="G105" s="175">
        <v>21438.7</v>
      </c>
      <c r="H105" s="407"/>
      <c r="I105" s="175">
        <v>21438.7</v>
      </c>
      <c r="J105" s="175">
        <v>21438.3</v>
      </c>
      <c r="K105" s="483"/>
    </row>
    <row r="106" spans="1:11" ht="26.4" x14ac:dyDescent="0.25">
      <c r="A106" s="30" t="s">
        <v>201</v>
      </c>
      <c r="B106" s="30"/>
      <c r="C106" s="129" t="s">
        <v>200</v>
      </c>
      <c r="D106" s="28">
        <f t="shared" ref="D106:J106" si="32">D107</f>
        <v>43221</v>
      </c>
      <c r="E106" s="410"/>
      <c r="F106" s="28">
        <f t="shared" si="32"/>
        <v>43221</v>
      </c>
      <c r="G106" s="28">
        <f t="shared" si="32"/>
        <v>43636.800000000003</v>
      </c>
      <c r="H106" s="410"/>
      <c r="I106" s="28">
        <f t="shared" si="32"/>
        <v>43636.800000000003</v>
      </c>
      <c r="J106" s="28">
        <f t="shared" si="32"/>
        <v>44592.500000000007</v>
      </c>
      <c r="K106" s="483"/>
    </row>
    <row r="107" spans="1:11" ht="39.6" x14ac:dyDescent="0.25">
      <c r="A107" s="153" t="s">
        <v>199</v>
      </c>
      <c r="B107" s="160"/>
      <c r="C107" s="163" t="s">
        <v>198</v>
      </c>
      <c r="D107" s="155">
        <f>D108+D110+D112+D116+D118+D120+D114</f>
        <v>43221</v>
      </c>
      <c r="E107" s="411"/>
      <c r="F107" s="155">
        <f>F108+F110+F112+F116+F118+F120+F114</f>
        <v>43221</v>
      </c>
      <c r="G107" s="155">
        <f>G108+G110+G112+G116+G118+G120</f>
        <v>43636.800000000003</v>
      </c>
      <c r="H107" s="411"/>
      <c r="I107" s="155">
        <f>I108+I110+I112+I116+I118+I120</f>
        <v>43636.800000000003</v>
      </c>
      <c r="J107" s="155">
        <f>J108+J110+J112+J116+J118+J120</f>
        <v>44592.500000000007</v>
      </c>
      <c r="K107" s="483"/>
    </row>
    <row r="108" spans="1:11" ht="52.8" x14ac:dyDescent="0.25">
      <c r="A108" s="7" t="s">
        <v>205</v>
      </c>
      <c r="B108" s="60"/>
      <c r="C108" s="130" t="s">
        <v>204</v>
      </c>
      <c r="D108" s="175">
        <f t="shared" ref="D108:J108" si="33">D109</f>
        <v>26836.3</v>
      </c>
      <c r="E108" s="407"/>
      <c r="F108" s="175">
        <f t="shared" si="33"/>
        <v>26836.3</v>
      </c>
      <c r="G108" s="175">
        <f t="shared" si="33"/>
        <v>27848.5</v>
      </c>
      <c r="H108" s="407"/>
      <c r="I108" s="175">
        <f t="shared" si="33"/>
        <v>27848.5</v>
      </c>
      <c r="J108" s="175">
        <f t="shared" si="33"/>
        <v>27848.5</v>
      </c>
      <c r="K108" s="483"/>
    </row>
    <row r="109" spans="1:11" ht="26.4" x14ac:dyDescent="0.25">
      <c r="A109" s="7"/>
      <c r="B109" s="7" t="s">
        <v>57</v>
      </c>
      <c r="C109" s="130" t="s">
        <v>56</v>
      </c>
      <c r="D109" s="175">
        <f>27848.5-1012.2</f>
        <v>26836.3</v>
      </c>
      <c r="E109" s="407"/>
      <c r="F109" s="175">
        <f>27848.5-1012.2</f>
        <v>26836.3</v>
      </c>
      <c r="G109" s="175">
        <v>27848.5</v>
      </c>
      <c r="H109" s="407"/>
      <c r="I109" s="175">
        <v>27848.5</v>
      </c>
      <c r="J109" s="175">
        <v>27848.5</v>
      </c>
      <c r="K109" s="483"/>
    </row>
    <row r="110" spans="1:11" ht="52.8" x14ac:dyDescent="0.25">
      <c r="A110" s="7" t="s">
        <v>203</v>
      </c>
      <c r="B110" s="60"/>
      <c r="C110" s="130" t="s">
        <v>202</v>
      </c>
      <c r="D110" s="175">
        <f t="shared" ref="D110:J110" si="34">D111</f>
        <v>15344.8</v>
      </c>
      <c r="E110" s="407"/>
      <c r="F110" s="175">
        <f t="shared" si="34"/>
        <v>15344.8</v>
      </c>
      <c r="G110" s="175">
        <f t="shared" si="34"/>
        <v>15788.3</v>
      </c>
      <c r="H110" s="407"/>
      <c r="I110" s="175">
        <f t="shared" si="34"/>
        <v>15788.3</v>
      </c>
      <c r="J110" s="175">
        <f t="shared" si="34"/>
        <v>15788.3</v>
      </c>
      <c r="K110" s="483"/>
    </row>
    <row r="111" spans="1:11" ht="26.4" x14ac:dyDescent="0.25">
      <c r="A111" s="7"/>
      <c r="B111" s="7" t="s">
        <v>57</v>
      </c>
      <c r="C111" s="130" t="s">
        <v>56</v>
      </c>
      <c r="D111" s="175">
        <v>15344.8</v>
      </c>
      <c r="E111" s="407"/>
      <c r="F111" s="175">
        <v>15344.8</v>
      </c>
      <c r="G111" s="175">
        <v>15788.3</v>
      </c>
      <c r="H111" s="407"/>
      <c r="I111" s="175">
        <v>15788.3</v>
      </c>
      <c r="J111" s="175">
        <v>15788.3</v>
      </c>
      <c r="K111" s="483"/>
    </row>
    <row r="112" spans="1:11" x14ac:dyDescent="0.25">
      <c r="A112" s="7" t="s">
        <v>197</v>
      </c>
      <c r="B112" s="7"/>
      <c r="C112" s="130" t="s">
        <v>691</v>
      </c>
      <c r="D112" s="175">
        <f t="shared" ref="D112:J112" si="35">D113</f>
        <v>463.3</v>
      </c>
      <c r="E112" s="407"/>
      <c r="F112" s="175">
        <f t="shared" si="35"/>
        <v>463.3</v>
      </c>
      <c r="G112" s="175">
        <f t="shared" si="35"/>
        <v>0</v>
      </c>
      <c r="H112" s="407"/>
      <c r="I112" s="175">
        <f t="shared" si="35"/>
        <v>0</v>
      </c>
      <c r="J112" s="175">
        <f t="shared" si="35"/>
        <v>463.3</v>
      </c>
      <c r="K112" s="483"/>
    </row>
    <row r="113" spans="1:11" ht="25.5" customHeight="1" x14ac:dyDescent="0.25">
      <c r="A113" s="7"/>
      <c r="B113" s="7" t="s">
        <v>57</v>
      </c>
      <c r="C113" s="130" t="s">
        <v>56</v>
      </c>
      <c r="D113" s="175">
        <v>463.3</v>
      </c>
      <c r="E113" s="407"/>
      <c r="F113" s="175">
        <v>463.3</v>
      </c>
      <c r="G113" s="175">
        <v>0</v>
      </c>
      <c r="H113" s="407"/>
      <c r="I113" s="175">
        <v>0</v>
      </c>
      <c r="J113" s="175">
        <v>463.3</v>
      </c>
      <c r="K113" s="483"/>
    </row>
    <row r="114" spans="1:11" ht="25.5" customHeight="1" x14ac:dyDescent="0.25">
      <c r="A114" s="226" t="s">
        <v>764</v>
      </c>
      <c r="B114" s="226"/>
      <c r="C114" s="261" t="s">
        <v>765</v>
      </c>
      <c r="D114" s="248">
        <v>84.2</v>
      </c>
      <c r="E114" s="407"/>
      <c r="F114" s="248">
        <v>84.2</v>
      </c>
      <c r="G114" s="248"/>
      <c r="H114" s="407"/>
      <c r="I114" s="248"/>
      <c r="J114" s="248"/>
      <c r="K114" s="483"/>
    </row>
    <row r="115" spans="1:11" ht="25.5" customHeight="1" x14ac:dyDescent="0.25">
      <c r="A115" s="226"/>
      <c r="B115" s="226" t="s">
        <v>57</v>
      </c>
      <c r="C115" s="261" t="s">
        <v>56</v>
      </c>
      <c r="D115" s="248">
        <v>84.2</v>
      </c>
      <c r="E115" s="407"/>
      <c r="F115" s="248">
        <v>84.2</v>
      </c>
      <c r="G115" s="248"/>
      <c r="H115" s="407"/>
      <c r="I115" s="248"/>
      <c r="J115" s="248"/>
      <c r="K115" s="483"/>
    </row>
    <row r="116" spans="1:11" ht="26.4" x14ac:dyDescent="0.25">
      <c r="A116" s="7" t="s">
        <v>196</v>
      </c>
      <c r="B116" s="7"/>
      <c r="C116" s="130" t="s">
        <v>195</v>
      </c>
      <c r="D116" s="175">
        <f t="shared" ref="D116:J116" si="36">D117</f>
        <v>96.8</v>
      </c>
      <c r="E116" s="407"/>
      <c r="F116" s="175">
        <f t="shared" si="36"/>
        <v>96.8</v>
      </c>
      <c r="G116" s="175">
        <f t="shared" si="36"/>
        <v>0</v>
      </c>
      <c r="H116" s="407"/>
      <c r="I116" s="175">
        <f t="shared" si="36"/>
        <v>0</v>
      </c>
      <c r="J116" s="175">
        <f t="shared" si="36"/>
        <v>96.8</v>
      </c>
      <c r="K116" s="483"/>
    </row>
    <row r="117" spans="1:11" ht="24.75" customHeight="1" x14ac:dyDescent="0.25">
      <c r="A117" s="7"/>
      <c r="B117" s="7" t="s">
        <v>57</v>
      </c>
      <c r="C117" s="130" t="s">
        <v>56</v>
      </c>
      <c r="D117" s="175">
        <v>96.8</v>
      </c>
      <c r="E117" s="407"/>
      <c r="F117" s="175">
        <v>96.8</v>
      </c>
      <c r="G117" s="175">
        <v>0</v>
      </c>
      <c r="H117" s="407"/>
      <c r="I117" s="175">
        <v>0</v>
      </c>
      <c r="J117" s="175">
        <v>96.8</v>
      </c>
      <c r="K117" s="483"/>
    </row>
    <row r="118" spans="1:11" ht="52.8" x14ac:dyDescent="0.25">
      <c r="A118" s="7" t="s">
        <v>194</v>
      </c>
      <c r="B118" s="7"/>
      <c r="C118" s="130" t="s">
        <v>193</v>
      </c>
      <c r="D118" s="175">
        <f t="shared" ref="D118:J118" si="37">D119</f>
        <v>134.4</v>
      </c>
      <c r="E118" s="407"/>
      <c r="F118" s="175">
        <f t="shared" si="37"/>
        <v>134.4</v>
      </c>
      <c r="G118" s="175">
        <f t="shared" si="37"/>
        <v>0</v>
      </c>
      <c r="H118" s="407"/>
      <c r="I118" s="175">
        <f t="shared" si="37"/>
        <v>0</v>
      </c>
      <c r="J118" s="175">
        <f t="shared" si="37"/>
        <v>134.4</v>
      </c>
      <c r="K118" s="483"/>
    </row>
    <row r="119" spans="1:11" ht="24.75" customHeight="1" x14ac:dyDescent="0.25">
      <c r="A119" s="7"/>
      <c r="B119" s="7" t="s">
        <v>57</v>
      </c>
      <c r="C119" s="130" t="s">
        <v>56</v>
      </c>
      <c r="D119" s="175">
        <v>134.4</v>
      </c>
      <c r="E119" s="407"/>
      <c r="F119" s="175">
        <v>134.4</v>
      </c>
      <c r="G119" s="175">
        <v>0</v>
      </c>
      <c r="H119" s="407"/>
      <c r="I119" s="175">
        <v>0</v>
      </c>
      <c r="J119" s="175">
        <v>134.4</v>
      </c>
      <c r="K119" s="483"/>
    </row>
    <row r="120" spans="1:11" ht="26.4" x14ac:dyDescent="0.25">
      <c r="A120" s="7" t="s">
        <v>192</v>
      </c>
      <c r="B120" s="7"/>
      <c r="C120" s="130" t="s">
        <v>692</v>
      </c>
      <c r="D120" s="175">
        <f t="shared" ref="D120:J120" si="38">D121</f>
        <v>261.2</v>
      </c>
      <c r="E120" s="407"/>
      <c r="F120" s="175">
        <f t="shared" si="38"/>
        <v>261.2</v>
      </c>
      <c r="G120" s="175">
        <f t="shared" si="38"/>
        <v>0</v>
      </c>
      <c r="H120" s="407"/>
      <c r="I120" s="175">
        <f t="shared" si="38"/>
        <v>0</v>
      </c>
      <c r="J120" s="175">
        <f t="shared" si="38"/>
        <v>261.2</v>
      </c>
      <c r="K120" s="483"/>
    </row>
    <row r="121" spans="1:11" ht="27.75" customHeight="1" x14ac:dyDescent="0.25">
      <c r="A121" s="7"/>
      <c r="B121" s="7" t="s">
        <v>57</v>
      </c>
      <c r="C121" s="130" t="s">
        <v>56</v>
      </c>
      <c r="D121" s="175">
        <v>261.2</v>
      </c>
      <c r="E121" s="407"/>
      <c r="F121" s="175">
        <v>261.2</v>
      </c>
      <c r="G121" s="175">
        <v>0</v>
      </c>
      <c r="H121" s="407"/>
      <c r="I121" s="175">
        <v>0</v>
      </c>
      <c r="J121" s="175">
        <v>261.2</v>
      </c>
      <c r="K121" s="483"/>
    </row>
    <row r="122" spans="1:11" ht="26.4" x14ac:dyDescent="0.25">
      <c r="A122" s="30" t="s">
        <v>126</v>
      </c>
      <c r="B122" s="30"/>
      <c r="C122" s="129" t="s">
        <v>125</v>
      </c>
      <c r="D122" s="28">
        <f>D123</f>
        <v>6824.5</v>
      </c>
      <c r="E122" s="410"/>
      <c r="F122" s="28">
        <f>F123</f>
        <v>6824.5</v>
      </c>
      <c r="G122" s="28">
        <f>G123</f>
        <v>4608.1000000000004</v>
      </c>
      <c r="H122" s="410"/>
      <c r="I122" s="28">
        <f>I123</f>
        <v>4608.1000000000004</v>
      </c>
      <c r="J122" s="28">
        <f>J123</f>
        <v>6747.9000000000005</v>
      </c>
      <c r="K122" s="483"/>
    </row>
    <row r="123" spans="1:11" ht="39.6" x14ac:dyDescent="0.25">
      <c r="A123" s="153" t="s">
        <v>124</v>
      </c>
      <c r="B123" s="153"/>
      <c r="C123" s="163" t="s">
        <v>123</v>
      </c>
      <c r="D123" s="155">
        <f>D124+D126+D128</f>
        <v>6824.5</v>
      </c>
      <c r="E123" s="411"/>
      <c r="F123" s="155">
        <f>F124+F126+F128</f>
        <v>6824.5</v>
      </c>
      <c r="G123" s="155">
        <f>G124+G126+G128</f>
        <v>4608.1000000000004</v>
      </c>
      <c r="H123" s="411"/>
      <c r="I123" s="155">
        <f>I124+I126+I128</f>
        <v>4608.1000000000004</v>
      </c>
      <c r="J123" s="155">
        <f>J124+J126+J128</f>
        <v>6747.9000000000005</v>
      </c>
      <c r="K123" s="483"/>
    </row>
    <row r="124" spans="1:11" ht="26.4" x14ac:dyDescent="0.25">
      <c r="A124" s="7" t="s">
        <v>191</v>
      </c>
      <c r="B124" s="7"/>
      <c r="C124" s="130" t="s">
        <v>625</v>
      </c>
      <c r="D124" s="175">
        <f t="shared" ref="D124:J124" si="39">D125</f>
        <v>46.5</v>
      </c>
      <c r="E124" s="407"/>
      <c r="F124" s="175">
        <f t="shared" si="39"/>
        <v>46.5</v>
      </c>
      <c r="G124" s="175">
        <f t="shared" si="39"/>
        <v>0</v>
      </c>
      <c r="H124" s="407"/>
      <c r="I124" s="175">
        <f t="shared" si="39"/>
        <v>0</v>
      </c>
      <c r="J124" s="175">
        <f t="shared" si="39"/>
        <v>46.5</v>
      </c>
      <c r="K124" s="483"/>
    </row>
    <row r="125" spans="1:11" ht="25.5" customHeight="1" x14ac:dyDescent="0.25">
      <c r="A125" s="7"/>
      <c r="B125" s="7" t="s">
        <v>57</v>
      </c>
      <c r="C125" s="130" t="s">
        <v>56</v>
      </c>
      <c r="D125" s="175">
        <v>46.5</v>
      </c>
      <c r="E125" s="407"/>
      <c r="F125" s="175">
        <v>46.5</v>
      </c>
      <c r="G125" s="175">
        <v>0</v>
      </c>
      <c r="H125" s="407"/>
      <c r="I125" s="175">
        <v>0</v>
      </c>
      <c r="J125" s="175">
        <v>46.5</v>
      </c>
      <c r="K125" s="483"/>
    </row>
    <row r="126" spans="1:11" ht="36.75" customHeight="1" x14ac:dyDescent="0.25">
      <c r="A126" s="7" t="s">
        <v>122</v>
      </c>
      <c r="B126" s="7"/>
      <c r="C126" s="130" t="s">
        <v>756</v>
      </c>
      <c r="D126" s="175">
        <f t="shared" ref="D126:J126" si="40">D127</f>
        <v>2169.9</v>
      </c>
      <c r="E126" s="407"/>
      <c r="F126" s="175">
        <f t="shared" si="40"/>
        <v>2169.9</v>
      </c>
      <c r="G126" s="175">
        <f t="shared" si="40"/>
        <v>0</v>
      </c>
      <c r="H126" s="407"/>
      <c r="I126" s="175">
        <f t="shared" si="40"/>
        <v>0</v>
      </c>
      <c r="J126" s="175">
        <f t="shared" si="40"/>
        <v>2093.3000000000002</v>
      </c>
      <c r="K126" s="483"/>
    </row>
    <row r="127" spans="1:11" ht="25.5" customHeight="1" x14ac:dyDescent="0.25">
      <c r="A127" s="7"/>
      <c r="B127" s="7" t="s">
        <v>57</v>
      </c>
      <c r="C127" s="130" t="s">
        <v>56</v>
      </c>
      <c r="D127" s="175">
        <v>2169.9</v>
      </c>
      <c r="E127" s="407"/>
      <c r="F127" s="175">
        <v>2169.9</v>
      </c>
      <c r="G127" s="175">
        <v>0</v>
      </c>
      <c r="H127" s="407"/>
      <c r="I127" s="175">
        <v>0</v>
      </c>
      <c r="J127" s="175">
        <v>2093.3000000000002</v>
      </c>
      <c r="K127" s="483"/>
    </row>
    <row r="128" spans="1:11" ht="52.8" x14ac:dyDescent="0.25">
      <c r="A128" s="7" t="s">
        <v>190</v>
      </c>
      <c r="B128" s="7"/>
      <c r="C128" s="194" t="s">
        <v>189</v>
      </c>
      <c r="D128" s="175">
        <f>D129+D130+D131</f>
        <v>4608.1000000000004</v>
      </c>
      <c r="E128" s="407"/>
      <c r="F128" s="175">
        <f>F129+F130+F131</f>
        <v>4608.1000000000004</v>
      </c>
      <c r="G128" s="175">
        <f>G129+G130+G131</f>
        <v>4608.1000000000004</v>
      </c>
      <c r="H128" s="407"/>
      <c r="I128" s="175">
        <f>I129+I130+I131</f>
        <v>4608.1000000000004</v>
      </c>
      <c r="J128" s="175">
        <f>J129+J130+J131</f>
        <v>4608.1000000000004</v>
      </c>
      <c r="K128" s="483"/>
    </row>
    <row r="129" spans="1:13" x14ac:dyDescent="0.25">
      <c r="A129" s="7"/>
      <c r="B129" s="7" t="s">
        <v>71</v>
      </c>
      <c r="C129" s="130" t="s">
        <v>70</v>
      </c>
      <c r="D129" s="175">
        <v>0</v>
      </c>
      <c r="E129" s="407"/>
      <c r="F129" s="175">
        <v>0</v>
      </c>
      <c r="G129" s="175">
        <v>0</v>
      </c>
      <c r="H129" s="407"/>
      <c r="I129" s="175">
        <v>0</v>
      </c>
      <c r="J129" s="175">
        <v>0</v>
      </c>
      <c r="K129" s="483"/>
    </row>
    <row r="130" spans="1:13" ht="26.4" x14ac:dyDescent="0.25">
      <c r="A130" s="7"/>
      <c r="B130" s="7" t="s">
        <v>57</v>
      </c>
      <c r="C130" s="130" t="s">
        <v>56</v>
      </c>
      <c r="D130" s="175">
        <v>4608.1000000000004</v>
      </c>
      <c r="E130" s="407"/>
      <c r="F130" s="175">
        <v>4608.1000000000004</v>
      </c>
      <c r="G130" s="175">
        <v>4608.1000000000004</v>
      </c>
      <c r="H130" s="407"/>
      <c r="I130" s="175">
        <v>4608.1000000000004</v>
      </c>
      <c r="J130" s="175">
        <v>4608.1000000000004</v>
      </c>
      <c r="K130" s="483"/>
    </row>
    <row r="131" spans="1:13" x14ac:dyDescent="0.25">
      <c r="A131" s="7"/>
      <c r="B131" s="7" t="s">
        <v>22</v>
      </c>
      <c r="C131" s="130" t="s">
        <v>21</v>
      </c>
      <c r="D131" s="176"/>
      <c r="E131" s="408"/>
      <c r="F131" s="176"/>
      <c r="G131" s="176"/>
      <c r="H131" s="408"/>
      <c r="I131" s="176"/>
      <c r="J131" s="176"/>
      <c r="K131" s="483"/>
    </row>
    <row r="132" spans="1:13" x14ac:dyDescent="0.25">
      <c r="A132" s="30" t="s">
        <v>77</v>
      </c>
      <c r="B132" s="30"/>
      <c r="C132" s="129" t="s">
        <v>76</v>
      </c>
      <c r="D132" s="28">
        <f>D133+D138</f>
        <v>26147.787</v>
      </c>
      <c r="E132" s="410"/>
      <c r="F132" s="28">
        <f>F133+F138</f>
        <v>26147.787</v>
      </c>
      <c r="G132" s="28">
        <f>G133+G138</f>
        <v>25719.356</v>
      </c>
      <c r="H132" s="410"/>
      <c r="I132" s="28">
        <f>I133+I138</f>
        <v>25719.356</v>
      </c>
      <c r="J132" s="28">
        <f>J133+J138</f>
        <v>26388.667000000001</v>
      </c>
      <c r="K132" s="483"/>
    </row>
    <row r="133" spans="1:13" ht="26.4" x14ac:dyDescent="0.25">
      <c r="A133" s="153" t="s">
        <v>188</v>
      </c>
      <c r="B133" s="153"/>
      <c r="C133" s="163" t="s">
        <v>693</v>
      </c>
      <c r="D133" s="155">
        <f>D134+D136</f>
        <v>496.7</v>
      </c>
      <c r="E133" s="411"/>
      <c r="F133" s="155">
        <f>F134+F136</f>
        <v>496.7</v>
      </c>
      <c r="G133" s="155">
        <f>G134+G136</f>
        <v>0</v>
      </c>
      <c r="H133" s="411"/>
      <c r="I133" s="155">
        <f>I134+I136</f>
        <v>0</v>
      </c>
      <c r="J133" s="155">
        <f>J134+J136</f>
        <v>496.7</v>
      </c>
      <c r="K133" s="483"/>
    </row>
    <row r="134" spans="1:13" ht="26.4" x14ac:dyDescent="0.25">
      <c r="A134" s="72" t="s">
        <v>186</v>
      </c>
      <c r="B134" s="72"/>
      <c r="C134" s="71" t="s">
        <v>694</v>
      </c>
      <c r="D134" s="175">
        <f t="shared" ref="D134:J134" si="41">D135</f>
        <v>341.9</v>
      </c>
      <c r="E134" s="407"/>
      <c r="F134" s="175">
        <f t="shared" si="41"/>
        <v>341.9</v>
      </c>
      <c r="G134" s="175">
        <f t="shared" si="41"/>
        <v>0</v>
      </c>
      <c r="H134" s="407"/>
      <c r="I134" s="175">
        <f t="shared" si="41"/>
        <v>0</v>
      </c>
      <c r="J134" s="175">
        <f t="shared" si="41"/>
        <v>341.9</v>
      </c>
      <c r="K134" s="483"/>
    </row>
    <row r="135" spans="1:13" ht="25.5" customHeight="1" x14ac:dyDescent="0.25">
      <c r="A135" s="72"/>
      <c r="B135" s="72" t="s">
        <v>57</v>
      </c>
      <c r="C135" s="71" t="s">
        <v>56</v>
      </c>
      <c r="D135" s="175">
        <v>341.9</v>
      </c>
      <c r="E135" s="407"/>
      <c r="F135" s="175">
        <v>341.9</v>
      </c>
      <c r="G135" s="175">
        <v>0</v>
      </c>
      <c r="H135" s="407"/>
      <c r="I135" s="175">
        <v>0</v>
      </c>
      <c r="J135" s="175">
        <v>341.9</v>
      </c>
      <c r="K135" s="483"/>
    </row>
    <row r="136" spans="1:13" ht="39.6" x14ac:dyDescent="0.25">
      <c r="A136" s="7" t="s">
        <v>185</v>
      </c>
      <c r="B136" s="7"/>
      <c r="C136" s="130" t="s">
        <v>184</v>
      </c>
      <c r="D136" s="175">
        <f t="shared" ref="D136:J136" si="42">D137</f>
        <v>154.80000000000001</v>
      </c>
      <c r="E136" s="407"/>
      <c r="F136" s="175">
        <f t="shared" si="42"/>
        <v>154.80000000000001</v>
      </c>
      <c r="G136" s="175">
        <f t="shared" si="42"/>
        <v>0</v>
      </c>
      <c r="H136" s="407"/>
      <c r="I136" s="175">
        <f t="shared" si="42"/>
        <v>0</v>
      </c>
      <c r="J136" s="175">
        <f t="shared" si="42"/>
        <v>154.80000000000001</v>
      </c>
      <c r="K136" s="483"/>
    </row>
    <row r="137" spans="1:13" ht="25.5" customHeight="1" x14ac:dyDescent="0.25">
      <c r="A137" s="7"/>
      <c r="B137" s="72" t="s">
        <v>57</v>
      </c>
      <c r="C137" s="71" t="s">
        <v>56</v>
      </c>
      <c r="D137" s="175">
        <v>154.80000000000001</v>
      </c>
      <c r="E137" s="407"/>
      <c r="F137" s="175">
        <v>154.80000000000001</v>
      </c>
      <c r="G137" s="175">
        <v>0</v>
      </c>
      <c r="H137" s="407"/>
      <c r="I137" s="175">
        <v>0</v>
      </c>
      <c r="J137" s="175">
        <v>154.80000000000001</v>
      </c>
      <c r="K137" s="483"/>
    </row>
    <row r="138" spans="1:13" ht="39.6" x14ac:dyDescent="0.25">
      <c r="A138" s="153" t="s">
        <v>75</v>
      </c>
      <c r="B138" s="153"/>
      <c r="C138" s="163" t="s">
        <v>74</v>
      </c>
      <c r="D138" s="155">
        <f>D139+D142</f>
        <v>25651.087</v>
      </c>
      <c r="E138" s="411"/>
      <c r="F138" s="155">
        <f>F139+F142</f>
        <v>25651.087</v>
      </c>
      <c r="G138" s="155">
        <f>G139+G142</f>
        <v>25719.356</v>
      </c>
      <c r="H138" s="411"/>
      <c r="I138" s="155">
        <f>I139+I142</f>
        <v>25719.356</v>
      </c>
      <c r="J138" s="155">
        <f>J139+J142</f>
        <v>25891.967000000001</v>
      </c>
      <c r="K138" s="483"/>
    </row>
    <row r="139" spans="1:13" ht="39.6" x14ac:dyDescent="0.25">
      <c r="A139" s="7" t="s">
        <v>166</v>
      </c>
      <c r="B139" s="7"/>
      <c r="C139" s="130" t="s">
        <v>165</v>
      </c>
      <c r="D139" s="175">
        <v>7908.3819999999996</v>
      </c>
      <c r="E139" s="407"/>
      <c r="F139" s="175">
        <v>7908.3819999999996</v>
      </c>
      <c r="G139" s="175">
        <v>7976.6509999999998</v>
      </c>
      <c r="H139" s="407"/>
      <c r="I139" s="175">
        <v>7976.6509999999998</v>
      </c>
      <c r="J139" s="175">
        <v>8149.2619999999997</v>
      </c>
      <c r="K139" s="483"/>
    </row>
    <row r="140" spans="1:13" x14ac:dyDescent="0.25">
      <c r="A140" s="7"/>
      <c r="B140" s="7" t="s">
        <v>71</v>
      </c>
      <c r="C140" s="130" t="s">
        <v>70</v>
      </c>
      <c r="D140" s="9">
        <v>1167.25</v>
      </c>
      <c r="E140" s="412"/>
      <c r="F140" s="9">
        <v>1167.25</v>
      </c>
      <c r="G140" s="9">
        <v>786.625</v>
      </c>
      <c r="H140" s="412"/>
      <c r="I140" s="9">
        <v>786.625</v>
      </c>
      <c r="J140" s="237">
        <v>786.625</v>
      </c>
      <c r="K140" s="484"/>
      <c r="L140" s="243"/>
      <c r="M140" s="243"/>
    </row>
    <row r="141" spans="1:13" ht="28.5" customHeight="1" x14ac:dyDescent="0.25">
      <c r="A141" s="7"/>
      <c r="B141" s="72" t="s">
        <v>57</v>
      </c>
      <c r="C141" s="71" t="s">
        <v>56</v>
      </c>
      <c r="D141" s="175">
        <f>D139-D140</f>
        <v>6741.1319999999996</v>
      </c>
      <c r="E141" s="407"/>
      <c r="F141" s="175">
        <f>F139-F140</f>
        <v>6741.1319999999996</v>
      </c>
      <c r="G141" s="175">
        <f>G139-G140</f>
        <v>7190.0259999999998</v>
      </c>
      <c r="H141" s="407"/>
      <c r="I141" s="175">
        <f>I139-I140</f>
        <v>7190.0259999999998</v>
      </c>
      <c r="J141" s="175">
        <f>J139-J140</f>
        <v>7362.6369999999997</v>
      </c>
      <c r="K141" s="483"/>
    </row>
    <row r="142" spans="1:13" ht="79.2" x14ac:dyDescent="0.25">
      <c r="A142" s="7" t="s">
        <v>73</v>
      </c>
      <c r="B142" s="7"/>
      <c r="C142" s="130" t="s">
        <v>164</v>
      </c>
      <c r="D142" s="175">
        <f>D143+D144</f>
        <v>17742.705000000002</v>
      </c>
      <c r="E142" s="407"/>
      <c r="F142" s="175">
        <f>F143+F144</f>
        <v>17742.705000000002</v>
      </c>
      <c r="G142" s="175">
        <f>G143+G144</f>
        <v>17742.705000000002</v>
      </c>
      <c r="H142" s="407"/>
      <c r="I142" s="175">
        <f>I143+I144</f>
        <v>17742.705000000002</v>
      </c>
      <c r="J142" s="175">
        <f>J143+J144</f>
        <v>17742.705000000002</v>
      </c>
      <c r="K142" s="483"/>
    </row>
    <row r="143" spans="1:13" x14ac:dyDescent="0.25">
      <c r="A143" s="7"/>
      <c r="B143" s="7" t="s">
        <v>71</v>
      </c>
      <c r="C143" s="130" t="s">
        <v>70</v>
      </c>
      <c r="D143" s="175">
        <v>8346.31</v>
      </c>
      <c r="E143" s="407"/>
      <c r="F143" s="175">
        <v>8346.31</v>
      </c>
      <c r="G143" s="175">
        <v>8346.31</v>
      </c>
      <c r="H143" s="407"/>
      <c r="I143" s="175">
        <v>8346.31</v>
      </c>
      <c r="J143" s="175">
        <v>8346.31</v>
      </c>
      <c r="K143" s="483"/>
    </row>
    <row r="144" spans="1:13" ht="26.4" x14ac:dyDescent="0.25">
      <c r="A144" s="7"/>
      <c r="B144" s="7" t="s">
        <v>57</v>
      </c>
      <c r="C144" s="130" t="s">
        <v>56</v>
      </c>
      <c r="D144" s="176">
        <v>9396.3950000000004</v>
      </c>
      <c r="E144" s="408"/>
      <c r="F144" s="176">
        <v>9396.3950000000004</v>
      </c>
      <c r="G144" s="176">
        <v>9396.3950000000004</v>
      </c>
      <c r="H144" s="408"/>
      <c r="I144" s="176">
        <v>9396.3950000000004</v>
      </c>
      <c r="J144" s="176">
        <v>9396.3950000000004</v>
      </c>
      <c r="K144" s="483"/>
    </row>
    <row r="145" spans="1:11" ht="26.4" x14ac:dyDescent="0.25">
      <c r="A145" s="30" t="s">
        <v>210</v>
      </c>
      <c r="B145" s="30"/>
      <c r="C145" s="129" t="s">
        <v>209</v>
      </c>
      <c r="D145" s="249">
        <f>D146</f>
        <v>7675.2510000000002</v>
      </c>
      <c r="E145" s="249">
        <f>E146</f>
        <v>873.9</v>
      </c>
      <c r="F145" s="249">
        <f>F146</f>
        <v>8549.1510000000017</v>
      </c>
      <c r="G145" s="249">
        <f>G146</f>
        <v>30000</v>
      </c>
      <c r="H145" s="405"/>
      <c r="I145" s="249">
        <f>I146</f>
        <v>30000</v>
      </c>
      <c r="J145" s="249">
        <f>J146</f>
        <v>0</v>
      </c>
      <c r="K145" s="483"/>
    </row>
    <row r="146" spans="1:11" ht="52.8" x14ac:dyDescent="0.25">
      <c r="A146" s="160" t="s">
        <v>208</v>
      </c>
      <c r="B146" s="160"/>
      <c r="C146" s="163" t="s">
        <v>207</v>
      </c>
      <c r="D146" s="165">
        <f>D147+D153+D155+D159+D151+D161</f>
        <v>7675.2510000000002</v>
      </c>
      <c r="E146" s="165">
        <f>E147+E153+E155+E159+E151+E161</f>
        <v>873.9</v>
      </c>
      <c r="F146" s="165">
        <f>F147+F153+F155+F159+F151+F161</f>
        <v>8549.1510000000017</v>
      </c>
      <c r="G146" s="165">
        <f>G147+G153</f>
        <v>30000</v>
      </c>
      <c r="H146" s="406"/>
      <c r="I146" s="165">
        <f>I147+I153</f>
        <v>30000</v>
      </c>
      <c r="J146" s="165">
        <f>J147+J153</f>
        <v>0</v>
      </c>
      <c r="K146" s="483"/>
    </row>
    <row r="147" spans="1:11" ht="39.6" x14ac:dyDescent="0.25">
      <c r="A147" s="7" t="s">
        <v>641</v>
      </c>
      <c r="B147" s="199"/>
      <c r="C147" s="200" t="s">
        <v>642</v>
      </c>
      <c r="D147" s="211">
        <v>0</v>
      </c>
      <c r="E147" s="407"/>
      <c r="F147" s="211">
        <v>0</v>
      </c>
      <c r="G147" s="211">
        <f>G148</f>
        <v>30000</v>
      </c>
      <c r="H147" s="407"/>
      <c r="I147" s="211">
        <f>I148</f>
        <v>30000</v>
      </c>
      <c r="J147" s="211">
        <f>J148</f>
        <v>0</v>
      </c>
      <c r="K147" s="483"/>
    </row>
    <row r="148" spans="1:11" ht="26.4" x14ac:dyDescent="0.25">
      <c r="A148" s="199"/>
      <c r="B148" s="7" t="s">
        <v>57</v>
      </c>
      <c r="C148" s="130" t="s">
        <v>56</v>
      </c>
      <c r="D148" s="211">
        <v>0</v>
      </c>
      <c r="E148" s="407"/>
      <c r="F148" s="211">
        <v>0</v>
      </c>
      <c r="G148" s="211">
        <f>G149+G150</f>
        <v>30000</v>
      </c>
      <c r="H148" s="407"/>
      <c r="I148" s="211">
        <f>I149+I150</f>
        <v>30000</v>
      </c>
      <c r="J148" s="211">
        <v>0</v>
      </c>
      <c r="K148" s="483"/>
    </row>
    <row r="149" spans="1:11" x14ac:dyDescent="0.25">
      <c r="A149" s="199"/>
      <c r="B149" s="199"/>
      <c r="C149" s="130" t="s">
        <v>673</v>
      </c>
      <c r="D149" s="211">
        <v>0</v>
      </c>
      <c r="E149" s="407"/>
      <c r="F149" s="211">
        <v>0</v>
      </c>
      <c r="G149" s="211">
        <v>22500</v>
      </c>
      <c r="H149" s="407"/>
      <c r="I149" s="211">
        <v>22500</v>
      </c>
      <c r="J149" s="211">
        <v>0</v>
      </c>
      <c r="K149" s="483"/>
    </row>
    <row r="150" spans="1:11" x14ac:dyDescent="0.25">
      <c r="A150" s="199"/>
      <c r="B150" s="199"/>
      <c r="C150" s="130" t="s">
        <v>69</v>
      </c>
      <c r="D150" s="211">
        <v>0</v>
      </c>
      <c r="E150" s="407"/>
      <c r="F150" s="211">
        <v>0</v>
      </c>
      <c r="G150" s="211">
        <v>7500</v>
      </c>
      <c r="H150" s="407"/>
      <c r="I150" s="211">
        <v>7500</v>
      </c>
      <c r="J150" s="211">
        <v>0</v>
      </c>
      <c r="K150" s="483"/>
    </row>
    <row r="151" spans="1:11" ht="39.6" x14ac:dyDescent="0.25">
      <c r="A151" s="270" t="s">
        <v>774</v>
      </c>
      <c r="B151" s="268"/>
      <c r="C151" s="271" t="s">
        <v>775</v>
      </c>
      <c r="D151" s="269">
        <f>D152</f>
        <v>821.4</v>
      </c>
      <c r="E151" s="269">
        <f>E152</f>
        <v>642.4</v>
      </c>
      <c r="F151" s="269">
        <f>F152</f>
        <v>1463.8</v>
      </c>
      <c r="G151" s="269"/>
      <c r="H151" s="407"/>
      <c r="I151" s="269"/>
      <c r="J151" s="269"/>
      <c r="K151" s="483"/>
    </row>
    <row r="152" spans="1:11" ht="26.4" x14ac:dyDescent="0.25">
      <c r="A152" s="270"/>
      <c r="B152" s="268" t="s">
        <v>57</v>
      </c>
      <c r="C152" s="271" t="s">
        <v>56</v>
      </c>
      <c r="D152" s="269">
        <v>821.4</v>
      </c>
      <c r="E152" s="407">
        <v>642.4</v>
      </c>
      <c r="F152" s="269">
        <f>D152+642.4</f>
        <v>1463.8</v>
      </c>
      <c r="G152" s="269"/>
      <c r="H152" s="407"/>
      <c r="I152" s="269"/>
      <c r="J152" s="269"/>
      <c r="K152" s="483"/>
    </row>
    <row r="153" spans="1:11" ht="79.2" x14ac:dyDescent="0.25">
      <c r="A153" s="225" t="s">
        <v>664</v>
      </c>
      <c r="B153" s="222"/>
      <c r="C153" s="241" t="s">
        <v>695</v>
      </c>
      <c r="D153" s="211">
        <f t="shared" ref="D153:J153" si="43">D154</f>
        <v>2730.8</v>
      </c>
      <c r="E153" s="211">
        <f t="shared" si="43"/>
        <v>231.5</v>
      </c>
      <c r="F153" s="211">
        <f t="shared" si="43"/>
        <v>2962.3</v>
      </c>
      <c r="G153" s="211">
        <f t="shared" si="43"/>
        <v>0</v>
      </c>
      <c r="H153" s="407"/>
      <c r="I153" s="211">
        <f t="shared" si="43"/>
        <v>0</v>
      </c>
      <c r="J153" s="211">
        <f t="shared" si="43"/>
        <v>0</v>
      </c>
      <c r="K153" s="483"/>
    </row>
    <row r="154" spans="1:11" ht="28.5" customHeight="1" x14ac:dyDescent="0.25">
      <c r="A154" s="220"/>
      <c r="B154" s="220" t="s">
        <v>57</v>
      </c>
      <c r="C154" s="221" t="s">
        <v>56</v>
      </c>
      <c r="D154" s="211">
        <v>2730.8</v>
      </c>
      <c r="E154" s="407">
        <f>231.5</f>
        <v>231.5</v>
      </c>
      <c r="F154" s="211">
        <f>D154+231.5</f>
        <v>2962.3</v>
      </c>
      <c r="G154" s="211">
        <v>0</v>
      </c>
      <c r="H154" s="407"/>
      <c r="I154" s="211">
        <v>0</v>
      </c>
      <c r="J154" s="211">
        <v>0</v>
      </c>
      <c r="K154" s="483"/>
    </row>
    <row r="155" spans="1:11" s="1" customFormat="1" ht="40.200000000000003" x14ac:dyDescent="0.3">
      <c r="A155" s="7" t="s">
        <v>749</v>
      </c>
      <c r="B155" s="7"/>
      <c r="C155" s="97" t="s">
        <v>739</v>
      </c>
      <c r="D155" s="175">
        <f>D156</f>
        <v>59.051000000000002</v>
      </c>
      <c r="E155" s="407"/>
      <c r="F155" s="175">
        <f>F156</f>
        <v>59.051000000000002</v>
      </c>
      <c r="G155" s="175">
        <v>0</v>
      </c>
      <c r="H155" s="407"/>
      <c r="I155" s="175">
        <v>0</v>
      </c>
      <c r="J155" s="175">
        <v>0</v>
      </c>
      <c r="K155" s="227"/>
    </row>
    <row r="156" spans="1:11" s="1" customFormat="1" ht="27" x14ac:dyDescent="0.3">
      <c r="A156" s="7"/>
      <c r="B156" s="7" t="s">
        <v>57</v>
      </c>
      <c r="C156" s="221" t="s">
        <v>56</v>
      </c>
      <c r="D156" s="175">
        <f>D157+D158</f>
        <v>59.051000000000002</v>
      </c>
      <c r="E156" s="407"/>
      <c r="F156" s="175">
        <f>F157+F158</f>
        <v>59.051000000000002</v>
      </c>
      <c r="G156" s="175">
        <v>0</v>
      </c>
      <c r="H156" s="407"/>
      <c r="I156" s="175">
        <v>0</v>
      </c>
      <c r="J156" s="175">
        <v>0</v>
      </c>
      <c r="K156" s="227"/>
    </row>
    <row r="157" spans="1:11" s="1" customFormat="1" ht="14.4" x14ac:dyDescent="0.3">
      <c r="A157" s="7"/>
      <c r="B157" s="7"/>
      <c r="C157" s="96" t="s">
        <v>296</v>
      </c>
      <c r="D157" s="175">
        <v>29.525500000000001</v>
      </c>
      <c r="E157" s="407"/>
      <c r="F157" s="175">
        <v>29.525500000000001</v>
      </c>
      <c r="G157" s="175">
        <v>0</v>
      </c>
      <c r="H157" s="407"/>
      <c r="I157" s="175">
        <v>0</v>
      </c>
      <c r="J157" s="175">
        <v>0</v>
      </c>
      <c r="K157" s="227"/>
    </row>
    <row r="158" spans="1:11" s="1" customFormat="1" ht="14.4" x14ac:dyDescent="0.3">
      <c r="A158" s="7"/>
      <c r="B158" s="7"/>
      <c r="C158" s="96" t="s">
        <v>302</v>
      </c>
      <c r="D158" s="175">
        <v>29.525500000000001</v>
      </c>
      <c r="E158" s="407"/>
      <c r="F158" s="175">
        <v>29.525500000000001</v>
      </c>
      <c r="G158" s="175">
        <v>0</v>
      </c>
      <c r="H158" s="407"/>
      <c r="I158" s="175">
        <v>0</v>
      </c>
      <c r="J158" s="175">
        <v>0</v>
      </c>
      <c r="K158" s="227"/>
    </row>
    <row r="159" spans="1:11" s="1" customFormat="1" ht="27" x14ac:dyDescent="0.3">
      <c r="A159" s="225" t="s">
        <v>766</v>
      </c>
      <c r="B159" s="226"/>
      <c r="C159" s="262" t="s">
        <v>777</v>
      </c>
      <c r="D159" s="248">
        <f>D160</f>
        <v>2694</v>
      </c>
      <c r="E159" s="407"/>
      <c r="F159" s="248">
        <f>F160</f>
        <v>2694</v>
      </c>
      <c r="G159" s="248"/>
      <c r="H159" s="407"/>
      <c r="I159" s="248"/>
      <c r="J159" s="248"/>
      <c r="K159" s="227"/>
    </row>
    <row r="160" spans="1:11" s="1" customFormat="1" ht="27" x14ac:dyDescent="0.3">
      <c r="A160" s="226"/>
      <c r="B160" s="7" t="s">
        <v>57</v>
      </c>
      <c r="C160" s="221" t="s">
        <v>56</v>
      </c>
      <c r="D160" s="248">
        <v>2694</v>
      </c>
      <c r="E160" s="407"/>
      <c r="F160" s="248">
        <v>2694</v>
      </c>
      <c r="G160" s="248"/>
      <c r="H160" s="407"/>
      <c r="I160" s="248"/>
      <c r="J160" s="248"/>
      <c r="K160" s="227"/>
    </row>
    <row r="161" spans="1:11" s="1" customFormat="1" ht="27" x14ac:dyDescent="0.3">
      <c r="A161" s="225" t="s">
        <v>783</v>
      </c>
      <c r="B161" s="281"/>
      <c r="C161" s="282" t="s">
        <v>784</v>
      </c>
      <c r="D161" s="283">
        <f>D162</f>
        <v>1370</v>
      </c>
      <c r="E161" s="407"/>
      <c r="F161" s="283">
        <f>F162</f>
        <v>1370</v>
      </c>
      <c r="G161" s="283"/>
      <c r="H161" s="407"/>
      <c r="I161" s="283"/>
      <c r="J161" s="283"/>
      <c r="K161" s="227"/>
    </row>
    <row r="162" spans="1:11" s="1" customFormat="1" ht="27" x14ac:dyDescent="0.3">
      <c r="A162" s="281"/>
      <c r="B162" s="281" t="s">
        <v>57</v>
      </c>
      <c r="C162" s="221" t="s">
        <v>56</v>
      </c>
      <c r="D162" s="283">
        <v>1370</v>
      </c>
      <c r="E162" s="407"/>
      <c r="F162" s="283">
        <v>1370</v>
      </c>
      <c r="G162" s="283"/>
      <c r="H162" s="407"/>
      <c r="I162" s="283"/>
      <c r="J162" s="283"/>
      <c r="K162" s="227"/>
    </row>
    <row r="163" spans="1:11" ht="26.4" x14ac:dyDescent="0.25">
      <c r="A163" s="30" t="s">
        <v>183</v>
      </c>
      <c r="B163" s="30"/>
      <c r="C163" s="129" t="s">
        <v>562</v>
      </c>
      <c r="D163" s="249">
        <f t="shared" ref="D163:F165" si="44">D164</f>
        <v>94.9</v>
      </c>
      <c r="E163" s="405"/>
      <c r="F163" s="249">
        <f t="shared" si="44"/>
        <v>94.9</v>
      </c>
      <c r="G163" s="249">
        <f t="shared" ref="G163:J165" si="45">G164</f>
        <v>0</v>
      </c>
      <c r="H163" s="405"/>
      <c r="I163" s="249">
        <f t="shared" si="45"/>
        <v>0</v>
      </c>
      <c r="J163" s="249">
        <f t="shared" si="45"/>
        <v>94.9</v>
      </c>
      <c r="K163" s="483"/>
    </row>
    <row r="164" spans="1:11" ht="26.4" x14ac:dyDescent="0.25">
      <c r="A164" s="153" t="s">
        <v>181</v>
      </c>
      <c r="B164" s="153"/>
      <c r="C164" s="163" t="s">
        <v>180</v>
      </c>
      <c r="D164" s="165">
        <f t="shared" si="44"/>
        <v>94.9</v>
      </c>
      <c r="E164" s="406"/>
      <c r="F164" s="165">
        <f t="shared" si="44"/>
        <v>94.9</v>
      </c>
      <c r="G164" s="165">
        <f t="shared" si="45"/>
        <v>0</v>
      </c>
      <c r="H164" s="406"/>
      <c r="I164" s="165">
        <f t="shared" si="45"/>
        <v>0</v>
      </c>
      <c r="J164" s="165">
        <f t="shared" si="45"/>
        <v>94.9</v>
      </c>
      <c r="K164" s="483"/>
    </row>
    <row r="165" spans="1:11" ht="39.6" x14ac:dyDescent="0.25">
      <c r="A165" s="7" t="s">
        <v>179</v>
      </c>
      <c r="B165" s="7"/>
      <c r="C165" s="130" t="s">
        <v>178</v>
      </c>
      <c r="D165" s="175">
        <f t="shared" si="44"/>
        <v>94.9</v>
      </c>
      <c r="E165" s="407"/>
      <c r="F165" s="175">
        <f t="shared" si="44"/>
        <v>94.9</v>
      </c>
      <c r="G165" s="175">
        <f t="shared" si="45"/>
        <v>0</v>
      </c>
      <c r="H165" s="407"/>
      <c r="I165" s="175">
        <f t="shared" si="45"/>
        <v>0</v>
      </c>
      <c r="J165" s="175">
        <f t="shared" si="45"/>
        <v>94.9</v>
      </c>
      <c r="K165" s="483"/>
    </row>
    <row r="166" spans="1:11" ht="25.5" customHeight="1" x14ac:dyDescent="0.25">
      <c r="A166" s="7"/>
      <c r="B166" s="7" t="s">
        <v>57</v>
      </c>
      <c r="C166" s="130" t="s">
        <v>56</v>
      </c>
      <c r="D166" s="175">
        <v>94.9</v>
      </c>
      <c r="E166" s="407"/>
      <c r="F166" s="175">
        <v>94.9</v>
      </c>
      <c r="G166" s="175">
        <v>0</v>
      </c>
      <c r="H166" s="407"/>
      <c r="I166" s="175">
        <v>0</v>
      </c>
      <c r="J166" s="175">
        <v>94.9</v>
      </c>
      <c r="K166" s="483"/>
    </row>
    <row r="167" spans="1:11" s="1" customFormat="1" ht="53.4" x14ac:dyDescent="0.3">
      <c r="A167" s="170" t="s">
        <v>244</v>
      </c>
      <c r="B167" s="170"/>
      <c r="C167" s="173" t="s">
        <v>243</v>
      </c>
      <c r="D167" s="255">
        <f>D168+D179+D187+D176</f>
        <v>16885.074340000003</v>
      </c>
      <c r="E167" s="404"/>
      <c r="F167" s="255">
        <f>F168+F179+F187+F176</f>
        <v>16885.074340000003</v>
      </c>
      <c r="G167" s="255">
        <f>G168+G179+G187+G176</f>
        <v>29414.753270000001</v>
      </c>
      <c r="H167" s="404"/>
      <c r="I167" s="255">
        <f>I168+I179+I187+I176</f>
        <v>29414.753270000001</v>
      </c>
      <c r="J167" s="255">
        <f>J168+J179+J187+J176</f>
        <v>147.54659000000001</v>
      </c>
      <c r="K167" s="227"/>
    </row>
    <row r="168" spans="1:11" s="1" customFormat="1" ht="27" x14ac:dyDescent="0.3">
      <c r="A168" s="153" t="s">
        <v>255</v>
      </c>
      <c r="B168" s="153"/>
      <c r="C168" s="154" t="s">
        <v>254</v>
      </c>
      <c r="D168" s="165">
        <f>D169+D174</f>
        <v>8394.1270000000004</v>
      </c>
      <c r="E168" s="406"/>
      <c r="F168" s="165">
        <f>F169+F174</f>
        <v>8394.1270000000004</v>
      </c>
      <c r="G168" s="165">
        <f>G169+G174</f>
        <v>7898.982</v>
      </c>
      <c r="H168" s="406"/>
      <c r="I168" s="165">
        <f>I169+I174</f>
        <v>7898.982</v>
      </c>
      <c r="J168" s="165">
        <f>J169+J174</f>
        <v>0</v>
      </c>
      <c r="K168" s="227"/>
    </row>
    <row r="169" spans="1:11" s="1" customFormat="1" ht="66.599999999999994" x14ac:dyDescent="0.3">
      <c r="A169" s="7" t="s">
        <v>252</v>
      </c>
      <c r="B169" s="7"/>
      <c r="C169" s="11" t="s">
        <v>251</v>
      </c>
      <c r="D169" s="175">
        <f t="shared" ref="D169:J169" si="46">D170</f>
        <v>2178.192</v>
      </c>
      <c r="E169" s="407"/>
      <c r="F169" s="175">
        <f t="shared" si="46"/>
        <v>2178.192</v>
      </c>
      <c r="G169" s="175">
        <f t="shared" si="46"/>
        <v>0</v>
      </c>
      <c r="H169" s="407"/>
      <c r="I169" s="175">
        <f t="shared" si="46"/>
        <v>0</v>
      </c>
      <c r="J169" s="175">
        <f t="shared" si="46"/>
        <v>0</v>
      </c>
      <c r="K169" s="227"/>
    </row>
    <row r="170" spans="1:11" s="1" customFormat="1" ht="14.4" x14ac:dyDescent="0.3">
      <c r="A170" s="7"/>
      <c r="B170" s="7" t="s">
        <v>71</v>
      </c>
      <c r="C170" s="6" t="s">
        <v>70</v>
      </c>
      <c r="D170" s="175">
        <f>D171+D172+D173</f>
        <v>2178.192</v>
      </c>
      <c r="E170" s="407"/>
      <c r="F170" s="175">
        <f>F171+F172+F173</f>
        <v>2178.192</v>
      </c>
      <c r="G170" s="175">
        <f>G171+G172+G173</f>
        <v>0</v>
      </c>
      <c r="H170" s="407"/>
      <c r="I170" s="175">
        <f>I171+I172+I173</f>
        <v>0</v>
      </c>
      <c r="J170" s="175">
        <f>J171+J172+J173</f>
        <v>0</v>
      </c>
      <c r="K170" s="227"/>
    </row>
    <row r="171" spans="1:11" s="1" customFormat="1" ht="14.4" x14ac:dyDescent="0.3">
      <c r="A171" s="7"/>
      <c r="B171" s="7"/>
      <c r="C171" s="6" t="s">
        <v>101</v>
      </c>
      <c r="D171" s="175">
        <v>943.21400000000006</v>
      </c>
      <c r="E171" s="407"/>
      <c r="F171" s="175">
        <v>943.21400000000006</v>
      </c>
      <c r="G171" s="175">
        <v>0</v>
      </c>
      <c r="H171" s="407"/>
      <c r="I171" s="175">
        <v>0</v>
      </c>
      <c r="J171" s="175">
        <v>0</v>
      </c>
      <c r="K171" s="227"/>
    </row>
    <row r="172" spans="1:11" s="1" customFormat="1" ht="14.4" x14ac:dyDescent="0.3">
      <c r="A172" s="7"/>
      <c r="B172" s="7"/>
      <c r="C172" s="6" t="s">
        <v>100</v>
      </c>
      <c r="D172" s="175">
        <v>314.40499999999997</v>
      </c>
      <c r="E172" s="407"/>
      <c r="F172" s="175">
        <v>314.40499999999997</v>
      </c>
      <c r="G172" s="175">
        <v>0</v>
      </c>
      <c r="H172" s="407"/>
      <c r="I172" s="175">
        <v>0</v>
      </c>
      <c r="J172" s="175">
        <v>0</v>
      </c>
      <c r="K172" s="227"/>
    </row>
    <row r="173" spans="1:11" s="1" customFormat="1" ht="14.4" x14ac:dyDescent="0.3">
      <c r="A173" s="7"/>
      <c r="B173" s="7"/>
      <c r="C173" s="6" t="s">
        <v>97</v>
      </c>
      <c r="D173" s="175">
        <v>920.57300000000009</v>
      </c>
      <c r="E173" s="407"/>
      <c r="F173" s="175">
        <v>920.57300000000009</v>
      </c>
      <c r="G173" s="175">
        <v>0</v>
      </c>
      <c r="H173" s="407"/>
      <c r="I173" s="175">
        <v>0</v>
      </c>
      <c r="J173" s="175">
        <v>0</v>
      </c>
      <c r="K173" s="227"/>
    </row>
    <row r="174" spans="1:11" s="1" customFormat="1" ht="79.8" x14ac:dyDescent="0.3">
      <c r="A174" s="7" t="s">
        <v>253</v>
      </c>
      <c r="B174" s="7"/>
      <c r="C174" s="6" t="s">
        <v>674</v>
      </c>
      <c r="D174" s="175">
        <f>D175</f>
        <v>6215.9350000000004</v>
      </c>
      <c r="E174" s="407"/>
      <c r="F174" s="175">
        <f>F175</f>
        <v>6215.9350000000004</v>
      </c>
      <c r="G174" s="175">
        <f>G175</f>
        <v>7898.982</v>
      </c>
      <c r="H174" s="407"/>
      <c r="I174" s="175">
        <f>I175</f>
        <v>7898.982</v>
      </c>
      <c r="J174" s="175">
        <f>J175</f>
        <v>0</v>
      </c>
      <c r="K174" s="227"/>
    </row>
    <row r="175" spans="1:11" s="1" customFormat="1" ht="14.4" x14ac:dyDescent="0.3">
      <c r="A175" s="7"/>
      <c r="B175" s="7" t="s">
        <v>71</v>
      </c>
      <c r="C175" s="6" t="s">
        <v>70</v>
      </c>
      <c r="D175" s="175">
        <v>6215.9350000000004</v>
      </c>
      <c r="E175" s="407"/>
      <c r="F175" s="175">
        <v>6215.9350000000004</v>
      </c>
      <c r="G175" s="175">
        <v>7898.982</v>
      </c>
      <c r="H175" s="407"/>
      <c r="I175" s="175">
        <v>7898.982</v>
      </c>
      <c r="J175" s="175">
        <v>0</v>
      </c>
      <c r="K175" s="227"/>
    </row>
    <row r="176" spans="1:11" s="1" customFormat="1" ht="40.200000000000003" x14ac:dyDescent="0.3">
      <c r="A176" s="153" t="s">
        <v>696</v>
      </c>
      <c r="B176" s="153"/>
      <c r="C176" s="154" t="s">
        <v>688</v>
      </c>
      <c r="D176" s="165">
        <f t="shared" ref="D176:J176" si="47">D177</f>
        <v>2368.9870000000001</v>
      </c>
      <c r="E176" s="406"/>
      <c r="F176" s="165">
        <f t="shared" si="47"/>
        <v>2368.9870000000001</v>
      </c>
      <c r="G176" s="165">
        <f t="shared" si="47"/>
        <v>0</v>
      </c>
      <c r="H176" s="406"/>
      <c r="I176" s="165">
        <f t="shared" si="47"/>
        <v>0</v>
      </c>
      <c r="J176" s="165">
        <f t="shared" si="47"/>
        <v>0</v>
      </c>
      <c r="K176" s="227"/>
    </row>
    <row r="177" spans="1:11" s="1" customFormat="1" ht="53.4" x14ac:dyDescent="0.3">
      <c r="A177" s="7" t="s">
        <v>721</v>
      </c>
      <c r="B177" s="7"/>
      <c r="C177" s="6" t="s">
        <v>687</v>
      </c>
      <c r="D177" s="175">
        <f>D178</f>
        <v>2368.9870000000001</v>
      </c>
      <c r="E177" s="407"/>
      <c r="F177" s="175">
        <f>F178</f>
        <v>2368.9870000000001</v>
      </c>
      <c r="G177" s="175">
        <f>G178</f>
        <v>0</v>
      </c>
      <c r="H177" s="407"/>
      <c r="I177" s="175">
        <f>I178</f>
        <v>0</v>
      </c>
      <c r="J177" s="175">
        <f>J178</f>
        <v>0</v>
      </c>
      <c r="K177" s="227"/>
    </row>
    <row r="178" spans="1:11" s="1" customFormat="1" ht="14.4" x14ac:dyDescent="0.3">
      <c r="A178" s="7"/>
      <c r="B178" s="7" t="s">
        <v>71</v>
      </c>
      <c r="C178" s="6" t="s">
        <v>70</v>
      </c>
      <c r="D178" s="175">
        <v>2368.9870000000001</v>
      </c>
      <c r="E178" s="407"/>
      <c r="F178" s="175">
        <v>2368.9870000000001</v>
      </c>
      <c r="G178" s="175">
        <v>0</v>
      </c>
      <c r="H178" s="407"/>
      <c r="I178" s="175">
        <v>0</v>
      </c>
      <c r="J178" s="175">
        <v>0</v>
      </c>
      <c r="K178" s="227"/>
    </row>
    <row r="179" spans="1:11" s="1" customFormat="1" ht="53.4" x14ac:dyDescent="0.3">
      <c r="A179" s="153" t="s">
        <v>242</v>
      </c>
      <c r="B179" s="153"/>
      <c r="C179" s="154" t="s">
        <v>241</v>
      </c>
      <c r="D179" s="165">
        <f>D180+D182+D184</f>
        <v>4380.3771200000001</v>
      </c>
      <c r="E179" s="406"/>
      <c r="F179" s="165">
        <f>F180+F182+F184</f>
        <v>4380.3771200000001</v>
      </c>
      <c r="G179" s="165">
        <f>G180+G182+G184</f>
        <v>21515.771270000001</v>
      </c>
      <c r="H179" s="406"/>
      <c r="I179" s="165">
        <f>I180+I182+I184</f>
        <v>21515.771270000001</v>
      </c>
      <c r="J179" s="165">
        <f>J180+J182+J184</f>
        <v>147.54659000000001</v>
      </c>
      <c r="K179" s="227"/>
    </row>
    <row r="180" spans="1:11" s="1" customFormat="1" ht="40.200000000000003" x14ac:dyDescent="0.3">
      <c r="A180" s="7" t="s">
        <v>240</v>
      </c>
      <c r="B180" s="7"/>
      <c r="C180" s="6" t="s">
        <v>239</v>
      </c>
      <c r="D180" s="175">
        <f t="shared" ref="D180:J180" si="48">D181</f>
        <v>2.8591199999999999</v>
      </c>
      <c r="E180" s="407"/>
      <c r="F180" s="175">
        <f t="shared" si="48"/>
        <v>2.8591199999999999</v>
      </c>
      <c r="G180" s="175">
        <f t="shared" si="48"/>
        <v>22.281269999999999</v>
      </c>
      <c r="H180" s="407"/>
      <c r="I180" s="175">
        <f t="shared" si="48"/>
        <v>22.281269999999999</v>
      </c>
      <c r="J180" s="175">
        <f t="shared" si="48"/>
        <v>45.646590000000003</v>
      </c>
      <c r="K180" s="227"/>
    </row>
    <row r="181" spans="1:11" s="1" customFormat="1" ht="27" x14ac:dyDescent="0.3">
      <c r="A181" s="7"/>
      <c r="B181" s="7" t="s">
        <v>12</v>
      </c>
      <c r="C181" s="6" t="s">
        <v>11</v>
      </c>
      <c r="D181" s="175">
        <v>2.8591199999999999</v>
      </c>
      <c r="E181" s="407"/>
      <c r="F181" s="175">
        <v>2.8591199999999999</v>
      </c>
      <c r="G181" s="175">
        <v>22.281269999999999</v>
      </c>
      <c r="H181" s="407"/>
      <c r="I181" s="175">
        <v>22.281269999999999</v>
      </c>
      <c r="J181" s="175">
        <v>45.646590000000003</v>
      </c>
      <c r="K181" s="227"/>
    </row>
    <row r="182" spans="1:11" s="1" customFormat="1" ht="93" x14ac:dyDescent="0.3">
      <c r="A182" s="7" t="s">
        <v>250</v>
      </c>
      <c r="B182" s="7"/>
      <c r="C182" s="77" t="s">
        <v>249</v>
      </c>
      <c r="D182" s="175">
        <f t="shared" ref="D182:I182" si="49">D183</f>
        <v>4278.3180000000002</v>
      </c>
      <c r="E182" s="407"/>
      <c r="F182" s="175">
        <f t="shared" si="49"/>
        <v>4278.3180000000002</v>
      </c>
      <c r="G182" s="175">
        <f t="shared" si="49"/>
        <v>21391.59</v>
      </c>
      <c r="H182" s="407"/>
      <c r="I182" s="175">
        <f t="shared" si="49"/>
        <v>21391.59</v>
      </c>
      <c r="J182" s="175">
        <f>J183</f>
        <v>0</v>
      </c>
      <c r="K182" s="227"/>
    </row>
    <row r="183" spans="1:11" s="1" customFormat="1" ht="40.200000000000003" x14ac:dyDescent="0.3">
      <c r="A183" s="7"/>
      <c r="B183" s="73" t="s">
        <v>248</v>
      </c>
      <c r="C183" s="6" t="s">
        <v>247</v>
      </c>
      <c r="D183" s="175">
        <v>4278.3180000000002</v>
      </c>
      <c r="E183" s="407"/>
      <c r="F183" s="175">
        <v>4278.3180000000002</v>
      </c>
      <c r="G183" s="175">
        <v>21391.59</v>
      </c>
      <c r="H183" s="407"/>
      <c r="I183" s="175">
        <v>21391.59</v>
      </c>
      <c r="J183" s="175">
        <v>0</v>
      </c>
      <c r="K183" s="227"/>
    </row>
    <row r="184" spans="1:11" s="1" customFormat="1" ht="66.599999999999994" x14ac:dyDescent="0.3">
      <c r="A184" s="7" t="s">
        <v>508</v>
      </c>
      <c r="B184" s="7"/>
      <c r="C184" s="6" t="s">
        <v>507</v>
      </c>
      <c r="D184" s="175">
        <f>D185+D186</f>
        <v>99.2</v>
      </c>
      <c r="E184" s="407"/>
      <c r="F184" s="175">
        <f>F185+F186</f>
        <v>99.2</v>
      </c>
      <c r="G184" s="175">
        <f>G185+G186</f>
        <v>101.9</v>
      </c>
      <c r="H184" s="407"/>
      <c r="I184" s="175">
        <f>I185+I186</f>
        <v>101.9</v>
      </c>
      <c r="J184" s="175">
        <f>J185+J186</f>
        <v>101.9</v>
      </c>
      <c r="K184" s="227"/>
    </row>
    <row r="185" spans="1:11" s="1" customFormat="1" ht="66.599999999999994" x14ac:dyDescent="0.3">
      <c r="A185" s="7"/>
      <c r="B185" s="7" t="s">
        <v>2</v>
      </c>
      <c r="C185" s="6" t="s">
        <v>1</v>
      </c>
      <c r="D185" s="175">
        <v>79.5</v>
      </c>
      <c r="E185" s="413"/>
      <c r="F185" s="175">
        <v>79.5</v>
      </c>
      <c r="G185" s="247">
        <v>82.9</v>
      </c>
      <c r="H185" s="413"/>
      <c r="I185" s="247">
        <v>82.9</v>
      </c>
      <c r="J185" s="248">
        <v>82.9</v>
      </c>
      <c r="K185" s="227"/>
    </row>
    <row r="186" spans="1:11" s="1" customFormat="1" ht="27" x14ac:dyDescent="0.3">
      <c r="A186" s="7"/>
      <c r="B186" s="7" t="s">
        <v>12</v>
      </c>
      <c r="C186" s="6" t="s">
        <v>11</v>
      </c>
      <c r="D186" s="175">
        <v>19.7</v>
      </c>
      <c r="E186" s="413"/>
      <c r="F186" s="175">
        <v>19.7</v>
      </c>
      <c r="G186" s="247">
        <v>19</v>
      </c>
      <c r="H186" s="413"/>
      <c r="I186" s="247">
        <v>19</v>
      </c>
      <c r="J186" s="247">
        <v>19</v>
      </c>
      <c r="K186" s="227"/>
    </row>
    <row r="187" spans="1:11" s="1" customFormat="1" ht="40.200000000000003" x14ac:dyDescent="0.3">
      <c r="A187" s="153" t="s">
        <v>554</v>
      </c>
      <c r="B187" s="153"/>
      <c r="C187" s="154" t="s">
        <v>555</v>
      </c>
      <c r="D187" s="165">
        <f t="shared" ref="D187:I188" si="50">D188</f>
        <v>1741.58322</v>
      </c>
      <c r="E187" s="406"/>
      <c r="F187" s="165">
        <f t="shared" si="50"/>
        <v>1741.58322</v>
      </c>
      <c r="G187" s="165">
        <f t="shared" si="50"/>
        <v>0</v>
      </c>
      <c r="H187" s="406"/>
      <c r="I187" s="165">
        <f t="shared" si="50"/>
        <v>0</v>
      </c>
      <c r="J187" s="165">
        <f>J188+J191+J193</f>
        <v>0</v>
      </c>
      <c r="K187" s="227"/>
    </row>
    <row r="188" spans="1:11" s="1" customFormat="1" ht="53.4" x14ac:dyDescent="0.3">
      <c r="A188" s="7" t="s">
        <v>744</v>
      </c>
      <c r="B188" s="7"/>
      <c r="C188" s="274" t="s">
        <v>761</v>
      </c>
      <c r="D188" s="175">
        <f t="shared" si="50"/>
        <v>1741.58322</v>
      </c>
      <c r="E188" s="407"/>
      <c r="F188" s="175">
        <f t="shared" si="50"/>
        <v>1741.58322</v>
      </c>
      <c r="G188" s="175">
        <f t="shared" si="50"/>
        <v>0</v>
      </c>
      <c r="H188" s="407"/>
      <c r="I188" s="175">
        <f t="shared" si="50"/>
        <v>0</v>
      </c>
      <c r="J188" s="175">
        <v>0</v>
      </c>
      <c r="K188" s="227"/>
    </row>
    <row r="189" spans="1:11" s="1" customFormat="1" ht="14.4" x14ac:dyDescent="0.3">
      <c r="A189" s="7"/>
      <c r="B189" s="7" t="s">
        <v>71</v>
      </c>
      <c r="C189" s="6" t="s">
        <v>70</v>
      </c>
      <c r="D189" s="175">
        <f>D190+D191+D192+D193</f>
        <v>1741.58322</v>
      </c>
      <c r="E189" s="407"/>
      <c r="F189" s="175">
        <f>F190+F191+F192+F193</f>
        <v>1741.58322</v>
      </c>
      <c r="G189" s="175">
        <f>G190+G191+G192+G193</f>
        <v>0</v>
      </c>
      <c r="H189" s="407"/>
      <c r="I189" s="175">
        <f>I190+I191+I192+I193</f>
        <v>0</v>
      </c>
      <c r="J189" s="175">
        <v>0</v>
      </c>
      <c r="K189" s="227"/>
    </row>
    <row r="190" spans="1:11" s="1" customFormat="1" ht="14.4" x14ac:dyDescent="0.3">
      <c r="A190" s="7"/>
      <c r="B190" s="7"/>
      <c r="C190" s="6" t="s">
        <v>305</v>
      </c>
      <c r="D190" s="175">
        <v>0</v>
      </c>
      <c r="E190" s="407"/>
      <c r="F190" s="175">
        <v>0</v>
      </c>
      <c r="G190" s="175">
        <v>0</v>
      </c>
      <c r="H190" s="407"/>
      <c r="I190" s="175">
        <v>0</v>
      </c>
      <c r="J190" s="175">
        <v>0</v>
      </c>
      <c r="K190" s="227"/>
    </row>
    <row r="191" spans="1:11" s="1" customFormat="1" ht="14.4" x14ac:dyDescent="0.3">
      <c r="A191" s="7"/>
      <c r="B191" s="7"/>
      <c r="C191" s="96" t="s">
        <v>301</v>
      </c>
      <c r="D191" s="175">
        <v>1718.6676500000001</v>
      </c>
      <c r="E191" s="407"/>
      <c r="F191" s="175">
        <v>1718.6676500000001</v>
      </c>
      <c r="G191" s="175">
        <v>0</v>
      </c>
      <c r="H191" s="407"/>
      <c r="I191" s="175">
        <v>0</v>
      </c>
      <c r="J191" s="175">
        <v>0</v>
      </c>
      <c r="K191" s="227"/>
    </row>
    <row r="192" spans="1:11" s="1" customFormat="1" ht="14.4" x14ac:dyDescent="0.3">
      <c r="A192" s="7"/>
      <c r="B192" s="7"/>
      <c r="C192" s="96" t="s">
        <v>296</v>
      </c>
      <c r="D192" s="175">
        <v>22.915569999999999</v>
      </c>
      <c r="E192" s="407"/>
      <c r="F192" s="175">
        <v>22.915569999999999</v>
      </c>
      <c r="G192" s="175">
        <v>0</v>
      </c>
      <c r="H192" s="407"/>
      <c r="I192" s="175">
        <v>0</v>
      </c>
      <c r="J192" s="175">
        <v>0</v>
      </c>
      <c r="K192" s="227"/>
    </row>
    <row r="193" spans="1:11" s="1" customFormat="1" ht="14.4" x14ac:dyDescent="0.3">
      <c r="A193" s="7"/>
      <c r="B193" s="7"/>
      <c r="C193" s="96" t="s">
        <v>553</v>
      </c>
      <c r="D193" s="175">
        <v>0</v>
      </c>
      <c r="E193" s="407"/>
      <c r="F193" s="175">
        <v>0</v>
      </c>
      <c r="G193" s="175">
        <v>0</v>
      </c>
      <c r="H193" s="407"/>
      <c r="I193" s="175">
        <v>0</v>
      </c>
      <c r="J193" s="175">
        <v>0</v>
      </c>
      <c r="K193" s="227"/>
    </row>
    <row r="194" spans="1:11" s="227" customFormat="1" ht="40.200000000000003" x14ac:dyDescent="0.3">
      <c r="A194" s="170" t="s">
        <v>261</v>
      </c>
      <c r="B194" s="170"/>
      <c r="C194" s="173" t="s">
        <v>260</v>
      </c>
      <c r="D194" s="255">
        <f>D195+D215</f>
        <v>17136.562270000002</v>
      </c>
      <c r="E194" s="255">
        <f>E195+E215</f>
        <v>668.6</v>
      </c>
      <c r="F194" s="255">
        <f>F195+F215</f>
        <v>17805.162270000001</v>
      </c>
      <c r="G194" s="255">
        <f>G195+G215</f>
        <v>275.93464</v>
      </c>
      <c r="H194" s="404"/>
      <c r="I194" s="255">
        <f>I195+I215</f>
        <v>275.93464</v>
      </c>
      <c r="J194" s="255">
        <f>J195+J215</f>
        <v>5184.3</v>
      </c>
    </row>
    <row r="195" spans="1:11" s="1" customFormat="1" ht="53.4" x14ac:dyDescent="0.3">
      <c r="A195" s="153" t="s">
        <v>259</v>
      </c>
      <c r="B195" s="153"/>
      <c r="C195" s="154" t="s">
        <v>258</v>
      </c>
      <c r="D195" s="165">
        <f>D196+D198+D200+D202+D205+D209+D207+D213</f>
        <v>13936.56227</v>
      </c>
      <c r="E195" s="165">
        <f>E196+E198+E200+E202+E205+E209+E207+E213</f>
        <v>768.6</v>
      </c>
      <c r="F195" s="165">
        <f>F196+F198+F200+F202+F205+F209+F207+F213</f>
        <v>14705.162270000001</v>
      </c>
      <c r="G195" s="165">
        <f>G196+G200+G202+G205+G209+G207</f>
        <v>275.93464</v>
      </c>
      <c r="H195" s="406"/>
      <c r="I195" s="165">
        <f>I196+I200+I202+I205+I209+I207</f>
        <v>275.93464</v>
      </c>
      <c r="J195" s="165">
        <f>J196+J200+J202+J205+J209+J207</f>
        <v>5184.3</v>
      </c>
      <c r="K195" s="227"/>
    </row>
    <row r="196" spans="1:11" s="1" customFormat="1" ht="53.4" x14ac:dyDescent="0.3">
      <c r="A196" s="7" t="s">
        <v>362</v>
      </c>
      <c r="B196" s="7"/>
      <c r="C196" s="6" t="s">
        <v>600</v>
      </c>
      <c r="D196" s="246">
        <f>D197</f>
        <v>974</v>
      </c>
      <c r="E196" s="246"/>
      <c r="F196" s="246">
        <f>F197</f>
        <v>974</v>
      </c>
      <c r="G196" s="175">
        <f t="shared" ref="G196:J198" si="51">G197</f>
        <v>0</v>
      </c>
      <c r="H196" s="407"/>
      <c r="I196" s="175">
        <f t="shared" si="51"/>
        <v>0</v>
      </c>
      <c r="J196" s="175">
        <f t="shared" si="51"/>
        <v>974</v>
      </c>
      <c r="K196" s="227"/>
    </row>
    <row r="197" spans="1:11" s="1" customFormat="1" ht="27" x14ac:dyDescent="0.3">
      <c r="A197" s="7"/>
      <c r="B197" s="7" t="s">
        <v>12</v>
      </c>
      <c r="C197" s="6" t="s">
        <v>11</v>
      </c>
      <c r="D197" s="175">
        <v>974</v>
      </c>
      <c r="E197" s="407"/>
      <c r="F197" s="175">
        <v>974</v>
      </c>
      <c r="G197" s="175">
        <v>0</v>
      </c>
      <c r="H197" s="407"/>
      <c r="I197" s="175">
        <v>0</v>
      </c>
      <c r="J197" s="175">
        <v>974</v>
      </c>
      <c r="K197" s="227"/>
    </row>
    <row r="198" spans="1:11" s="1" customFormat="1" ht="27" x14ac:dyDescent="0.3">
      <c r="A198" s="7" t="s">
        <v>943</v>
      </c>
      <c r="B198" s="7"/>
      <c r="C198" s="505" t="s">
        <v>944</v>
      </c>
      <c r="D198" s="246">
        <f>D199</f>
        <v>0</v>
      </c>
      <c r="E198" s="246">
        <f>E199</f>
        <v>768.6</v>
      </c>
      <c r="F198" s="246">
        <f>F199</f>
        <v>768.6</v>
      </c>
      <c r="G198" s="175">
        <f t="shared" si="51"/>
        <v>0</v>
      </c>
      <c r="H198" s="407"/>
      <c r="I198" s="175">
        <f t="shared" si="51"/>
        <v>0</v>
      </c>
      <c r="J198" s="175">
        <f t="shared" si="51"/>
        <v>0</v>
      </c>
      <c r="K198" s="227"/>
    </row>
    <row r="199" spans="1:11" s="1" customFormat="1" ht="14.4" x14ac:dyDescent="0.3">
      <c r="A199" s="417"/>
      <c r="B199" s="417" t="s">
        <v>22</v>
      </c>
      <c r="C199" s="130" t="s">
        <v>21</v>
      </c>
      <c r="D199" s="407">
        <v>0</v>
      </c>
      <c r="E199" s="407">
        <v>768.6</v>
      </c>
      <c r="F199" s="407">
        <v>768.6</v>
      </c>
      <c r="G199" s="407">
        <v>0</v>
      </c>
      <c r="H199" s="407"/>
      <c r="I199" s="407">
        <v>0</v>
      </c>
      <c r="J199" s="407">
        <v>0</v>
      </c>
      <c r="K199" s="227"/>
    </row>
    <row r="200" spans="1:11" s="1" customFormat="1" ht="53.4" x14ac:dyDescent="0.3">
      <c r="A200" s="7" t="s">
        <v>337</v>
      </c>
      <c r="B200" s="7"/>
      <c r="C200" s="78" t="s">
        <v>336</v>
      </c>
      <c r="D200" s="246">
        <f t="shared" ref="D200:J200" si="52">D201</f>
        <v>208.2</v>
      </c>
      <c r="E200" s="409"/>
      <c r="F200" s="246">
        <f t="shared" si="52"/>
        <v>208.2</v>
      </c>
      <c r="G200" s="175">
        <f t="shared" si="52"/>
        <v>157.6</v>
      </c>
      <c r="H200" s="407"/>
      <c r="I200" s="175">
        <f t="shared" si="52"/>
        <v>157.6</v>
      </c>
      <c r="J200" s="175">
        <f t="shared" si="52"/>
        <v>157.6</v>
      </c>
      <c r="K200" s="227"/>
    </row>
    <row r="201" spans="1:11" s="1" customFormat="1" ht="27" x14ac:dyDescent="0.3">
      <c r="A201" s="7"/>
      <c r="B201" s="7" t="s">
        <v>12</v>
      </c>
      <c r="C201" s="6" t="s">
        <v>11</v>
      </c>
      <c r="D201" s="175">
        <v>208.2</v>
      </c>
      <c r="E201" s="407"/>
      <c r="F201" s="175">
        <v>208.2</v>
      </c>
      <c r="G201" s="175">
        <v>157.6</v>
      </c>
      <c r="H201" s="407"/>
      <c r="I201" s="175">
        <v>157.6</v>
      </c>
      <c r="J201" s="175">
        <v>157.6</v>
      </c>
      <c r="K201" s="227"/>
    </row>
    <row r="202" spans="1:11" s="1" customFormat="1" ht="40.200000000000003" x14ac:dyDescent="0.3">
      <c r="A202" s="7" t="s">
        <v>257</v>
      </c>
      <c r="B202" s="7"/>
      <c r="C202" s="78" t="s">
        <v>256</v>
      </c>
      <c r="D202" s="175">
        <f>D203+D204</f>
        <v>4010.2000000000003</v>
      </c>
      <c r="E202" s="407"/>
      <c r="F202" s="175">
        <f>F203+F204</f>
        <v>4010.2000000000003</v>
      </c>
      <c r="G202" s="175">
        <f>G203+G204</f>
        <v>0</v>
      </c>
      <c r="H202" s="407"/>
      <c r="I202" s="175">
        <f>I203+I204</f>
        <v>0</v>
      </c>
      <c r="J202" s="175">
        <f>J203+J204</f>
        <v>4010.2000000000003</v>
      </c>
      <c r="K202" s="227"/>
    </row>
    <row r="203" spans="1:11" s="1" customFormat="1" ht="27" x14ac:dyDescent="0.3">
      <c r="A203" s="7"/>
      <c r="B203" s="7" t="s">
        <v>12</v>
      </c>
      <c r="C203" s="6" t="s">
        <v>11</v>
      </c>
      <c r="D203" s="175">
        <v>2505.8000000000002</v>
      </c>
      <c r="E203" s="407"/>
      <c r="F203" s="175">
        <v>2505.8000000000002</v>
      </c>
      <c r="G203" s="175">
        <v>0</v>
      </c>
      <c r="H203" s="407"/>
      <c r="I203" s="175">
        <v>0</v>
      </c>
      <c r="J203" s="175">
        <v>2505.8000000000002</v>
      </c>
      <c r="K203" s="227"/>
    </row>
    <row r="204" spans="1:11" s="1" customFormat="1" ht="14.4" x14ac:dyDescent="0.3">
      <c r="A204" s="7"/>
      <c r="B204" s="7" t="s">
        <v>71</v>
      </c>
      <c r="C204" s="6" t="s">
        <v>70</v>
      </c>
      <c r="D204" s="175">
        <v>1504.4</v>
      </c>
      <c r="E204" s="407"/>
      <c r="F204" s="175">
        <v>1504.4</v>
      </c>
      <c r="G204" s="175">
        <v>0</v>
      </c>
      <c r="H204" s="407"/>
      <c r="I204" s="175">
        <v>0</v>
      </c>
      <c r="J204" s="175">
        <v>1504.4</v>
      </c>
      <c r="K204" s="227"/>
    </row>
    <row r="205" spans="1:11" s="1" customFormat="1" ht="27.75" customHeight="1" x14ac:dyDescent="0.3">
      <c r="A205" s="7" t="s">
        <v>335</v>
      </c>
      <c r="B205" s="7"/>
      <c r="C205" s="6" t="s">
        <v>334</v>
      </c>
      <c r="D205" s="246">
        <f t="shared" ref="D205:J205" si="53">D206</f>
        <v>42.5</v>
      </c>
      <c r="E205" s="409"/>
      <c r="F205" s="246">
        <f t="shared" si="53"/>
        <v>42.5</v>
      </c>
      <c r="G205" s="175">
        <f t="shared" si="53"/>
        <v>42.5</v>
      </c>
      <c r="H205" s="407"/>
      <c r="I205" s="175">
        <f t="shared" si="53"/>
        <v>42.5</v>
      </c>
      <c r="J205" s="175">
        <f t="shared" si="53"/>
        <v>42.5</v>
      </c>
      <c r="K205" s="227"/>
    </row>
    <row r="206" spans="1:11" s="1" customFormat="1" ht="27" x14ac:dyDescent="0.3">
      <c r="A206" s="7"/>
      <c r="B206" s="7" t="s">
        <v>12</v>
      </c>
      <c r="C206" s="6" t="s">
        <v>11</v>
      </c>
      <c r="D206" s="175">
        <v>42.5</v>
      </c>
      <c r="E206" s="407"/>
      <c r="F206" s="175">
        <v>42.5</v>
      </c>
      <c r="G206" s="175">
        <v>42.5</v>
      </c>
      <c r="H206" s="407"/>
      <c r="I206" s="175">
        <v>42.5</v>
      </c>
      <c r="J206" s="175">
        <v>42.5</v>
      </c>
      <c r="K206" s="227"/>
    </row>
    <row r="207" spans="1:11" s="1" customFormat="1" ht="53.4" x14ac:dyDescent="0.3">
      <c r="A207" s="7" t="s">
        <v>535</v>
      </c>
      <c r="B207" s="7"/>
      <c r="C207" s="6" t="s">
        <v>602</v>
      </c>
      <c r="D207" s="246">
        <f t="shared" ref="D207:J207" si="54">D208</f>
        <v>518</v>
      </c>
      <c r="E207" s="409"/>
      <c r="F207" s="246">
        <f t="shared" si="54"/>
        <v>518</v>
      </c>
      <c r="G207" s="175">
        <f t="shared" si="54"/>
        <v>0</v>
      </c>
      <c r="H207" s="407"/>
      <c r="I207" s="175">
        <f t="shared" si="54"/>
        <v>0</v>
      </c>
      <c r="J207" s="175">
        <f t="shared" si="54"/>
        <v>0</v>
      </c>
      <c r="K207" s="227"/>
    </row>
    <row r="208" spans="1:11" s="1" customFormat="1" ht="27" x14ac:dyDescent="0.3">
      <c r="A208" s="7"/>
      <c r="B208" s="7" t="s">
        <v>12</v>
      </c>
      <c r="C208" s="6" t="s">
        <v>11</v>
      </c>
      <c r="D208" s="175">
        <v>518</v>
      </c>
      <c r="E208" s="407"/>
      <c r="F208" s="175">
        <v>518</v>
      </c>
      <c r="G208" s="175">
        <v>0</v>
      </c>
      <c r="H208" s="407"/>
      <c r="I208" s="175">
        <v>0</v>
      </c>
      <c r="J208" s="175">
        <v>0</v>
      </c>
      <c r="K208" s="227"/>
    </row>
    <row r="209" spans="1:11" s="1" customFormat="1" ht="53.4" x14ac:dyDescent="0.3">
      <c r="A209" s="7" t="s">
        <v>333</v>
      </c>
      <c r="B209" s="7"/>
      <c r="C209" s="6" t="s">
        <v>601</v>
      </c>
      <c r="D209" s="175">
        <f t="shared" ref="D209:J209" si="55">D210</f>
        <v>7363.6622699999998</v>
      </c>
      <c r="E209" s="407"/>
      <c r="F209" s="175">
        <f t="shared" si="55"/>
        <v>7363.6622699999998</v>
      </c>
      <c r="G209" s="175">
        <f t="shared" si="55"/>
        <v>75.834639999999993</v>
      </c>
      <c r="H209" s="407"/>
      <c r="I209" s="175">
        <f t="shared" si="55"/>
        <v>75.834639999999993</v>
      </c>
      <c r="J209" s="175">
        <f t="shared" si="55"/>
        <v>0</v>
      </c>
      <c r="K209" s="227"/>
    </row>
    <row r="210" spans="1:11" s="1" customFormat="1" ht="27" x14ac:dyDescent="0.3">
      <c r="A210" s="7"/>
      <c r="B210" s="7" t="s">
        <v>12</v>
      </c>
      <c r="C210" s="6" t="s">
        <v>11</v>
      </c>
      <c r="D210" s="175">
        <f>D211+D212</f>
        <v>7363.6622699999998</v>
      </c>
      <c r="E210" s="407"/>
      <c r="F210" s="175">
        <f>F211+F212</f>
        <v>7363.6622699999998</v>
      </c>
      <c r="G210" s="175">
        <f>G211+G212</f>
        <v>75.834639999999993</v>
      </c>
      <c r="H210" s="407"/>
      <c r="I210" s="175">
        <f>I211+I212</f>
        <v>75.834639999999993</v>
      </c>
      <c r="J210" s="175">
        <f>J211+J212</f>
        <v>0</v>
      </c>
      <c r="K210" s="227"/>
    </row>
    <row r="211" spans="1:11" s="1" customFormat="1" ht="14.4" x14ac:dyDescent="0.3">
      <c r="A211" s="7"/>
      <c r="B211" s="7"/>
      <c r="C211" s="6" t="s">
        <v>100</v>
      </c>
      <c r="D211" s="175">
        <v>7216.3890000000001</v>
      </c>
      <c r="E211" s="407"/>
      <c r="F211" s="175">
        <v>7216.3890000000001</v>
      </c>
      <c r="G211" s="175"/>
      <c r="H211" s="407"/>
      <c r="I211" s="175"/>
      <c r="J211" s="175">
        <v>0</v>
      </c>
      <c r="K211" s="227"/>
    </row>
    <row r="212" spans="1:11" s="1" customFormat="1" ht="14.4" x14ac:dyDescent="0.3">
      <c r="A212" s="7"/>
      <c r="B212" s="7"/>
      <c r="C212" s="6" t="s">
        <v>97</v>
      </c>
      <c r="D212" s="175">
        <v>147.27327</v>
      </c>
      <c r="E212" s="407"/>
      <c r="F212" s="175">
        <v>147.27327</v>
      </c>
      <c r="G212" s="175">
        <v>75.834639999999993</v>
      </c>
      <c r="H212" s="407"/>
      <c r="I212" s="175">
        <v>75.834639999999993</v>
      </c>
      <c r="J212" s="175">
        <v>0</v>
      </c>
      <c r="K212" s="227"/>
    </row>
    <row r="213" spans="1:11" s="1" customFormat="1" ht="27" x14ac:dyDescent="0.3">
      <c r="A213" s="7" t="s">
        <v>895</v>
      </c>
      <c r="B213" s="7"/>
      <c r="C213" s="6" t="s">
        <v>894</v>
      </c>
      <c r="D213" s="246">
        <f t="shared" ref="D213:J213" si="56">D214</f>
        <v>820</v>
      </c>
      <c r="E213" s="409"/>
      <c r="F213" s="246">
        <f t="shared" si="56"/>
        <v>820</v>
      </c>
      <c r="G213" s="175">
        <f t="shared" si="56"/>
        <v>0</v>
      </c>
      <c r="H213" s="407"/>
      <c r="I213" s="175">
        <f t="shared" si="56"/>
        <v>0</v>
      </c>
      <c r="J213" s="175">
        <f t="shared" si="56"/>
        <v>0</v>
      </c>
      <c r="K213" s="227"/>
    </row>
    <row r="214" spans="1:11" s="1" customFormat="1" ht="27" x14ac:dyDescent="0.3">
      <c r="A214" s="381"/>
      <c r="B214" s="7" t="s">
        <v>12</v>
      </c>
      <c r="C214" s="6" t="s">
        <v>11</v>
      </c>
      <c r="D214" s="175">
        <v>820</v>
      </c>
      <c r="E214" s="407"/>
      <c r="F214" s="175">
        <v>820</v>
      </c>
      <c r="G214" s="175">
        <v>0</v>
      </c>
      <c r="H214" s="407"/>
      <c r="I214" s="175">
        <v>0</v>
      </c>
      <c r="J214" s="175">
        <v>0</v>
      </c>
      <c r="K214" s="227"/>
    </row>
    <row r="215" spans="1:11" s="1" customFormat="1" ht="40.200000000000003" x14ac:dyDescent="0.3">
      <c r="A215" s="153" t="s">
        <v>361</v>
      </c>
      <c r="B215" s="153"/>
      <c r="C215" s="154" t="s">
        <v>753</v>
      </c>
      <c r="D215" s="165">
        <f t="shared" ref="D215:J216" si="57">D216</f>
        <v>3200</v>
      </c>
      <c r="E215" s="165">
        <f t="shared" si="57"/>
        <v>-100</v>
      </c>
      <c r="F215" s="165">
        <f t="shared" si="57"/>
        <v>3100</v>
      </c>
      <c r="G215" s="165">
        <f t="shared" si="57"/>
        <v>0</v>
      </c>
      <c r="H215" s="406"/>
      <c r="I215" s="165">
        <f t="shared" si="57"/>
        <v>0</v>
      </c>
      <c r="J215" s="165">
        <f t="shared" si="57"/>
        <v>0</v>
      </c>
      <c r="K215" s="227"/>
    </row>
    <row r="216" spans="1:11" s="1" customFormat="1" ht="27" x14ac:dyDescent="0.3">
      <c r="A216" s="7" t="s">
        <v>360</v>
      </c>
      <c r="B216" s="7"/>
      <c r="C216" s="78" t="s">
        <v>563</v>
      </c>
      <c r="D216" s="246">
        <f t="shared" si="57"/>
        <v>3200</v>
      </c>
      <c r="E216" s="246">
        <f t="shared" si="57"/>
        <v>-100</v>
      </c>
      <c r="F216" s="246">
        <f t="shared" si="57"/>
        <v>3100</v>
      </c>
      <c r="G216" s="175">
        <f t="shared" si="57"/>
        <v>0</v>
      </c>
      <c r="H216" s="407"/>
      <c r="I216" s="175">
        <f t="shared" si="57"/>
        <v>0</v>
      </c>
      <c r="J216" s="175">
        <f t="shared" si="57"/>
        <v>0</v>
      </c>
      <c r="K216" s="227"/>
    </row>
    <row r="217" spans="1:11" s="1" customFormat="1" ht="40.200000000000003" x14ac:dyDescent="0.3">
      <c r="A217" s="7"/>
      <c r="B217" s="73" t="s">
        <v>248</v>
      </c>
      <c r="C217" s="6" t="s">
        <v>247</v>
      </c>
      <c r="D217" s="175">
        <v>3200</v>
      </c>
      <c r="E217" s="407">
        <v>-100</v>
      </c>
      <c r="F217" s="175">
        <f>3200-100</f>
        <v>3100</v>
      </c>
      <c r="G217" s="175">
        <v>0</v>
      </c>
      <c r="H217" s="407"/>
      <c r="I217" s="175">
        <v>0</v>
      </c>
      <c r="J217" s="175">
        <v>0</v>
      </c>
      <c r="K217" s="227"/>
    </row>
    <row r="218" spans="1:11" ht="52.8" x14ac:dyDescent="0.25">
      <c r="A218" s="170" t="s">
        <v>59</v>
      </c>
      <c r="B218" s="170"/>
      <c r="C218" s="173" t="s">
        <v>58</v>
      </c>
      <c r="D218" s="255">
        <f>D219+D286</f>
        <v>133342.46616000004</v>
      </c>
      <c r="E218" s="255">
        <f>E219+E286</f>
        <v>683.1</v>
      </c>
      <c r="F218" s="255">
        <f>F219+F286</f>
        <v>134025.56616000002</v>
      </c>
      <c r="G218" s="255">
        <f>G219+G286</f>
        <v>104824.6</v>
      </c>
      <c r="H218" s="404"/>
      <c r="I218" s="255">
        <f>I219+I286</f>
        <v>104824.6</v>
      </c>
      <c r="J218" s="255">
        <f>J219+J286</f>
        <v>107283.20000000001</v>
      </c>
      <c r="K218" s="483"/>
    </row>
    <row r="219" spans="1:11" ht="39.6" x14ac:dyDescent="0.25">
      <c r="A219" s="30" t="s">
        <v>93</v>
      </c>
      <c r="B219" s="30"/>
      <c r="C219" s="51" t="s">
        <v>92</v>
      </c>
      <c r="D219" s="249">
        <f>D220+D223+D231+D234+D237+D242+D251+D271+D282</f>
        <v>132978.36616000003</v>
      </c>
      <c r="E219" s="249">
        <f>E220+E223+E231+E234+E237+E242+E251+E271+E282</f>
        <v>683.1</v>
      </c>
      <c r="F219" s="249">
        <f>F220+F223+F231+F234+F237+F242+F251+F271+F282</f>
        <v>133661.46616000001</v>
      </c>
      <c r="G219" s="249">
        <f>G220+G223+G231+G234+G237+G242+G251+G271</f>
        <v>104824.6</v>
      </c>
      <c r="H219" s="405"/>
      <c r="I219" s="249">
        <f>I220+I223+I231+I234+I237+I242+I251+I271</f>
        <v>104824.6</v>
      </c>
      <c r="J219" s="249">
        <f>J220+J223+J231+J234+J237+J242+J251+J271</f>
        <v>106919.1</v>
      </c>
      <c r="K219" s="483"/>
    </row>
    <row r="220" spans="1:11" ht="66" x14ac:dyDescent="0.25">
      <c r="A220" s="153" t="s">
        <v>117</v>
      </c>
      <c r="B220" s="153"/>
      <c r="C220" s="154" t="s">
        <v>116</v>
      </c>
      <c r="D220" s="165">
        <f t="shared" ref="D220:J221" si="58">D221</f>
        <v>50874.8</v>
      </c>
      <c r="E220" s="406"/>
      <c r="F220" s="165">
        <f t="shared" si="58"/>
        <v>50874.8</v>
      </c>
      <c r="G220" s="165">
        <f t="shared" si="58"/>
        <v>49233.599999999999</v>
      </c>
      <c r="H220" s="406"/>
      <c r="I220" s="165">
        <f t="shared" si="58"/>
        <v>49233.599999999999</v>
      </c>
      <c r="J220" s="165">
        <f t="shared" si="58"/>
        <v>49233.599999999999</v>
      </c>
      <c r="K220" s="483"/>
    </row>
    <row r="221" spans="1:11" ht="26.4" x14ac:dyDescent="0.25">
      <c r="A221" s="7" t="s">
        <v>115</v>
      </c>
      <c r="B221" s="7"/>
      <c r="C221" s="63" t="s">
        <v>114</v>
      </c>
      <c r="D221" s="175">
        <f t="shared" si="58"/>
        <v>50874.8</v>
      </c>
      <c r="E221" s="407"/>
      <c r="F221" s="175">
        <f t="shared" si="58"/>
        <v>50874.8</v>
      </c>
      <c r="G221" s="175">
        <f t="shared" si="58"/>
        <v>49233.599999999999</v>
      </c>
      <c r="H221" s="407"/>
      <c r="I221" s="175">
        <f t="shared" si="58"/>
        <v>49233.599999999999</v>
      </c>
      <c r="J221" s="175">
        <f t="shared" si="58"/>
        <v>49233.599999999999</v>
      </c>
      <c r="K221" s="483"/>
    </row>
    <row r="222" spans="1:11" ht="26.4" x14ac:dyDescent="0.25">
      <c r="A222" s="7"/>
      <c r="B222" s="7" t="s">
        <v>57</v>
      </c>
      <c r="C222" s="6" t="s">
        <v>56</v>
      </c>
      <c r="D222" s="175">
        <v>50874.8</v>
      </c>
      <c r="E222" s="407"/>
      <c r="F222" s="175">
        <v>50874.8</v>
      </c>
      <c r="G222" s="175">
        <f>52385.1-3151.5</f>
        <v>49233.599999999999</v>
      </c>
      <c r="H222" s="407"/>
      <c r="I222" s="175">
        <f>52385.1-3151.5</f>
        <v>49233.599999999999</v>
      </c>
      <c r="J222" s="175">
        <f>52385.1-3151.5</f>
        <v>49233.599999999999</v>
      </c>
      <c r="K222" s="483"/>
    </row>
    <row r="223" spans="1:11" ht="26.4" x14ac:dyDescent="0.25">
      <c r="A223" s="153" t="s">
        <v>113</v>
      </c>
      <c r="B223" s="153"/>
      <c r="C223" s="154" t="s">
        <v>112</v>
      </c>
      <c r="D223" s="165">
        <f>D224+D226+D228</f>
        <v>30130.05</v>
      </c>
      <c r="E223" s="406"/>
      <c r="F223" s="165">
        <f>F224+F226+F228</f>
        <v>30130.05</v>
      </c>
      <c r="G223" s="165">
        <f>G224+G226</f>
        <v>29614.1</v>
      </c>
      <c r="H223" s="406"/>
      <c r="I223" s="165">
        <f>I224+I226</f>
        <v>29614.1</v>
      </c>
      <c r="J223" s="165">
        <f>J224+J226</f>
        <v>30114.1</v>
      </c>
      <c r="K223" s="483"/>
    </row>
    <row r="224" spans="1:11" ht="26.4" x14ac:dyDescent="0.25">
      <c r="A224" s="7" t="s">
        <v>111</v>
      </c>
      <c r="B224" s="7"/>
      <c r="C224" s="63" t="s">
        <v>110</v>
      </c>
      <c r="D224" s="175">
        <f t="shared" ref="D224:J224" si="59">D225</f>
        <v>29614.1</v>
      </c>
      <c r="E224" s="407"/>
      <c r="F224" s="175">
        <f t="shared" si="59"/>
        <v>29614.1</v>
      </c>
      <c r="G224" s="175">
        <f t="shared" si="59"/>
        <v>29614.1</v>
      </c>
      <c r="H224" s="407"/>
      <c r="I224" s="175">
        <f t="shared" si="59"/>
        <v>29614.1</v>
      </c>
      <c r="J224" s="175">
        <f t="shared" si="59"/>
        <v>29614.1</v>
      </c>
      <c r="K224" s="483"/>
    </row>
    <row r="225" spans="1:12" ht="26.4" x14ac:dyDescent="0.25">
      <c r="A225" s="7"/>
      <c r="B225" s="7" t="s">
        <v>57</v>
      </c>
      <c r="C225" s="6" t="s">
        <v>56</v>
      </c>
      <c r="D225" s="175">
        <f>31652.3-2038.2</f>
        <v>29614.1</v>
      </c>
      <c r="E225" s="407"/>
      <c r="F225" s="175">
        <f>31652.3-2038.2</f>
        <v>29614.1</v>
      </c>
      <c r="G225" s="175">
        <f>31652.3-2038.2</f>
        <v>29614.1</v>
      </c>
      <c r="H225" s="407"/>
      <c r="I225" s="175">
        <f>31652.3-2038.2</f>
        <v>29614.1</v>
      </c>
      <c r="J225" s="175">
        <f>31652.3-2038.2</f>
        <v>29614.1</v>
      </c>
      <c r="K225" s="483"/>
    </row>
    <row r="226" spans="1:12" ht="26.4" x14ac:dyDescent="0.25">
      <c r="A226" s="7" t="s">
        <v>109</v>
      </c>
      <c r="B226" s="7"/>
      <c r="C226" s="63" t="s">
        <v>108</v>
      </c>
      <c r="D226" s="175">
        <f t="shared" ref="D226:J226" si="60">D227</f>
        <v>500</v>
      </c>
      <c r="E226" s="407"/>
      <c r="F226" s="175">
        <f t="shared" si="60"/>
        <v>500</v>
      </c>
      <c r="G226" s="175">
        <f t="shared" si="60"/>
        <v>0</v>
      </c>
      <c r="H226" s="407"/>
      <c r="I226" s="175">
        <f t="shared" si="60"/>
        <v>0</v>
      </c>
      <c r="J226" s="175">
        <f t="shared" si="60"/>
        <v>500</v>
      </c>
      <c r="K226" s="483"/>
    </row>
    <row r="227" spans="1:12" ht="26.4" x14ac:dyDescent="0.25">
      <c r="A227" s="7"/>
      <c r="B227" s="7" t="s">
        <v>57</v>
      </c>
      <c r="C227" s="6" t="s">
        <v>56</v>
      </c>
      <c r="D227" s="175">
        <v>500</v>
      </c>
      <c r="E227" s="407"/>
      <c r="F227" s="175">
        <v>500</v>
      </c>
      <c r="G227" s="175">
        <v>0</v>
      </c>
      <c r="H227" s="407"/>
      <c r="I227" s="175">
        <v>0</v>
      </c>
      <c r="J227" s="175">
        <v>500</v>
      </c>
      <c r="K227" s="483"/>
    </row>
    <row r="228" spans="1:12" ht="39.6" x14ac:dyDescent="0.25">
      <c r="A228" s="7" t="s">
        <v>779</v>
      </c>
      <c r="B228" s="276"/>
      <c r="C228" s="277" t="s">
        <v>782</v>
      </c>
      <c r="D228" s="278">
        <f>D229</f>
        <v>15.95</v>
      </c>
      <c r="E228" s="407"/>
      <c r="F228" s="278">
        <f>F229</f>
        <v>15.95</v>
      </c>
      <c r="G228" s="278"/>
      <c r="H228" s="407"/>
      <c r="I228" s="278"/>
      <c r="J228" s="278"/>
      <c r="K228" s="483"/>
    </row>
    <row r="229" spans="1:12" ht="24.75" customHeight="1" x14ac:dyDescent="0.25">
      <c r="A229" s="276"/>
      <c r="B229" s="7" t="s">
        <v>57</v>
      </c>
      <c r="C229" s="6" t="s">
        <v>56</v>
      </c>
      <c r="D229" s="278">
        <f>D230</f>
        <v>15.95</v>
      </c>
      <c r="E229" s="407"/>
      <c r="F229" s="278">
        <f>F230</f>
        <v>15.95</v>
      </c>
      <c r="G229" s="278"/>
      <c r="H229" s="407"/>
      <c r="I229" s="278"/>
      <c r="J229" s="278"/>
      <c r="K229" s="483"/>
    </row>
    <row r="230" spans="1:12" x14ac:dyDescent="0.25">
      <c r="A230" s="276"/>
      <c r="B230" s="276"/>
      <c r="C230" s="96" t="s">
        <v>296</v>
      </c>
      <c r="D230" s="278">
        <v>15.95</v>
      </c>
      <c r="E230" s="407"/>
      <c r="F230" s="278">
        <v>15.95</v>
      </c>
      <c r="G230" s="278"/>
      <c r="H230" s="407"/>
      <c r="I230" s="278"/>
      <c r="J230" s="278"/>
      <c r="K230" s="483"/>
    </row>
    <row r="231" spans="1:12" ht="39.6" x14ac:dyDescent="0.25">
      <c r="A231" s="153" t="s">
        <v>107</v>
      </c>
      <c r="B231" s="153"/>
      <c r="C231" s="154" t="s">
        <v>106</v>
      </c>
      <c r="D231" s="165">
        <f t="shared" ref="D231:J232" si="61">D232</f>
        <v>1940.3000000000002</v>
      </c>
      <c r="E231" s="406"/>
      <c r="F231" s="165">
        <f t="shared" si="61"/>
        <v>1940.3000000000002</v>
      </c>
      <c r="G231" s="165">
        <f t="shared" si="61"/>
        <v>1854.1000000000001</v>
      </c>
      <c r="H231" s="406"/>
      <c r="I231" s="165">
        <f t="shared" si="61"/>
        <v>1854.1000000000001</v>
      </c>
      <c r="J231" s="165">
        <f t="shared" si="61"/>
        <v>1854.1000000000001</v>
      </c>
      <c r="K231" s="483"/>
    </row>
    <row r="232" spans="1:12" ht="26.4" x14ac:dyDescent="0.25">
      <c r="A232" s="7" t="s">
        <v>105</v>
      </c>
      <c r="B232" s="7"/>
      <c r="C232" s="63" t="s">
        <v>104</v>
      </c>
      <c r="D232" s="175">
        <f t="shared" si="61"/>
        <v>1940.3000000000002</v>
      </c>
      <c r="E232" s="407"/>
      <c r="F232" s="175">
        <f t="shared" si="61"/>
        <v>1940.3000000000002</v>
      </c>
      <c r="G232" s="175">
        <f t="shared" si="61"/>
        <v>1854.1000000000001</v>
      </c>
      <c r="H232" s="407"/>
      <c r="I232" s="175">
        <f t="shared" si="61"/>
        <v>1854.1000000000001</v>
      </c>
      <c r="J232" s="175">
        <f t="shared" si="61"/>
        <v>1854.1000000000001</v>
      </c>
      <c r="K232" s="483"/>
    </row>
    <row r="233" spans="1:12" ht="26.4" x14ac:dyDescent="0.25">
      <c r="A233" s="7"/>
      <c r="B233" s="7" t="s">
        <v>57</v>
      </c>
      <c r="C233" s="6" t="s">
        <v>56</v>
      </c>
      <c r="D233" s="175">
        <f>4511.1-171.3-2399.5</f>
        <v>1940.3000000000002</v>
      </c>
      <c r="E233" s="407"/>
      <c r="F233" s="175">
        <f>4511.1-171.3-2399.5</f>
        <v>1940.3000000000002</v>
      </c>
      <c r="G233" s="175">
        <f>2025.4-171.3</f>
        <v>1854.1000000000001</v>
      </c>
      <c r="H233" s="407"/>
      <c r="I233" s="175">
        <f>2025.4-171.3</f>
        <v>1854.1000000000001</v>
      </c>
      <c r="J233" s="175">
        <f>2025.4-171.3</f>
        <v>1854.1000000000001</v>
      </c>
      <c r="K233" s="483"/>
      <c r="L233" s="483"/>
    </row>
    <row r="234" spans="1:12" ht="39.6" x14ac:dyDescent="0.25">
      <c r="A234" s="153" t="s">
        <v>142</v>
      </c>
      <c r="B234" s="153"/>
      <c r="C234" s="154" t="s">
        <v>141</v>
      </c>
      <c r="D234" s="165">
        <f t="shared" ref="D234:J235" si="62">D235</f>
        <v>24122.799999999999</v>
      </c>
      <c r="E234" s="406"/>
      <c r="F234" s="165">
        <f t="shared" si="62"/>
        <v>24122.799999999999</v>
      </c>
      <c r="G234" s="165">
        <f t="shared" si="62"/>
        <v>24122.799999999999</v>
      </c>
      <c r="H234" s="406"/>
      <c r="I234" s="165">
        <f t="shared" si="62"/>
        <v>24122.799999999999</v>
      </c>
      <c r="J234" s="165">
        <f t="shared" si="62"/>
        <v>24122.799999999999</v>
      </c>
      <c r="K234" s="483"/>
    </row>
    <row r="235" spans="1:12" ht="26.4" x14ac:dyDescent="0.25">
      <c r="A235" s="7" t="s">
        <v>140</v>
      </c>
      <c r="B235" s="7"/>
      <c r="C235" s="63" t="s">
        <v>139</v>
      </c>
      <c r="D235" s="175">
        <f t="shared" si="62"/>
        <v>24122.799999999999</v>
      </c>
      <c r="E235" s="407"/>
      <c r="F235" s="175">
        <f t="shared" si="62"/>
        <v>24122.799999999999</v>
      </c>
      <c r="G235" s="175">
        <f t="shared" si="62"/>
        <v>24122.799999999999</v>
      </c>
      <c r="H235" s="407"/>
      <c r="I235" s="175">
        <f t="shared" si="62"/>
        <v>24122.799999999999</v>
      </c>
      <c r="J235" s="175">
        <f t="shared" si="62"/>
        <v>24122.799999999999</v>
      </c>
      <c r="K235" s="483"/>
    </row>
    <row r="236" spans="1:12" ht="26.4" x14ac:dyDescent="0.25">
      <c r="A236" s="7"/>
      <c r="B236" s="7" t="s">
        <v>57</v>
      </c>
      <c r="C236" s="6" t="s">
        <v>56</v>
      </c>
      <c r="D236" s="175">
        <v>24122.799999999999</v>
      </c>
      <c r="E236" s="407"/>
      <c r="F236" s="175">
        <v>24122.799999999999</v>
      </c>
      <c r="G236" s="175">
        <v>24122.799999999999</v>
      </c>
      <c r="H236" s="407"/>
      <c r="I236" s="175">
        <v>24122.799999999999</v>
      </c>
      <c r="J236" s="175">
        <v>24122.799999999999</v>
      </c>
      <c r="K236" s="483"/>
    </row>
    <row r="237" spans="1:12" ht="39.6" x14ac:dyDescent="0.25">
      <c r="A237" s="153" t="s">
        <v>91</v>
      </c>
      <c r="B237" s="160"/>
      <c r="C237" s="154" t="s">
        <v>90</v>
      </c>
      <c r="D237" s="165">
        <f>D238+D240</f>
        <v>1235.5</v>
      </c>
      <c r="E237" s="406"/>
      <c r="F237" s="165">
        <f>F238+F240</f>
        <v>1235.5</v>
      </c>
      <c r="G237" s="165">
        <f>G238+G240</f>
        <v>0</v>
      </c>
      <c r="H237" s="406"/>
      <c r="I237" s="165">
        <f>I238+I240</f>
        <v>0</v>
      </c>
      <c r="J237" s="165">
        <f>J238+J240</f>
        <v>1544.5</v>
      </c>
      <c r="K237" s="483"/>
    </row>
    <row r="238" spans="1:12" ht="79.2" x14ac:dyDescent="0.25">
      <c r="A238" s="7" t="s">
        <v>89</v>
      </c>
      <c r="B238" s="7"/>
      <c r="C238" s="6" t="s">
        <v>564</v>
      </c>
      <c r="D238" s="175">
        <f t="shared" ref="D238:J238" si="63">D239</f>
        <v>603.79999999999995</v>
      </c>
      <c r="E238" s="407"/>
      <c r="F238" s="175">
        <f t="shared" si="63"/>
        <v>603.79999999999995</v>
      </c>
      <c r="G238" s="175">
        <f t="shared" si="63"/>
        <v>0</v>
      </c>
      <c r="H238" s="407"/>
      <c r="I238" s="175">
        <f t="shared" si="63"/>
        <v>0</v>
      </c>
      <c r="J238" s="175">
        <f t="shared" si="63"/>
        <v>754.9</v>
      </c>
      <c r="K238" s="483"/>
    </row>
    <row r="239" spans="1:12" ht="26.4" x14ac:dyDescent="0.25">
      <c r="A239" s="7"/>
      <c r="B239" s="7" t="s">
        <v>57</v>
      </c>
      <c r="C239" s="6" t="s">
        <v>56</v>
      </c>
      <c r="D239" s="175">
        <v>603.79999999999995</v>
      </c>
      <c r="E239" s="407"/>
      <c r="F239" s="175">
        <v>603.79999999999995</v>
      </c>
      <c r="G239" s="175">
        <v>0</v>
      </c>
      <c r="H239" s="407"/>
      <c r="I239" s="175">
        <v>0</v>
      </c>
      <c r="J239" s="175">
        <v>754.9</v>
      </c>
      <c r="K239" s="483"/>
      <c r="L239" s="483"/>
    </row>
    <row r="240" spans="1:12" ht="79.2" x14ac:dyDescent="0.25">
      <c r="A240" s="7" t="s">
        <v>87</v>
      </c>
      <c r="B240" s="7"/>
      <c r="C240" s="6" t="s">
        <v>86</v>
      </c>
      <c r="D240" s="175">
        <f t="shared" ref="D240:J240" si="64">D241</f>
        <v>631.70000000000005</v>
      </c>
      <c r="E240" s="407"/>
      <c r="F240" s="175">
        <f t="shared" si="64"/>
        <v>631.70000000000005</v>
      </c>
      <c r="G240" s="175">
        <f t="shared" si="64"/>
        <v>0</v>
      </c>
      <c r="H240" s="407"/>
      <c r="I240" s="175">
        <f t="shared" si="64"/>
        <v>0</v>
      </c>
      <c r="J240" s="175">
        <f t="shared" si="64"/>
        <v>789.6</v>
      </c>
      <c r="K240" s="483"/>
      <c r="L240" s="483"/>
    </row>
    <row r="241" spans="1:12" ht="26.4" x14ac:dyDescent="0.25">
      <c r="A241" s="7"/>
      <c r="B241" s="7" t="s">
        <v>57</v>
      </c>
      <c r="C241" s="6" t="s">
        <v>56</v>
      </c>
      <c r="D241" s="175">
        <v>631.70000000000005</v>
      </c>
      <c r="E241" s="407"/>
      <c r="F241" s="175">
        <v>631.70000000000005</v>
      </c>
      <c r="G241" s="175">
        <v>0</v>
      </c>
      <c r="H241" s="407"/>
      <c r="I241" s="175">
        <v>0</v>
      </c>
      <c r="J241" s="175">
        <v>789.6</v>
      </c>
      <c r="K241" s="485"/>
      <c r="L241" s="483"/>
    </row>
    <row r="242" spans="1:12" x14ac:dyDescent="0.25">
      <c r="A242" s="153" t="s">
        <v>85</v>
      </c>
      <c r="B242" s="160"/>
      <c r="C242" s="154" t="s">
        <v>84</v>
      </c>
      <c r="D242" s="165">
        <f>D243+D245+D248</f>
        <v>50.733330000000002</v>
      </c>
      <c r="E242" s="406"/>
      <c r="F242" s="165">
        <f>F243+F245+F248</f>
        <v>50.733330000000002</v>
      </c>
      <c r="G242" s="165">
        <f t="shared" ref="D242:J243" si="65">G243</f>
        <v>0</v>
      </c>
      <c r="H242" s="406"/>
      <c r="I242" s="165">
        <f t="shared" si="65"/>
        <v>0</v>
      </c>
      <c r="J242" s="165">
        <f t="shared" si="65"/>
        <v>50</v>
      </c>
      <c r="K242" s="483"/>
    </row>
    <row r="243" spans="1:12" ht="26.4" x14ac:dyDescent="0.25">
      <c r="A243" s="7" t="s">
        <v>83</v>
      </c>
      <c r="B243" s="7"/>
      <c r="C243" s="6" t="s">
        <v>82</v>
      </c>
      <c r="D243" s="175">
        <f t="shared" si="65"/>
        <v>50</v>
      </c>
      <c r="E243" s="407"/>
      <c r="F243" s="175">
        <f t="shared" si="65"/>
        <v>50</v>
      </c>
      <c r="G243" s="175">
        <f t="shared" si="65"/>
        <v>0</v>
      </c>
      <c r="H243" s="407"/>
      <c r="I243" s="175">
        <f t="shared" si="65"/>
        <v>0</v>
      </c>
      <c r="J243" s="175">
        <f t="shared" si="65"/>
        <v>50</v>
      </c>
      <c r="K243" s="483"/>
    </row>
    <row r="244" spans="1:12" ht="26.4" x14ac:dyDescent="0.25">
      <c r="A244" s="7"/>
      <c r="B244" s="7" t="s">
        <v>57</v>
      </c>
      <c r="C244" s="6" t="s">
        <v>56</v>
      </c>
      <c r="D244" s="175">
        <v>50</v>
      </c>
      <c r="E244" s="407"/>
      <c r="F244" s="175">
        <v>50</v>
      </c>
      <c r="G244" s="175">
        <v>0</v>
      </c>
      <c r="H244" s="407"/>
      <c r="I244" s="175">
        <v>0</v>
      </c>
      <c r="J244" s="175">
        <v>50</v>
      </c>
      <c r="K244" s="483"/>
    </row>
    <row r="245" spans="1:12" ht="39.6" x14ac:dyDescent="0.25">
      <c r="A245" s="54" t="s">
        <v>746</v>
      </c>
      <c r="B245" s="54"/>
      <c r="C245" s="97" t="s">
        <v>99</v>
      </c>
      <c r="D245" s="175">
        <f t="shared" ref="D245:J246" si="66">D246</f>
        <v>0.20000999999999999</v>
      </c>
      <c r="E245" s="407"/>
      <c r="F245" s="175">
        <f t="shared" si="66"/>
        <v>0.20000999999999999</v>
      </c>
      <c r="G245" s="175">
        <f t="shared" si="66"/>
        <v>0</v>
      </c>
      <c r="H245" s="407"/>
      <c r="I245" s="175">
        <f t="shared" si="66"/>
        <v>0</v>
      </c>
      <c r="J245" s="175">
        <f t="shared" si="66"/>
        <v>0</v>
      </c>
      <c r="K245" s="483"/>
    </row>
    <row r="246" spans="1:12" ht="26.4" x14ac:dyDescent="0.25">
      <c r="A246" s="22"/>
      <c r="B246" s="54" t="s">
        <v>57</v>
      </c>
      <c r="C246" s="6" t="s">
        <v>56</v>
      </c>
      <c r="D246" s="175">
        <f t="shared" si="66"/>
        <v>0.20000999999999999</v>
      </c>
      <c r="E246" s="407"/>
      <c r="F246" s="175">
        <f t="shared" si="66"/>
        <v>0.20000999999999999</v>
      </c>
      <c r="G246" s="175">
        <f t="shared" si="66"/>
        <v>0</v>
      </c>
      <c r="H246" s="407"/>
      <c r="I246" s="175">
        <f t="shared" si="66"/>
        <v>0</v>
      </c>
      <c r="J246" s="175">
        <f t="shared" si="66"/>
        <v>0</v>
      </c>
      <c r="K246" s="483"/>
    </row>
    <row r="247" spans="1:12" x14ac:dyDescent="0.25">
      <c r="A247" s="22"/>
      <c r="B247" s="54"/>
      <c r="C247" s="6" t="s">
        <v>97</v>
      </c>
      <c r="D247" s="175">
        <v>0.20000999999999999</v>
      </c>
      <c r="E247" s="407"/>
      <c r="F247" s="175">
        <v>0.20000999999999999</v>
      </c>
      <c r="G247" s="175">
        <v>0</v>
      </c>
      <c r="H247" s="407"/>
      <c r="I247" s="175">
        <v>0</v>
      </c>
      <c r="J247" s="175">
        <v>0</v>
      </c>
      <c r="K247" s="483"/>
    </row>
    <row r="248" spans="1:12" ht="39.6" x14ac:dyDescent="0.25">
      <c r="A248" s="54" t="s">
        <v>747</v>
      </c>
      <c r="B248" s="54"/>
      <c r="C248" s="97" t="s">
        <v>98</v>
      </c>
      <c r="D248" s="175">
        <f t="shared" ref="D248:J249" si="67">D249</f>
        <v>0.53332000000000002</v>
      </c>
      <c r="E248" s="407"/>
      <c r="F248" s="175">
        <f t="shared" si="67"/>
        <v>0.53332000000000002</v>
      </c>
      <c r="G248" s="175">
        <f t="shared" si="67"/>
        <v>0</v>
      </c>
      <c r="H248" s="407"/>
      <c r="I248" s="175">
        <f t="shared" si="67"/>
        <v>0</v>
      </c>
      <c r="J248" s="175">
        <f t="shared" si="67"/>
        <v>0</v>
      </c>
      <c r="K248" s="483"/>
    </row>
    <row r="249" spans="1:12" ht="26.4" x14ac:dyDescent="0.25">
      <c r="A249" s="22"/>
      <c r="B249" s="54" t="s">
        <v>57</v>
      </c>
      <c r="C249" s="6" t="s">
        <v>56</v>
      </c>
      <c r="D249" s="175">
        <f t="shared" si="67"/>
        <v>0.53332000000000002</v>
      </c>
      <c r="E249" s="407"/>
      <c r="F249" s="175">
        <f t="shared" si="67"/>
        <v>0.53332000000000002</v>
      </c>
      <c r="G249" s="175">
        <f t="shared" si="67"/>
        <v>0</v>
      </c>
      <c r="H249" s="407"/>
      <c r="I249" s="175">
        <f t="shared" si="67"/>
        <v>0</v>
      </c>
      <c r="J249" s="175">
        <f t="shared" si="67"/>
        <v>0</v>
      </c>
      <c r="K249" s="483"/>
    </row>
    <row r="250" spans="1:12" x14ac:dyDescent="0.25">
      <c r="A250" s="22"/>
      <c r="B250" s="54"/>
      <c r="C250" s="6" t="s">
        <v>97</v>
      </c>
      <c r="D250" s="175">
        <v>0.53332000000000002</v>
      </c>
      <c r="E250" s="407"/>
      <c r="F250" s="175">
        <v>0.53332000000000002</v>
      </c>
      <c r="G250" s="175">
        <v>0</v>
      </c>
      <c r="H250" s="407"/>
      <c r="I250" s="175">
        <v>0</v>
      </c>
      <c r="J250" s="175">
        <v>0</v>
      </c>
      <c r="K250" s="483"/>
    </row>
    <row r="251" spans="1:12" ht="74.25" customHeight="1" x14ac:dyDescent="0.25">
      <c r="A251" s="153" t="s">
        <v>103</v>
      </c>
      <c r="B251" s="153"/>
      <c r="C251" s="156" t="s">
        <v>102</v>
      </c>
      <c r="D251" s="165">
        <f>D252+D254+D256+D259+D263+D267</f>
        <v>2201.9262099999996</v>
      </c>
      <c r="E251" s="165">
        <f>E252+E254+E256+E259+E263+E267</f>
        <v>683.1</v>
      </c>
      <c r="F251" s="165">
        <f>F252+F254+F256+F259+F263+F267</f>
        <v>2885.02621</v>
      </c>
      <c r="G251" s="165">
        <f>G252+G254+G256</f>
        <v>0</v>
      </c>
      <c r="H251" s="406"/>
      <c r="I251" s="165">
        <f>I252+I254+I256</f>
        <v>0</v>
      </c>
      <c r="J251" s="165">
        <f>J252+J254+J256</f>
        <v>0</v>
      </c>
      <c r="K251" s="483"/>
    </row>
    <row r="252" spans="1:12" ht="39.6" x14ac:dyDescent="0.25">
      <c r="A252" s="7" t="s">
        <v>697</v>
      </c>
      <c r="B252" s="7"/>
      <c r="C252" s="6" t="s">
        <v>675</v>
      </c>
      <c r="D252" s="175">
        <f>D253</f>
        <v>0</v>
      </c>
      <c r="E252" s="175">
        <f>E253</f>
        <v>683.1</v>
      </c>
      <c r="F252" s="175">
        <f>F253</f>
        <v>683.1</v>
      </c>
      <c r="G252" s="175">
        <v>0</v>
      </c>
      <c r="H252" s="407"/>
      <c r="I252" s="175">
        <v>0</v>
      </c>
      <c r="J252" s="175">
        <v>0</v>
      </c>
      <c r="K252" s="483"/>
    </row>
    <row r="253" spans="1:12" ht="29.25" customHeight="1" x14ac:dyDescent="0.25">
      <c r="A253" s="60"/>
      <c r="B253" s="7" t="s">
        <v>57</v>
      </c>
      <c r="C253" s="6" t="s">
        <v>56</v>
      </c>
      <c r="D253" s="175">
        <v>0</v>
      </c>
      <c r="E253" s="407">
        <v>683.1</v>
      </c>
      <c r="F253" s="175">
        <v>683.1</v>
      </c>
      <c r="G253" s="175">
        <v>0</v>
      </c>
      <c r="H253" s="407"/>
      <c r="I253" s="175">
        <v>0</v>
      </c>
      <c r="J253" s="175">
        <v>0</v>
      </c>
      <c r="K253" s="483"/>
    </row>
    <row r="254" spans="1:12" ht="39.6" x14ac:dyDescent="0.25">
      <c r="A254" s="7" t="s">
        <v>698</v>
      </c>
      <c r="B254" s="7"/>
      <c r="C254" s="6" t="s">
        <v>676</v>
      </c>
      <c r="D254" s="175">
        <f>D255</f>
        <v>212</v>
      </c>
      <c r="E254" s="407"/>
      <c r="F254" s="175">
        <f>F255</f>
        <v>212</v>
      </c>
      <c r="G254" s="175">
        <v>0</v>
      </c>
      <c r="H254" s="407"/>
      <c r="I254" s="175">
        <v>0</v>
      </c>
      <c r="J254" s="175">
        <v>0</v>
      </c>
      <c r="K254" s="483"/>
    </row>
    <row r="255" spans="1:12" ht="28.5" customHeight="1" x14ac:dyDescent="0.25">
      <c r="A255" s="60"/>
      <c r="B255" s="7" t="s">
        <v>57</v>
      </c>
      <c r="C255" s="6" t="s">
        <v>56</v>
      </c>
      <c r="D255" s="175">
        <v>212</v>
      </c>
      <c r="E255" s="407"/>
      <c r="F255" s="175">
        <v>212</v>
      </c>
      <c r="G255" s="175">
        <v>0</v>
      </c>
      <c r="H255" s="407"/>
      <c r="I255" s="175">
        <v>0</v>
      </c>
      <c r="J255" s="175">
        <v>0</v>
      </c>
      <c r="K255" s="483"/>
    </row>
    <row r="256" spans="1:12" ht="39.6" x14ac:dyDescent="0.25">
      <c r="A256" s="7" t="s">
        <v>603</v>
      </c>
      <c r="B256" s="7"/>
      <c r="C256" s="6" t="s">
        <v>699</v>
      </c>
      <c r="D256" s="175">
        <f t="shared" ref="D256:F257" si="68">D257</f>
        <v>1650</v>
      </c>
      <c r="E256" s="407"/>
      <c r="F256" s="175">
        <f t="shared" si="68"/>
        <v>1650</v>
      </c>
      <c r="G256" s="175">
        <v>0</v>
      </c>
      <c r="H256" s="407"/>
      <c r="I256" s="175">
        <v>0</v>
      </c>
      <c r="J256" s="175">
        <v>0</v>
      </c>
      <c r="K256" s="483"/>
    </row>
    <row r="257" spans="1:11" ht="27" customHeight="1" x14ac:dyDescent="0.25">
      <c r="A257" s="60"/>
      <c r="B257" s="7" t="s">
        <v>57</v>
      </c>
      <c r="C257" s="6" t="s">
        <v>56</v>
      </c>
      <c r="D257" s="175">
        <f t="shared" si="68"/>
        <v>1650</v>
      </c>
      <c r="E257" s="407"/>
      <c r="F257" s="175">
        <f t="shared" si="68"/>
        <v>1650</v>
      </c>
      <c r="G257" s="175">
        <v>0</v>
      </c>
      <c r="H257" s="407"/>
      <c r="I257" s="175">
        <v>0</v>
      </c>
      <c r="J257" s="175">
        <v>0</v>
      </c>
      <c r="K257" s="483"/>
    </row>
    <row r="258" spans="1:11" x14ac:dyDescent="0.25">
      <c r="A258" s="60"/>
      <c r="B258" s="7"/>
      <c r="C258" s="6" t="s">
        <v>97</v>
      </c>
      <c r="D258" s="175">
        <v>1650</v>
      </c>
      <c r="E258" s="407"/>
      <c r="F258" s="175">
        <v>1650</v>
      </c>
      <c r="G258" s="175">
        <v>0</v>
      </c>
      <c r="H258" s="407"/>
      <c r="I258" s="175">
        <v>0</v>
      </c>
      <c r="J258" s="175">
        <v>0</v>
      </c>
      <c r="K258" s="483"/>
    </row>
    <row r="259" spans="1:11" s="1" customFormat="1" ht="51" customHeight="1" x14ac:dyDescent="0.3">
      <c r="A259" s="7" t="s">
        <v>748</v>
      </c>
      <c r="B259" s="7"/>
      <c r="C259" s="97" t="s">
        <v>732</v>
      </c>
      <c r="D259" s="175">
        <f>D260</f>
        <v>55.6</v>
      </c>
      <c r="E259" s="407"/>
      <c r="F259" s="175">
        <f>F260</f>
        <v>55.6</v>
      </c>
      <c r="G259" s="175">
        <v>0</v>
      </c>
      <c r="H259" s="407"/>
      <c r="I259" s="175">
        <v>0</v>
      </c>
      <c r="J259" s="175">
        <v>0</v>
      </c>
      <c r="K259" s="227"/>
    </row>
    <row r="260" spans="1:11" s="1" customFormat="1" ht="27" x14ac:dyDescent="0.3">
      <c r="A260" s="7"/>
      <c r="B260" s="7" t="s">
        <v>57</v>
      </c>
      <c r="C260" s="6" t="s">
        <v>56</v>
      </c>
      <c r="D260" s="175">
        <f>D261+D262</f>
        <v>55.6</v>
      </c>
      <c r="E260" s="407"/>
      <c r="F260" s="175">
        <f>F261+F262</f>
        <v>55.6</v>
      </c>
      <c r="G260" s="175">
        <v>0</v>
      </c>
      <c r="H260" s="407"/>
      <c r="I260" s="175">
        <v>0</v>
      </c>
      <c r="J260" s="175">
        <v>0</v>
      </c>
      <c r="K260" s="227"/>
    </row>
    <row r="261" spans="1:11" s="1" customFormat="1" ht="14.4" x14ac:dyDescent="0.3">
      <c r="A261" s="7"/>
      <c r="B261" s="7"/>
      <c r="C261" s="96" t="s">
        <v>296</v>
      </c>
      <c r="D261" s="175">
        <v>27.8</v>
      </c>
      <c r="E261" s="407"/>
      <c r="F261" s="175">
        <v>27.8</v>
      </c>
      <c r="G261" s="175">
        <v>0</v>
      </c>
      <c r="H261" s="407"/>
      <c r="I261" s="175">
        <v>0</v>
      </c>
      <c r="J261" s="175">
        <v>0</v>
      </c>
      <c r="K261" s="227"/>
    </row>
    <row r="262" spans="1:11" s="1" customFormat="1" ht="14.4" x14ac:dyDescent="0.3">
      <c r="A262" s="7"/>
      <c r="B262" s="7"/>
      <c r="C262" s="96" t="s">
        <v>302</v>
      </c>
      <c r="D262" s="175">
        <v>27.8</v>
      </c>
      <c r="E262" s="407"/>
      <c r="F262" s="175">
        <v>27.8</v>
      </c>
      <c r="G262" s="175">
        <v>0</v>
      </c>
      <c r="H262" s="407"/>
      <c r="I262" s="175">
        <v>0</v>
      </c>
      <c r="J262" s="175">
        <v>0</v>
      </c>
      <c r="K262" s="227"/>
    </row>
    <row r="263" spans="1:11" s="1" customFormat="1" ht="53.4" x14ac:dyDescent="0.3">
      <c r="A263" s="7" t="s">
        <v>750</v>
      </c>
      <c r="B263" s="7"/>
      <c r="C263" s="97" t="s">
        <v>737</v>
      </c>
      <c r="D263" s="175">
        <f>D264</f>
        <v>85.188150000000007</v>
      </c>
      <c r="E263" s="407"/>
      <c r="F263" s="175">
        <f>F264</f>
        <v>85.188150000000007</v>
      </c>
      <c r="G263" s="175">
        <v>0</v>
      </c>
      <c r="H263" s="407"/>
      <c r="I263" s="175">
        <v>0</v>
      </c>
      <c r="J263" s="175">
        <v>0</v>
      </c>
      <c r="K263" s="227"/>
    </row>
    <row r="264" spans="1:11" s="1" customFormat="1" ht="27" x14ac:dyDescent="0.3">
      <c r="A264" s="7"/>
      <c r="B264" s="7" t="s">
        <v>57</v>
      </c>
      <c r="C264" s="6" t="s">
        <v>56</v>
      </c>
      <c r="D264" s="175">
        <f>D265+D266</f>
        <v>85.188150000000007</v>
      </c>
      <c r="E264" s="407"/>
      <c r="F264" s="175">
        <f>F265+F266</f>
        <v>85.188150000000007</v>
      </c>
      <c r="G264" s="175">
        <v>0</v>
      </c>
      <c r="H264" s="407"/>
      <c r="I264" s="175">
        <v>0</v>
      </c>
      <c r="J264" s="175">
        <v>0</v>
      </c>
      <c r="K264" s="227"/>
    </row>
    <row r="265" spans="1:11" s="1" customFormat="1" ht="14.4" x14ac:dyDescent="0.3">
      <c r="A265" s="7"/>
      <c r="B265" s="7"/>
      <c r="C265" s="96" t="s">
        <v>296</v>
      </c>
      <c r="D265" s="175">
        <v>42.594070000000002</v>
      </c>
      <c r="E265" s="407"/>
      <c r="F265" s="175">
        <v>42.594070000000002</v>
      </c>
      <c r="G265" s="175">
        <v>0</v>
      </c>
      <c r="H265" s="407"/>
      <c r="I265" s="175">
        <v>0</v>
      </c>
      <c r="J265" s="175">
        <v>0</v>
      </c>
      <c r="K265" s="227"/>
    </row>
    <row r="266" spans="1:11" s="1" customFormat="1" ht="14.4" x14ac:dyDescent="0.3">
      <c r="A266" s="7"/>
      <c r="B266" s="7"/>
      <c r="C266" s="96" t="s">
        <v>302</v>
      </c>
      <c r="D266" s="175">
        <v>42.594079999999998</v>
      </c>
      <c r="E266" s="407"/>
      <c r="F266" s="175">
        <v>42.594079999999998</v>
      </c>
      <c r="G266" s="175">
        <v>0</v>
      </c>
      <c r="H266" s="407"/>
      <c r="I266" s="175">
        <v>0</v>
      </c>
      <c r="J266" s="175">
        <v>0</v>
      </c>
      <c r="K266" s="227"/>
    </row>
    <row r="267" spans="1:11" s="1" customFormat="1" ht="79.8" x14ac:dyDescent="0.3">
      <c r="A267" s="7" t="s">
        <v>751</v>
      </c>
      <c r="B267" s="7"/>
      <c r="C267" s="97" t="s">
        <v>738</v>
      </c>
      <c r="D267" s="175">
        <f>D268</f>
        <v>199.13806</v>
      </c>
      <c r="E267" s="407"/>
      <c r="F267" s="175">
        <f>F268</f>
        <v>199.13806</v>
      </c>
      <c r="G267" s="175">
        <v>0</v>
      </c>
      <c r="H267" s="407"/>
      <c r="I267" s="175">
        <v>0</v>
      </c>
      <c r="J267" s="175">
        <v>0</v>
      </c>
      <c r="K267" s="227"/>
    </row>
    <row r="268" spans="1:11" s="1" customFormat="1" ht="27" x14ac:dyDescent="0.3">
      <c r="A268" s="7"/>
      <c r="B268" s="7" t="s">
        <v>57</v>
      </c>
      <c r="C268" s="6" t="s">
        <v>56</v>
      </c>
      <c r="D268" s="175">
        <f>D269+D270</f>
        <v>199.13806</v>
      </c>
      <c r="E268" s="407"/>
      <c r="F268" s="175">
        <f>F269+F270</f>
        <v>199.13806</v>
      </c>
      <c r="G268" s="175">
        <v>0</v>
      </c>
      <c r="H268" s="407"/>
      <c r="I268" s="175">
        <v>0</v>
      </c>
      <c r="J268" s="175">
        <v>0</v>
      </c>
      <c r="K268" s="227"/>
    </row>
    <row r="269" spans="1:11" s="1" customFormat="1" ht="14.4" x14ac:dyDescent="0.3">
      <c r="A269" s="7"/>
      <c r="B269" s="7"/>
      <c r="C269" s="96" t="s">
        <v>296</v>
      </c>
      <c r="D269" s="175">
        <v>99.569029999999998</v>
      </c>
      <c r="E269" s="407"/>
      <c r="F269" s="175">
        <v>99.569029999999998</v>
      </c>
      <c r="G269" s="175">
        <v>0</v>
      </c>
      <c r="H269" s="407"/>
      <c r="I269" s="175">
        <v>0</v>
      </c>
      <c r="J269" s="175">
        <v>0</v>
      </c>
      <c r="K269" s="227"/>
    </row>
    <row r="270" spans="1:11" s="1" customFormat="1" ht="14.4" x14ac:dyDescent="0.3">
      <c r="A270" s="7"/>
      <c r="B270" s="7"/>
      <c r="C270" s="96" t="s">
        <v>302</v>
      </c>
      <c r="D270" s="175">
        <v>99.569029999999998</v>
      </c>
      <c r="E270" s="407"/>
      <c r="F270" s="175">
        <v>99.569029999999998</v>
      </c>
      <c r="G270" s="175">
        <v>0</v>
      </c>
      <c r="H270" s="407"/>
      <c r="I270" s="175">
        <v>0</v>
      </c>
      <c r="J270" s="175">
        <v>0</v>
      </c>
      <c r="K270" s="227"/>
    </row>
    <row r="271" spans="1:11" ht="26.4" x14ac:dyDescent="0.25">
      <c r="A271" s="205" t="s">
        <v>654</v>
      </c>
      <c r="B271" s="205"/>
      <c r="C271" s="208" t="s">
        <v>655</v>
      </c>
      <c r="D271" s="165">
        <f>D272+D277</f>
        <v>22202.25662</v>
      </c>
      <c r="E271" s="406"/>
      <c r="F271" s="165">
        <f>F272+F277</f>
        <v>22202.25662</v>
      </c>
      <c r="G271" s="165">
        <f t="shared" ref="D271:J273" si="69">G272</f>
        <v>0</v>
      </c>
      <c r="H271" s="406"/>
      <c r="I271" s="165">
        <f t="shared" si="69"/>
        <v>0</v>
      </c>
      <c r="J271" s="165">
        <f t="shared" si="69"/>
        <v>0</v>
      </c>
      <c r="K271" s="483"/>
    </row>
    <row r="272" spans="1:11" ht="39.6" x14ac:dyDescent="0.25">
      <c r="A272" s="36" t="s">
        <v>656</v>
      </c>
      <c r="B272" s="22"/>
      <c r="C272" s="11" t="s">
        <v>757</v>
      </c>
      <c r="D272" s="175">
        <f t="shared" si="69"/>
        <v>16825.58455</v>
      </c>
      <c r="E272" s="407"/>
      <c r="F272" s="175">
        <f t="shared" si="69"/>
        <v>16825.58455</v>
      </c>
      <c r="G272" s="175">
        <f t="shared" si="69"/>
        <v>0</v>
      </c>
      <c r="H272" s="407"/>
      <c r="I272" s="175">
        <f t="shared" si="69"/>
        <v>0</v>
      </c>
      <c r="J272" s="175">
        <f t="shared" si="69"/>
        <v>0</v>
      </c>
      <c r="K272" s="483"/>
    </row>
    <row r="273" spans="1:11" ht="27" x14ac:dyDescent="0.3">
      <c r="A273" s="61"/>
      <c r="B273" s="131"/>
      <c r="C273" s="132" t="s">
        <v>267</v>
      </c>
      <c r="D273" s="175">
        <f t="shared" si="69"/>
        <v>16825.58455</v>
      </c>
      <c r="E273" s="407"/>
      <c r="F273" s="175">
        <f t="shared" si="69"/>
        <v>16825.58455</v>
      </c>
      <c r="G273" s="175">
        <f t="shared" si="69"/>
        <v>0</v>
      </c>
      <c r="H273" s="407"/>
      <c r="I273" s="175">
        <f t="shared" si="69"/>
        <v>0</v>
      </c>
      <c r="J273" s="175">
        <f t="shared" si="69"/>
        <v>0</v>
      </c>
      <c r="K273" s="483"/>
    </row>
    <row r="274" spans="1:11" ht="39.6" x14ac:dyDescent="0.25">
      <c r="A274" s="7"/>
      <c r="B274" s="73" t="s">
        <v>248</v>
      </c>
      <c r="C274" s="6" t="s">
        <v>247</v>
      </c>
      <c r="D274" s="175">
        <f>D275+D276</f>
        <v>16825.58455</v>
      </c>
      <c r="E274" s="407"/>
      <c r="F274" s="175">
        <f>F275+F276</f>
        <v>16825.58455</v>
      </c>
      <c r="G274" s="175">
        <f>G275+G276</f>
        <v>0</v>
      </c>
      <c r="H274" s="407"/>
      <c r="I274" s="175">
        <f>I275+I276</f>
        <v>0</v>
      </c>
      <c r="J274" s="175">
        <f>J275+J276</f>
        <v>0</v>
      </c>
      <c r="K274" s="483"/>
    </row>
    <row r="275" spans="1:11" x14ac:dyDescent="0.25">
      <c r="A275" s="7"/>
      <c r="B275" s="73"/>
      <c r="C275" s="6" t="s">
        <v>100</v>
      </c>
      <c r="D275" s="175">
        <v>16808.758959999999</v>
      </c>
      <c r="E275" s="407"/>
      <c r="F275" s="175">
        <v>16808.758959999999</v>
      </c>
      <c r="G275" s="175"/>
      <c r="H275" s="407"/>
      <c r="I275" s="175"/>
      <c r="J275" s="175"/>
      <c r="K275" s="483"/>
    </row>
    <row r="276" spans="1:11" x14ac:dyDescent="0.25">
      <c r="A276" s="60"/>
      <c r="B276" s="7"/>
      <c r="C276" s="6" t="s">
        <v>97</v>
      </c>
      <c r="D276" s="175">
        <v>16.825589999999998</v>
      </c>
      <c r="E276" s="407"/>
      <c r="F276" s="175">
        <v>16.825589999999998</v>
      </c>
      <c r="G276" s="175"/>
      <c r="H276" s="407"/>
      <c r="I276" s="175"/>
      <c r="J276" s="175"/>
      <c r="K276" s="483"/>
    </row>
    <row r="277" spans="1:11" ht="39.6" x14ac:dyDescent="0.25">
      <c r="A277" s="36" t="s">
        <v>686</v>
      </c>
      <c r="B277" s="22"/>
      <c r="C277" s="11" t="s">
        <v>722</v>
      </c>
      <c r="D277" s="175">
        <f t="shared" ref="D277:J277" si="70">D278</f>
        <v>5376.6720700000005</v>
      </c>
      <c r="E277" s="407"/>
      <c r="F277" s="175">
        <f t="shared" si="70"/>
        <v>5376.6720700000005</v>
      </c>
      <c r="G277" s="175">
        <f t="shared" si="70"/>
        <v>0</v>
      </c>
      <c r="H277" s="407"/>
      <c r="I277" s="175">
        <f t="shared" si="70"/>
        <v>0</v>
      </c>
      <c r="J277" s="175">
        <f t="shared" si="70"/>
        <v>0</v>
      </c>
      <c r="K277" s="483"/>
    </row>
    <row r="278" spans="1:11" ht="27" x14ac:dyDescent="0.3">
      <c r="A278" s="61"/>
      <c r="B278" s="131"/>
      <c r="C278" s="132" t="s">
        <v>677</v>
      </c>
      <c r="D278" s="175">
        <f t="shared" ref="D278:J278" si="71">D279</f>
        <v>5376.6720700000005</v>
      </c>
      <c r="E278" s="407"/>
      <c r="F278" s="175">
        <f t="shared" si="71"/>
        <v>5376.6720700000005</v>
      </c>
      <c r="G278" s="175">
        <f t="shared" si="71"/>
        <v>0</v>
      </c>
      <c r="H278" s="407"/>
      <c r="I278" s="175">
        <f t="shared" si="71"/>
        <v>0</v>
      </c>
      <c r="J278" s="175">
        <f t="shared" si="71"/>
        <v>0</v>
      </c>
      <c r="K278" s="483"/>
    </row>
    <row r="279" spans="1:11" ht="30" customHeight="1" x14ac:dyDescent="0.25">
      <c r="A279" s="7"/>
      <c r="B279" s="7" t="s">
        <v>12</v>
      </c>
      <c r="C279" s="6" t="s">
        <v>11</v>
      </c>
      <c r="D279" s="175">
        <f>D280+D281</f>
        <v>5376.6720700000005</v>
      </c>
      <c r="E279" s="407"/>
      <c r="F279" s="175">
        <f>F280+F281</f>
        <v>5376.6720700000005</v>
      </c>
      <c r="G279" s="175">
        <f>G280+G281</f>
        <v>0</v>
      </c>
      <c r="H279" s="407"/>
      <c r="I279" s="175">
        <f>I280+I281</f>
        <v>0</v>
      </c>
      <c r="J279" s="175">
        <f>J280+J281</f>
        <v>0</v>
      </c>
      <c r="K279" s="483"/>
    </row>
    <row r="280" spans="1:11" x14ac:dyDescent="0.25">
      <c r="A280" s="7"/>
      <c r="B280" s="73"/>
      <c r="C280" s="6" t="s">
        <v>100</v>
      </c>
      <c r="D280" s="175">
        <v>4000</v>
      </c>
      <c r="E280" s="407"/>
      <c r="F280" s="175">
        <v>4000</v>
      </c>
      <c r="G280" s="175">
        <v>0</v>
      </c>
      <c r="H280" s="407"/>
      <c r="I280" s="175">
        <v>0</v>
      </c>
      <c r="J280" s="175">
        <v>0</v>
      </c>
      <c r="K280" s="483"/>
    </row>
    <row r="281" spans="1:11" x14ac:dyDescent="0.25">
      <c r="A281" s="60"/>
      <c r="B281" s="7"/>
      <c r="C281" s="6" t="s">
        <v>97</v>
      </c>
      <c r="D281" s="175">
        <v>1376.6720700000001</v>
      </c>
      <c r="E281" s="407"/>
      <c r="F281" s="175">
        <v>1376.6720700000001</v>
      </c>
      <c r="G281" s="175">
        <v>0</v>
      </c>
      <c r="H281" s="407"/>
      <c r="I281" s="175">
        <v>0</v>
      </c>
      <c r="J281" s="175">
        <v>0</v>
      </c>
      <c r="K281" s="483"/>
    </row>
    <row r="282" spans="1:11" ht="39.6" x14ac:dyDescent="0.25">
      <c r="A282" s="205" t="s">
        <v>768</v>
      </c>
      <c r="B282" s="265"/>
      <c r="C282" s="208" t="s">
        <v>769</v>
      </c>
      <c r="D282" s="260">
        <v>220</v>
      </c>
      <c r="E282" s="406"/>
      <c r="F282" s="260">
        <v>220</v>
      </c>
      <c r="G282" s="260"/>
      <c r="H282" s="406"/>
      <c r="I282" s="260"/>
      <c r="J282" s="260"/>
      <c r="K282" s="483"/>
    </row>
    <row r="283" spans="1:11" ht="48.75" customHeight="1" x14ac:dyDescent="0.25">
      <c r="A283" s="226" t="s">
        <v>770</v>
      </c>
      <c r="B283" s="226"/>
      <c r="C283" s="261" t="s">
        <v>771</v>
      </c>
      <c r="D283" s="248">
        <v>220</v>
      </c>
      <c r="E283" s="407"/>
      <c r="F283" s="248">
        <v>220</v>
      </c>
      <c r="G283" s="248"/>
      <c r="H283" s="407"/>
      <c r="I283" s="248"/>
      <c r="J283" s="248"/>
      <c r="K283" s="483"/>
    </row>
    <row r="284" spans="1:11" ht="27.75" customHeight="1" x14ac:dyDescent="0.25">
      <c r="A284" s="232"/>
      <c r="B284" s="226" t="s">
        <v>57</v>
      </c>
      <c r="C284" s="6" t="s">
        <v>56</v>
      </c>
      <c r="D284" s="248">
        <v>220</v>
      </c>
      <c r="E284" s="407"/>
      <c r="F284" s="248">
        <v>220</v>
      </c>
      <c r="G284" s="248"/>
      <c r="H284" s="407"/>
      <c r="I284" s="248"/>
      <c r="J284" s="248"/>
      <c r="K284" s="483"/>
    </row>
    <row r="285" spans="1:11" ht="12.75" customHeight="1" x14ac:dyDescent="0.25">
      <c r="A285" s="232"/>
      <c r="B285" s="226"/>
      <c r="C285" s="6" t="s">
        <v>97</v>
      </c>
      <c r="D285" s="248">
        <v>220</v>
      </c>
      <c r="E285" s="407"/>
      <c r="F285" s="248">
        <v>220</v>
      </c>
      <c r="G285" s="248"/>
      <c r="H285" s="407"/>
      <c r="I285" s="248"/>
      <c r="J285" s="248"/>
      <c r="K285" s="483"/>
    </row>
    <row r="286" spans="1:11" x14ac:dyDescent="0.25">
      <c r="A286" s="30" t="s">
        <v>136</v>
      </c>
      <c r="B286" s="30"/>
      <c r="C286" s="51" t="s">
        <v>135</v>
      </c>
      <c r="D286" s="249">
        <f t="shared" ref="D286:J286" si="72">D287</f>
        <v>364.1</v>
      </c>
      <c r="E286" s="405"/>
      <c r="F286" s="249">
        <f t="shared" si="72"/>
        <v>364.1</v>
      </c>
      <c r="G286" s="249">
        <f t="shared" si="72"/>
        <v>0</v>
      </c>
      <c r="H286" s="405"/>
      <c r="I286" s="249">
        <f t="shared" si="72"/>
        <v>0</v>
      </c>
      <c r="J286" s="249">
        <f t="shared" si="72"/>
        <v>364.1</v>
      </c>
      <c r="K286" s="483"/>
    </row>
    <row r="287" spans="1:11" ht="26.4" x14ac:dyDescent="0.25">
      <c r="A287" s="153" t="s">
        <v>134</v>
      </c>
      <c r="B287" s="153"/>
      <c r="C287" s="154" t="s">
        <v>133</v>
      </c>
      <c r="D287" s="165">
        <f>D288+D290</f>
        <v>364.1</v>
      </c>
      <c r="E287" s="406"/>
      <c r="F287" s="165">
        <f>F288+F290</f>
        <v>364.1</v>
      </c>
      <c r="G287" s="165">
        <f>G288+G290</f>
        <v>0</v>
      </c>
      <c r="H287" s="406"/>
      <c r="I287" s="165">
        <f>I288+I290</f>
        <v>0</v>
      </c>
      <c r="J287" s="165">
        <f>J288+J290</f>
        <v>364.1</v>
      </c>
      <c r="K287" s="483"/>
    </row>
    <row r="288" spans="1:11" ht="118.8" x14ac:dyDescent="0.25">
      <c r="A288" s="7" t="s">
        <v>132</v>
      </c>
      <c r="B288" s="7"/>
      <c r="C288" s="6" t="s">
        <v>131</v>
      </c>
      <c r="D288" s="175">
        <f t="shared" ref="D288:J288" si="73">D289</f>
        <v>297.10000000000002</v>
      </c>
      <c r="E288" s="407"/>
      <c r="F288" s="175">
        <f t="shared" si="73"/>
        <v>297.10000000000002</v>
      </c>
      <c r="G288" s="175">
        <f t="shared" si="73"/>
        <v>0</v>
      </c>
      <c r="H288" s="407"/>
      <c r="I288" s="175">
        <f t="shared" si="73"/>
        <v>0</v>
      </c>
      <c r="J288" s="175">
        <f t="shared" si="73"/>
        <v>297.10000000000002</v>
      </c>
      <c r="K288" s="483"/>
    </row>
    <row r="289" spans="1:11" ht="26.4" x14ac:dyDescent="0.25">
      <c r="A289" s="7"/>
      <c r="B289" s="7" t="s">
        <v>57</v>
      </c>
      <c r="C289" s="6" t="s">
        <v>56</v>
      </c>
      <c r="D289" s="175">
        <v>297.10000000000002</v>
      </c>
      <c r="E289" s="407"/>
      <c r="F289" s="175">
        <v>297.10000000000002</v>
      </c>
      <c r="G289" s="175">
        <v>0</v>
      </c>
      <c r="H289" s="407"/>
      <c r="I289" s="175">
        <v>0</v>
      </c>
      <c r="J289" s="175">
        <v>297.10000000000002</v>
      </c>
      <c r="K289" s="483"/>
    </row>
    <row r="290" spans="1:11" ht="26.4" x14ac:dyDescent="0.25">
      <c r="A290" s="54" t="s">
        <v>130</v>
      </c>
      <c r="B290" s="54"/>
      <c r="C290" s="6" t="s">
        <v>129</v>
      </c>
      <c r="D290" s="175">
        <f t="shared" ref="D290:J290" si="74">D291</f>
        <v>67</v>
      </c>
      <c r="E290" s="407"/>
      <c r="F290" s="175">
        <f t="shared" si="74"/>
        <v>67</v>
      </c>
      <c r="G290" s="175">
        <f t="shared" si="74"/>
        <v>0</v>
      </c>
      <c r="H290" s="407"/>
      <c r="I290" s="175">
        <f t="shared" si="74"/>
        <v>0</v>
      </c>
      <c r="J290" s="175">
        <f t="shared" si="74"/>
        <v>67</v>
      </c>
      <c r="K290" s="483"/>
    </row>
    <row r="291" spans="1:11" ht="26.4" x14ac:dyDescent="0.25">
      <c r="A291" s="54"/>
      <c r="B291" s="7" t="s">
        <v>57</v>
      </c>
      <c r="C291" s="6" t="s">
        <v>56</v>
      </c>
      <c r="D291" s="175">
        <f>D293</f>
        <v>67</v>
      </c>
      <c r="E291" s="407"/>
      <c r="F291" s="175">
        <f>F293</f>
        <v>67</v>
      </c>
      <c r="G291" s="175">
        <f>G293</f>
        <v>0</v>
      </c>
      <c r="H291" s="407"/>
      <c r="I291" s="175">
        <f>I293</f>
        <v>0</v>
      </c>
      <c r="J291" s="175">
        <f>J293</f>
        <v>67</v>
      </c>
      <c r="K291" s="483"/>
    </row>
    <row r="292" spans="1:11" x14ac:dyDescent="0.25">
      <c r="A292" s="7"/>
      <c r="B292" s="7"/>
      <c r="C292" s="6" t="s">
        <v>100</v>
      </c>
      <c r="D292" s="175"/>
      <c r="E292" s="407"/>
      <c r="F292" s="175"/>
      <c r="G292" s="175"/>
      <c r="H292" s="407"/>
      <c r="I292" s="175"/>
      <c r="J292" s="175"/>
      <c r="K292" s="483"/>
    </row>
    <row r="293" spans="1:11" x14ac:dyDescent="0.25">
      <c r="A293" s="7"/>
      <c r="B293" s="7"/>
      <c r="C293" s="6" t="s">
        <v>97</v>
      </c>
      <c r="D293" s="175">
        <v>67</v>
      </c>
      <c r="E293" s="407"/>
      <c r="F293" s="175">
        <v>67</v>
      </c>
      <c r="G293" s="175">
        <v>0</v>
      </c>
      <c r="H293" s="407"/>
      <c r="I293" s="175">
        <v>0</v>
      </c>
      <c r="J293" s="175">
        <v>67</v>
      </c>
      <c r="K293" s="483"/>
    </row>
    <row r="294" spans="1:11" s="1" customFormat="1" ht="40.200000000000003" x14ac:dyDescent="0.3">
      <c r="A294" s="170" t="s">
        <v>65</v>
      </c>
      <c r="B294" s="170"/>
      <c r="C294" s="173" t="s">
        <v>64</v>
      </c>
      <c r="D294" s="255">
        <f>D295+D301</f>
        <v>3114</v>
      </c>
      <c r="E294" s="404"/>
      <c r="F294" s="255">
        <f>F295+F301</f>
        <v>3114</v>
      </c>
      <c r="G294" s="255">
        <f>G295+G301</f>
        <v>13196.342860000001</v>
      </c>
      <c r="H294" s="404"/>
      <c r="I294" s="255">
        <f>I295+I301</f>
        <v>13196.342860000001</v>
      </c>
      <c r="J294" s="255">
        <f>J295+J301</f>
        <v>2264</v>
      </c>
      <c r="K294" s="227"/>
    </row>
    <row r="295" spans="1:11" s="1" customFormat="1" ht="53.4" x14ac:dyDescent="0.3">
      <c r="A295" s="153" t="s">
        <v>63</v>
      </c>
      <c r="B295" s="160"/>
      <c r="C295" s="154" t="s">
        <v>156</v>
      </c>
      <c r="D295" s="165">
        <f>D296+D298</f>
        <v>2264</v>
      </c>
      <c r="E295" s="406"/>
      <c r="F295" s="165">
        <f>F296+F298</f>
        <v>2264</v>
      </c>
      <c r="G295" s="165">
        <f>G296+G298</f>
        <v>339.2</v>
      </c>
      <c r="H295" s="406"/>
      <c r="I295" s="165">
        <f>I296+I298</f>
        <v>339.2</v>
      </c>
      <c r="J295" s="165">
        <f>J296+J298</f>
        <v>2264</v>
      </c>
      <c r="K295" s="227"/>
    </row>
    <row r="296" spans="1:11" s="1" customFormat="1" ht="66.599999999999994" x14ac:dyDescent="0.3">
      <c r="A296" s="7" t="s">
        <v>61</v>
      </c>
      <c r="B296" s="7"/>
      <c r="C296" s="6" t="s">
        <v>565</v>
      </c>
      <c r="D296" s="175">
        <f t="shared" ref="D296:J296" si="75">D297</f>
        <v>1924.8</v>
      </c>
      <c r="E296" s="407"/>
      <c r="F296" s="175">
        <f t="shared" si="75"/>
        <v>1924.8</v>
      </c>
      <c r="G296" s="175">
        <f t="shared" si="75"/>
        <v>0</v>
      </c>
      <c r="H296" s="407"/>
      <c r="I296" s="175">
        <f t="shared" si="75"/>
        <v>0</v>
      </c>
      <c r="J296" s="175">
        <f t="shared" si="75"/>
        <v>1924.8</v>
      </c>
      <c r="K296" s="227"/>
    </row>
    <row r="297" spans="1:11" s="1" customFormat="1" ht="27" x14ac:dyDescent="0.3">
      <c r="A297" s="7"/>
      <c r="B297" s="7" t="s">
        <v>57</v>
      </c>
      <c r="C297" s="6" t="s">
        <v>56</v>
      </c>
      <c r="D297" s="175">
        <v>1924.8</v>
      </c>
      <c r="E297" s="407"/>
      <c r="F297" s="175">
        <v>1924.8</v>
      </c>
      <c r="G297" s="175">
        <v>0</v>
      </c>
      <c r="H297" s="407"/>
      <c r="I297" s="175">
        <v>0</v>
      </c>
      <c r="J297" s="175">
        <v>1924.8</v>
      </c>
      <c r="K297" s="227"/>
    </row>
    <row r="298" spans="1:11" s="1" customFormat="1" ht="14.4" x14ac:dyDescent="0.3">
      <c r="A298" s="7" t="s">
        <v>155</v>
      </c>
      <c r="B298" s="7"/>
      <c r="C298" s="6" t="s">
        <v>154</v>
      </c>
      <c r="D298" s="175">
        <f t="shared" ref="D298:J299" si="76">D299</f>
        <v>339.2</v>
      </c>
      <c r="E298" s="407"/>
      <c r="F298" s="175">
        <f t="shared" si="76"/>
        <v>339.2</v>
      </c>
      <c r="G298" s="175">
        <f t="shared" si="76"/>
        <v>339.2</v>
      </c>
      <c r="H298" s="407"/>
      <c r="I298" s="175">
        <f t="shared" si="76"/>
        <v>339.2</v>
      </c>
      <c r="J298" s="175">
        <f t="shared" si="76"/>
        <v>339.2</v>
      </c>
      <c r="K298" s="227"/>
    </row>
    <row r="299" spans="1:11" s="1" customFormat="1" ht="27" x14ac:dyDescent="0.3">
      <c r="A299" s="7"/>
      <c r="B299" s="7" t="s">
        <v>57</v>
      </c>
      <c r="C299" s="6" t="s">
        <v>56</v>
      </c>
      <c r="D299" s="175">
        <f t="shared" si="76"/>
        <v>339.2</v>
      </c>
      <c r="E299" s="407"/>
      <c r="F299" s="175">
        <f t="shared" si="76"/>
        <v>339.2</v>
      </c>
      <c r="G299" s="175">
        <f t="shared" si="76"/>
        <v>339.2</v>
      </c>
      <c r="H299" s="407"/>
      <c r="I299" s="175">
        <f t="shared" si="76"/>
        <v>339.2</v>
      </c>
      <c r="J299" s="175">
        <f t="shared" si="76"/>
        <v>339.2</v>
      </c>
      <c r="K299" s="227"/>
    </row>
    <row r="300" spans="1:11" s="1" customFormat="1" ht="14.4" x14ac:dyDescent="0.3">
      <c r="A300" s="7"/>
      <c r="B300" s="7"/>
      <c r="C300" s="6" t="s">
        <v>97</v>
      </c>
      <c r="D300" s="175">
        <v>339.2</v>
      </c>
      <c r="E300" s="407"/>
      <c r="F300" s="175">
        <v>339.2</v>
      </c>
      <c r="G300" s="175">
        <v>339.2</v>
      </c>
      <c r="H300" s="407"/>
      <c r="I300" s="175">
        <v>339.2</v>
      </c>
      <c r="J300" s="175">
        <v>339.2</v>
      </c>
      <c r="K300" s="227"/>
    </row>
    <row r="301" spans="1:11" s="1" customFormat="1" ht="40.200000000000003" x14ac:dyDescent="0.3">
      <c r="A301" s="153" t="s">
        <v>153</v>
      </c>
      <c r="B301" s="167"/>
      <c r="C301" s="167" t="s">
        <v>152</v>
      </c>
      <c r="D301" s="165">
        <f>D302+D306</f>
        <v>850</v>
      </c>
      <c r="E301" s="406"/>
      <c r="F301" s="165">
        <f>F302+F306</f>
        <v>850</v>
      </c>
      <c r="G301" s="165">
        <f>G302+G306</f>
        <v>12857.14286</v>
      </c>
      <c r="H301" s="406"/>
      <c r="I301" s="165">
        <f>I302+I306</f>
        <v>12857.14286</v>
      </c>
      <c r="J301" s="165">
        <f>J302+J306</f>
        <v>0</v>
      </c>
      <c r="K301" s="227"/>
    </row>
    <row r="302" spans="1:11" s="1" customFormat="1" ht="27" x14ac:dyDescent="0.3">
      <c r="A302" s="7" t="s">
        <v>151</v>
      </c>
      <c r="B302" s="7"/>
      <c r="C302" s="6" t="s">
        <v>150</v>
      </c>
      <c r="D302" s="175">
        <f t="shared" ref="D302:J302" si="77">D303</f>
        <v>0</v>
      </c>
      <c r="E302" s="407"/>
      <c r="F302" s="175">
        <f t="shared" si="77"/>
        <v>0</v>
      </c>
      <c r="G302" s="175">
        <f t="shared" si="77"/>
        <v>12857.14286</v>
      </c>
      <c r="H302" s="407"/>
      <c r="I302" s="175">
        <f t="shared" si="77"/>
        <v>12857.14286</v>
      </c>
      <c r="J302" s="175">
        <f t="shared" si="77"/>
        <v>0</v>
      </c>
      <c r="K302" s="227"/>
    </row>
    <row r="303" spans="1:11" s="1" customFormat="1" ht="27" x14ac:dyDescent="0.3">
      <c r="A303" s="7"/>
      <c r="B303" s="7" t="s">
        <v>57</v>
      </c>
      <c r="C303" s="6" t="s">
        <v>56</v>
      </c>
      <c r="D303" s="175">
        <f>D304+D305</f>
        <v>0</v>
      </c>
      <c r="E303" s="407"/>
      <c r="F303" s="175">
        <f>F304+F305</f>
        <v>0</v>
      </c>
      <c r="G303" s="175">
        <f>G304+G305</f>
        <v>12857.14286</v>
      </c>
      <c r="H303" s="407"/>
      <c r="I303" s="175">
        <f>I304+I305</f>
        <v>12857.14286</v>
      </c>
      <c r="J303" s="175">
        <f>J304+J305</f>
        <v>0</v>
      </c>
      <c r="K303" s="227"/>
    </row>
    <row r="304" spans="1:11" s="1" customFormat="1" ht="14.4" x14ac:dyDescent="0.3">
      <c r="A304" s="7"/>
      <c r="B304" s="7"/>
      <c r="C304" s="6" t="s">
        <v>149</v>
      </c>
      <c r="D304" s="175">
        <v>0</v>
      </c>
      <c r="E304" s="407"/>
      <c r="F304" s="175">
        <v>0</v>
      </c>
      <c r="G304" s="175">
        <v>0</v>
      </c>
      <c r="H304" s="407"/>
      <c r="I304" s="175">
        <v>0</v>
      </c>
      <c r="J304" s="175">
        <v>0</v>
      </c>
      <c r="K304" s="227"/>
    </row>
    <row r="305" spans="1:11" s="1" customFormat="1" ht="14.4" x14ac:dyDescent="0.3">
      <c r="A305" s="7"/>
      <c r="B305" s="7"/>
      <c r="C305" s="6" t="s">
        <v>148</v>
      </c>
      <c r="D305" s="175">
        <v>0</v>
      </c>
      <c r="E305" s="407"/>
      <c r="F305" s="175">
        <v>0</v>
      </c>
      <c r="G305" s="175">
        <v>12857.14286</v>
      </c>
      <c r="H305" s="407"/>
      <c r="I305" s="175">
        <v>12857.14286</v>
      </c>
      <c r="J305" s="175">
        <v>0</v>
      </c>
      <c r="K305" s="227"/>
    </row>
    <row r="306" spans="1:11" ht="52.8" x14ac:dyDescent="0.25">
      <c r="A306" s="7" t="s">
        <v>549</v>
      </c>
      <c r="B306" s="127"/>
      <c r="C306" s="150" t="s">
        <v>550</v>
      </c>
      <c r="D306" s="175">
        <f t="shared" ref="D306:J306" si="78">D307</f>
        <v>850</v>
      </c>
      <c r="E306" s="407"/>
      <c r="F306" s="175">
        <f t="shared" si="78"/>
        <v>850</v>
      </c>
      <c r="G306" s="175">
        <f t="shared" si="78"/>
        <v>0</v>
      </c>
      <c r="H306" s="407"/>
      <c r="I306" s="175">
        <f t="shared" si="78"/>
        <v>0</v>
      </c>
      <c r="J306" s="175">
        <f t="shared" si="78"/>
        <v>0</v>
      </c>
      <c r="K306" s="483"/>
    </row>
    <row r="307" spans="1:11" ht="26.4" x14ac:dyDescent="0.25">
      <c r="A307" s="127"/>
      <c r="B307" s="7" t="s">
        <v>57</v>
      </c>
      <c r="C307" s="6" t="s">
        <v>56</v>
      </c>
      <c r="D307" s="175">
        <v>850</v>
      </c>
      <c r="E307" s="407"/>
      <c r="F307" s="175">
        <v>850</v>
      </c>
      <c r="G307" s="175">
        <v>0</v>
      </c>
      <c r="H307" s="407"/>
      <c r="I307" s="175">
        <v>0</v>
      </c>
      <c r="J307" s="175">
        <v>0</v>
      </c>
      <c r="K307" s="483"/>
    </row>
    <row r="308" spans="1:11" s="1" customFormat="1" ht="53.4" x14ac:dyDescent="0.3">
      <c r="A308" s="170" t="s">
        <v>441</v>
      </c>
      <c r="B308" s="170"/>
      <c r="C308" s="173" t="s">
        <v>440</v>
      </c>
      <c r="D308" s="255">
        <f>D309+D315</f>
        <v>1054.8</v>
      </c>
      <c r="E308" s="404"/>
      <c r="F308" s="255">
        <f>F309+F315</f>
        <v>1054.8</v>
      </c>
      <c r="G308" s="255">
        <f>G309+G315</f>
        <v>283.2</v>
      </c>
      <c r="H308" s="404"/>
      <c r="I308" s="255">
        <f>I309+I315</f>
        <v>283.2</v>
      </c>
      <c r="J308" s="255">
        <f>J309+J315</f>
        <v>769.09999999999991</v>
      </c>
      <c r="K308" s="227"/>
    </row>
    <row r="309" spans="1:11" s="1" customFormat="1" ht="65.25" customHeight="1" x14ac:dyDescent="0.3">
      <c r="A309" s="30" t="s">
        <v>439</v>
      </c>
      <c r="B309" s="30"/>
      <c r="C309" s="51" t="s">
        <v>604</v>
      </c>
      <c r="D309" s="249">
        <f t="shared" ref="D309:J309" si="79">D310</f>
        <v>697.5</v>
      </c>
      <c r="E309" s="405"/>
      <c r="F309" s="249">
        <f t="shared" si="79"/>
        <v>697.5</v>
      </c>
      <c r="G309" s="249">
        <f t="shared" si="79"/>
        <v>0</v>
      </c>
      <c r="H309" s="405"/>
      <c r="I309" s="249">
        <f t="shared" si="79"/>
        <v>0</v>
      </c>
      <c r="J309" s="249">
        <f t="shared" si="79"/>
        <v>411.79999999999995</v>
      </c>
      <c r="K309" s="227"/>
    </row>
    <row r="310" spans="1:11" s="1" customFormat="1" ht="61.5" customHeight="1" x14ac:dyDescent="0.3">
      <c r="A310" s="153" t="s">
        <v>438</v>
      </c>
      <c r="B310" s="160"/>
      <c r="C310" s="154" t="s">
        <v>605</v>
      </c>
      <c r="D310" s="165">
        <f>D311+D313</f>
        <v>697.5</v>
      </c>
      <c r="E310" s="406"/>
      <c r="F310" s="165">
        <f>F311+F313</f>
        <v>697.5</v>
      </c>
      <c r="G310" s="165">
        <f>G311+G313</f>
        <v>0</v>
      </c>
      <c r="H310" s="406"/>
      <c r="I310" s="165">
        <f>I311+I313</f>
        <v>0</v>
      </c>
      <c r="J310" s="165">
        <f>J311+J313</f>
        <v>411.79999999999995</v>
      </c>
      <c r="K310" s="227"/>
    </row>
    <row r="311" spans="1:11" s="1" customFormat="1" ht="53.4" x14ac:dyDescent="0.3">
      <c r="A311" s="7" t="s">
        <v>437</v>
      </c>
      <c r="B311" s="7"/>
      <c r="C311" s="6" t="s">
        <v>436</v>
      </c>
      <c r="D311" s="175">
        <f t="shared" ref="D311:J311" si="80">D312</f>
        <v>15.9</v>
      </c>
      <c r="E311" s="407"/>
      <c r="F311" s="175">
        <f t="shared" si="80"/>
        <v>15.9</v>
      </c>
      <c r="G311" s="175">
        <f t="shared" si="80"/>
        <v>0</v>
      </c>
      <c r="H311" s="407"/>
      <c r="I311" s="175">
        <f t="shared" si="80"/>
        <v>0</v>
      </c>
      <c r="J311" s="175">
        <f t="shared" si="80"/>
        <v>15.9</v>
      </c>
      <c r="K311" s="227"/>
    </row>
    <row r="312" spans="1:11" s="1" customFormat="1" ht="27" x14ac:dyDescent="0.3">
      <c r="A312" s="7"/>
      <c r="B312" s="7" t="s">
        <v>12</v>
      </c>
      <c r="C312" s="6" t="s">
        <v>11</v>
      </c>
      <c r="D312" s="175">
        <v>15.9</v>
      </c>
      <c r="E312" s="407"/>
      <c r="F312" s="175">
        <v>15.9</v>
      </c>
      <c r="G312" s="175">
        <v>0</v>
      </c>
      <c r="H312" s="407"/>
      <c r="I312" s="175">
        <v>0</v>
      </c>
      <c r="J312" s="175">
        <v>15.9</v>
      </c>
      <c r="K312" s="227"/>
    </row>
    <row r="313" spans="1:11" s="1" customFormat="1" ht="79.8" x14ac:dyDescent="0.3">
      <c r="A313" s="7" t="s">
        <v>435</v>
      </c>
      <c r="B313" s="7"/>
      <c r="C313" s="6" t="s">
        <v>434</v>
      </c>
      <c r="D313" s="175">
        <f t="shared" ref="D313:J313" si="81">D314</f>
        <v>681.6</v>
      </c>
      <c r="E313" s="407"/>
      <c r="F313" s="175">
        <f t="shared" si="81"/>
        <v>681.6</v>
      </c>
      <c r="G313" s="175">
        <f t="shared" si="81"/>
        <v>0</v>
      </c>
      <c r="H313" s="407"/>
      <c r="I313" s="175">
        <f t="shared" si="81"/>
        <v>0</v>
      </c>
      <c r="J313" s="175">
        <f t="shared" si="81"/>
        <v>395.9</v>
      </c>
      <c r="K313" s="227"/>
    </row>
    <row r="314" spans="1:11" s="1" customFormat="1" ht="27" x14ac:dyDescent="0.3">
      <c r="A314" s="7"/>
      <c r="B314" s="7" t="s">
        <v>12</v>
      </c>
      <c r="C314" s="6" t="s">
        <v>11</v>
      </c>
      <c r="D314" s="175">
        <v>681.6</v>
      </c>
      <c r="E314" s="407"/>
      <c r="F314" s="175">
        <v>681.6</v>
      </c>
      <c r="G314" s="175">
        <v>0</v>
      </c>
      <c r="H314" s="407"/>
      <c r="I314" s="175">
        <v>0</v>
      </c>
      <c r="J314" s="175">
        <v>395.9</v>
      </c>
      <c r="K314" s="227"/>
    </row>
    <row r="315" spans="1:11" s="1" customFormat="1" ht="40.5" customHeight="1" x14ac:dyDescent="0.3">
      <c r="A315" s="30" t="s">
        <v>433</v>
      </c>
      <c r="B315" s="30"/>
      <c r="C315" s="51" t="s">
        <v>432</v>
      </c>
      <c r="D315" s="249">
        <f t="shared" ref="D315:J315" si="82">D316</f>
        <v>357.3</v>
      </c>
      <c r="E315" s="405"/>
      <c r="F315" s="249">
        <f t="shared" si="82"/>
        <v>357.3</v>
      </c>
      <c r="G315" s="249">
        <f t="shared" si="82"/>
        <v>283.2</v>
      </c>
      <c r="H315" s="405"/>
      <c r="I315" s="249">
        <f t="shared" si="82"/>
        <v>283.2</v>
      </c>
      <c r="J315" s="249">
        <f t="shared" si="82"/>
        <v>357.3</v>
      </c>
      <c r="K315" s="227"/>
    </row>
    <row r="316" spans="1:11" s="1" customFormat="1" ht="53.4" x14ac:dyDescent="0.3">
      <c r="A316" s="153" t="s">
        <v>431</v>
      </c>
      <c r="B316" s="160"/>
      <c r="C316" s="154" t="s">
        <v>566</v>
      </c>
      <c r="D316" s="165">
        <f>D317+D323+D325</f>
        <v>357.3</v>
      </c>
      <c r="E316" s="406"/>
      <c r="F316" s="165">
        <f>F317+F323+F325</f>
        <v>357.3</v>
      </c>
      <c r="G316" s="165">
        <f>G317+G323+G325</f>
        <v>283.2</v>
      </c>
      <c r="H316" s="406"/>
      <c r="I316" s="165">
        <f>I317+I323+I325</f>
        <v>283.2</v>
      </c>
      <c r="J316" s="165">
        <f>J317+J323+J325</f>
        <v>357.3</v>
      </c>
      <c r="K316" s="227"/>
    </row>
    <row r="317" spans="1:11" s="1" customFormat="1" ht="27" x14ac:dyDescent="0.3">
      <c r="A317" s="7" t="s">
        <v>429</v>
      </c>
      <c r="B317" s="7"/>
      <c r="C317" s="109" t="s">
        <v>614</v>
      </c>
      <c r="D317" s="175">
        <f>D318+D321</f>
        <v>283.2</v>
      </c>
      <c r="E317" s="407"/>
      <c r="F317" s="175">
        <f>F318+F321</f>
        <v>283.2</v>
      </c>
      <c r="G317" s="175">
        <f>G318+G321</f>
        <v>283.2</v>
      </c>
      <c r="H317" s="407"/>
      <c r="I317" s="175">
        <f>I318+I321</f>
        <v>283.2</v>
      </c>
      <c r="J317" s="175">
        <f>J318+J321</f>
        <v>283.2</v>
      </c>
      <c r="K317" s="227"/>
    </row>
    <row r="318" spans="1:11" s="1" customFormat="1" ht="66.599999999999994" x14ac:dyDescent="0.3">
      <c r="A318" s="7"/>
      <c r="B318" s="7" t="s">
        <v>2</v>
      </c>
      <c r="C318" s="6" t="s">
        <v>1</v>
      </c>
      <c r="D318" s="175">
        <f>D319+D320</f>
        <v>262.5</v>
      </c>
      <c r="E318" s="407"/>
      <c r="F318" s="175">
        <f>F319+F320</f>
        <v>262.5</v>
      </c>
      <c r="G318" s="175">
        <f>G319+G320</f>
        <v>262.5</v>
      </c>
      <c r="H318" s="407"/>
      <c r="I318" s="175">
        <f>I319+I320</f>
        <v>262.5</v>
      </c>
      <c r="J318" s="175">
        <f>J319+J320</f>
        <v>262.5</v>
      </c>
      <c r="K318" s="227"/>
    </row>
    <row r="319" spans="1:11" s="1" customFormat="1" ht="14.4" x14ac:dyDescent="0.3">
      <c r="A319" s="7"/>
      <c r="B319" s="7"/>
      <c r="C319" s="6" t="s">
        <v>149</v>
      </c>
      <c r="D319" s="175">
        <v>100.1</v>
      </c>
      <c r="E319" s="407"/>
      <c r="F319" s="175">
        <v>100.1</v>
      </c>
      <c r="G319" s="175">
        <v>100.1</v>
      </c>
      <c r="H319" s="407"/>
      <c r="I319" s="175">
        <v>100.1</v>
      </c>
      <c r="J319" s="175">
        <v>100.1</v>
      </c>
      <c r="K319" s="227"/>
    </row>
    <row r="320" spans="1:11" s="1" customFormat="1" ht="14.4" x14ac:dyDescent="0.3">
      <c r="A320" s="7"/>
      <c r="B320" s="7"/>
      <c r="C320" s="6" t="s">
        <v>148</v>
      </c>
      <c r="D320" s="175">
        <f>183.1-20.7</f>
        <v>162.4</v>
      </c>
      <c r="E320" s="407"/>
      <c r="F320" s="175">
        <f>183.1-20.7</f>
        <v>162.4</v>
      </c>
      <c r="G320" s="175">
        <f>183.1-20.7</f>
        <v>162.4</v>
      </c>
      <c r="H320" s="407"/>
      <c r="I320" s="175">
        <f>183.1-20.7</f>
        <v>162.4</v>
      </c>
      <c r="J320" s="175">
        <f>183.1-20.7</f>
        <v>162.4</v>
      </c>
      <c r="K320" s="227"/>
    </row>
    <row r="321" spans="1:11" s="1" customFormat="1" ht="27" x14ac:dyDescent="0.3">
      <c r="A321" s="7"/>
      <c r="B321" s="7" t="s">
        <v>12</v>
      </c>
      <c r="C321" s="6" t="s">
        <v>11</v>
      </c>
      <c r="D321" s="175">
        <v>20.7</v>
      </c>
      <c r="E321" s="407"/>
      <c r="F321" s="175">
        <v>20.7</v>
      </c>
      <c r="G321" s="175">
        <v>20.7</v>
      </c>
      <c r="H321" s="407"/>
      <c r="I321" s="175">
        <v>20.7</v>
      </c>
      <c r="J321" s="175">
        <v>20.7</v>
      </c>
      <c r="K321" s="227"/>
    </row>
    <row r="322" spans="1:11" s="1" customFormat="1" ht="14.4" x14ac:dyDescent="0.3">
      <c r="A322" s="226"/>
      <c r="B322" s="226"/>
      <c r="C322" s="6" t="s">
        <v>148</v>
      </c>
      <c r="D322" s="175">
        <v>20.7</v>
      </c>
      <c r="E322" s="407"/>
      <c r="F322" s="175">
        <v>20.7</v>
      </c>
      <c r="G322" s="175">
        <v>20.7</v>
      </c>
      <c r="H322" s="407"/>
      <c r="I322" s="175">
        <v>20.7</v>
      </c>
      <c r="J322" s="175">
        <v>20.7</v>
      </c>
      <c r="K322" s="227"/>
    </row>
    <row r="323" spans="1:11" s="1" customFormat="1" ht="40.200000000000003" x14ac:dyDescent="0.3">
      <c r="A323" s="7" t="s">
        <v>428</v>
      </c>
      <c r="B323" s="7"/>
      <c r="C323" s="6" t="s">
        <v>615</v>
      </c>
      <c r="D323" s="175">
        <f>D324</f>
        <v>39.1</v>
      </c>
      <c r="E323" s="407"/>
      <c r="F323" s="175">
        <f>F324</f>
        <v>39.1</v>
      </c>
      <c r="G323" s="175">
        <f>G324</f>
        <v>0</v>
      </c>
      <c r="H323" s="407"/>
      <c r="I323" s="175">
        <f>I324</f>
        <v>0</v>
      </c>
      <c r="J323" s="175">
        <f>J324</f>
        <v>39.1</v>
      </c>
      <c r="K323" s="227"/>
    </row>
    <row r="324" spans="1:11" s="1" customFormat="1" ht="27" x14ac:dyDescent="0.3">
      <c r="A324" s="7"/>
      <c r="B324" s="7" t="s">
        <v>12</v>
      </c>
      <c r="C324" s="6" t="s">
        <v>11</v>
      </c>
      <c r="D324" s="175">
        <v>39.1</v>
      </c>
      <c r="E324" s="407"/>
      <c r="F324" s="175">
        <v>39.1</v>
      </c>
      <c r="G324" s="175">
        <v>0</v>
      </c>
      <c r="H324" s="407"/>
      <c r="I324" s="175">
        <v>0</v>
      </c>
      <c r="J324" s="175">
        <v>39.1</v>
      </c>
      <c r="K324" s="227"/>
    </row>
    <row r="325" spans="1:11" s="1" customFormat="1" ht="14.4" x14ac:dyDescent="0.3">
      <c r="A325" s="7" t="s">
        <v>427</v>
      </c>
      <c r="B325" s="7"/>
      <c r="C325" s="6" t="s">
        <v>426</v>
      </c>
      <c r="D325" s="175">
        <f t="shared" ref="D325:J325" si="83">D326</f>
        <v>35</v>
      </c>
      <c r="E325" s="407"/>
      <c r="F325" s="175">
        <f t="shared" si="83"/>
        <v>35</v>
      </c>
      <c r="G325" s="175">
        <f t="shared" si="83"/>
        <v>0</v>
      </c>
      <c r="H325" s="407"/>
      <c r="I325" s="175">
        <f t="shared" si="83"/>
        <v>0</v>
      </c>
      <c r="J325" s="175">
        <f t="shared" si="83"/>
        <v>35</v>
      </c>
      <c r="K325" s="227"/>
    </row>
    <row r="326" spans="1:11" s="1" customFormat="1" ht="27" x14ac:dyDescent="0.3">
      <c r="A326" s="7"/>
      <c r="B326" s="7" t="s">
        <v>12</v>
      </c>
      <c r="C326" s="6" t="s">
        <v>11</v>
      </c>
      <c r="D326" s="175">
        <v>35</v>
      </c>
      <c r="E326" s="407"/>
      <c r="F326" s="175">
        <v>35</v>
      </c>
      <c r="G326" s="175">
        <v>0</v>
      </c>
      <c r="H326" s="407"/>
      <c r="I326" s="175">
        <v>0</v>
      </c>
      <c r="J326" s="175">
        <v>35</v>
      </c>
      <c r="K326" s="227"/>
    </row>
    <row r="327" spans="1:11" s="1" customFormat="1" ht="40.200000000000003" x14ac:dyDescent="0.3">
      <c r="A327" s="170" t="s">
        <v>358</v>
      </c>
      <c r="B327" s="170"/>
      <c r="C327" s="173" t="s">
        <v>357</v>
      </c>
      <c r="D327" s="255">
        <f>D328+D335+D350</f>
        <v>449.5</v>
      </c>
      <c r="E327" s="404"/>
      <c r="F327" s="255">
        <f>F328+F335+F350</f>
        <v>449.5</v>
      </c>
      <c r="G327" s="255">
        <f>G328+G335+G350</f>
        <v>0</v>
      </c>
      <c r="H327" s="404"/>
      <c r="I327" s="255">
        <f>I328+I335+I350</f>
        <v>0</v>
      </c>
      <c r="J327" s="255">
        <f>J328+J335+J350</f>
        <v>433.5</v>
      </c>
      <c r="K327" s="227"/>
    </row>
    <row r="328" spans="1:11" s="1" customFormat="1" ht="40.200000000000003" x14ac:dyDescent="0.3">
      <c r="A328" s="30" t="s">
        <v>356</v>
      </c>
      <c r="B328" s="30"/>
      <c r="C328" s="79" t="s">
        <v>355</v>
      </c>
      <c r="D328" s="249">
        <f>D329+D332</f>
        <v>173.5</v>
      </c>
      <c r="E328" s="405"/>
      <c r="F328" s="249">
        <f>F329+F332</f>
        <v>173.5</v>
      </c>
      <c r="G328" s="249">
        <f>G329+G332</f>
        <v>0</v>
      </c>
      <c r="H328" s="405"/>
      <c r="I328" s="249">
        <f>I329+I332</f>
        <v>0</v>
      </c>
      <c r="J328" s="249">
        <f>J329+J332</f>
        <v>173.5</v>
      </c>
      <c r="K328" s="227"/>
    </row>
    <row r="329" spans="1:11" s="1" customFormat="1" ht="40.200000000000003" x14ac:dyDescent="0.3">
      <c r="A329" s="153" t="s">
        <v>354</v>
      </c>
      <c r="B329" s="160"/>
      <c r="C329" s="164" t="s">
        <v>353</v>
      </c>
      <c r="D329" s="165">
        <f>D330</f>
        <v>48.5</v>
      </c>
      <c r="E329" s="406"/>
      <c r="F329" s="165">
        <f>F330</f>
        <v>48.5</v>
      </c>
      <c r="G329" s="165">
        <f>G330</f>
        <v>0</v>
      </c>
      <c r="H329" s="406"/>
      <c r="I329" s="165">
        <f>I330</f>
        <v>0</v>
      </c>
      <c r="J329" s="165">
        <f>J330</f>
        <v>48.5</v>
      </c>
      <c r="K329" s="227"/>
    </row>
    <row r="330" spans="1:11" s="1" customFormat="1" ht="27" x14ac:dyDescent="0.3">
      <c r="A330" s="7" t="s">
        <v>352</v>
      </c>
      <c r="B330" s="7"/>
      <c r="C330" s="97" t="s">
        <v>351</v>
      </c>
      <c r="D330" s="175">
        <f t="shared" ref="D330:J330" si="84">D331</f>
        <v>48.5</v>
      </c>
      <c r="E330" s="407"/>
      <c r="F330" s="175">
        <f t="shared" si="84"/>
        <v>48.5</v>
      </c>
      <c r="G330" s="175">
        <f t="shared" si="84"/>
        <v>0</v>
      </c>
      <c r="H330" s="407"/>
      <c r="I330" s="175">
        <f t="shared" si="84"/>
        <v>0</v>
      </c>
      <c r="J330" s="175">
        <f t="shared" si="84"/>
        <v>48.5</v>
      </c>
      <c r="K330" s="227"/>
    </row>
    <row r="331" spans="1:11" s="1" customFormat="1" ht="27" x14ac:dyDescent="0.3">
      <c r="A331" s="7"/>
      <c r="B331" s="7" t="s">
        <v>12</v>
      </c>
      <c r="C331" s="6" t="s">
        <v>11</v>
      </c>
      <c r="D331" s="175">
        <v>48.5</v>
      </c>
      <c r="E331" s="407"/>
      <c r="F331" s="175">
        <v>48.5</v>
      </c>
      <c r="G331" s="175">
        <v>0</v>
      </c>
      <c r="H331" s="407"/>
      <c r="I331" s="175">
        <v>0</v>
      </c>
      <c r="J331" s="175">
        <v>48.5</v>
      </c>
      <c r="K331" s="227"/>
    </row>
    <row r="332" spans="1:11" s="1" customFormat="1" ht="53.4" x14ac:dyDescent="0.3">
      <c r="A332" s="153" t="s">
        <v>540</v>
      </c>
      <c r="B332" s="153"/>
      <c r="C332" s="154" t="s">
        <v>541</v>
      </c>
      <c r="D332" s="165">
        <f t="shared" ref="D332:I333" si="85">D333</f>
        <v>125</v>
      </c>
      <c r="E332" s="406"/>
      <c r="F332" s="165">
        <f t="shared" si="85"/>
        <v>125</v>
      </c>
      <c r="G332" s="165">
        <f t="shared" si="85"/>
        <v>0</v>
      </c>
      <c r="H332" s="406"/>
      <c r="I332" s="165">
        <f t="shared" si="85"/>
        <v>0</v>
      </c>
      <c r="J332" s="165">
        <f>J333</f>
        <v>125</v>
      </c>
      <c r="K332" s="227"/>
    </row>
    <row r="333" spans="1:11" s="1" customFormat="1" ht="27" x14ac:dyDescent="0.3">
      <c r="A333" s="7" t="s">
        <v>606</v>
      </c>
      <c r="B333" s="7"/>
      <c r="C333" s="6" t="s">
        <v>542</v>
      </c>
      <c r="D333" s="175">
        <f t="shared" si="85"/>
        <v>125</v>
      </c>
      <c r="E333" s="407"/>
      <c r="F333" s="175">
        <f t="shared" si="85"/>
        <v>125</v>
      </c>
      <c r="G333" s="175">
        <f t="shared" si="85"/>
        <v>0</v>
      </c>
      <c r="H333" s="407"/>
      <c r="I333" s="175">
        <f t="shared" si="85"/>
        <v>0</v>
      </c>
      <c r="J333" s="175">
        <f>J334</f>
        <v>125</v>
      </c>
      <c r="K333" s="227"/>
    </row>
    <row r="334" spans="1:11" s="1" customFormat="1" ht="27" x14ac:dyDescent="0.3">
      <c r="A334" s="7"/>
      <c r="B334" s="7" t="s">
        <v>12</v>
      </c>
      <c r="C334" s="6" t="s">
        <v>11</v>
      </c>
      <c r="D334" s="175">
        <v>125</v>
      </c>
      <c r="E334" s="407"/>
      <c r="F334" s="175">
        <v>125</v>
      </c>
      <c r="G334" s="175">
        <v>0</v>
      </c>
      <c r="H334" s="407"/>
      <c r="I334" s="175">
        <v>0</v>
      </c>
      <c r="J334" s="175">
        <v>125</v>
      </c>
      <c r="K334" s="227"/>
    </row>
    <row r="335" spans="1:11" s="1" customFormat="1" ht="40.200000000000003" x14ac:dyDescent="0.3">
      <c r="A335" s="30" t="s">
        <v>416</v>
      </c>
      <c r="B335" s="30"/>
      <c r="C335" s="79" t="s">
        <v>415</v>
      </c>
      <c r="D335" s="249">
        <f>D336+D339</f>
        <v>260</v>
      </c>
      <c r="E335" s="405"/>
      <c r="F335" s="249">
        <f>F336+F339</f>
        <v>260</v>
      </c>
      <c r="G335" s="249">
        <f>G336+G339</f>
        <v>0</v>
      </c>
      <c r="H335" s="405"/>
      <c r="I335" s="249">
        <f>I336+I339</f>
        <v>0</v>
      </c>
      <c r="J335" s="249">
        <f>J336+J339</f>
        <v>260</v>
      </c>
      <c r="K335" s="227"/>
    </row>
    <row r="336" spans="1:11" s="1" customFormat="1" ht="27" x14ac:dyDescent="0.3">
      <c r="A336" s="153" t="s">
        <v>414</v>
      </c>
      <c r="B336" s="153"/>
      <c r="C336" s="164" t="s">
        <v>413</v>
      </c>
      <c r="D336" s="165">
        <f t="shared" ref="D336:J337" si="86">D337</f>
        <v>124</v>
      </c>
      <c r="E336" s="406"/>
      <c r="F336" s="165">
        <f t="shared" si="86"/>
        <v>124</v>
      </c>
      <c r="G336" s="165">
        <f t="shared" si="86"/>
        <v>0</v>
      </c>
      <c r="H336" s="406"/>
      <c r="I336" s="165">
        <f t="shared" si="86"/>
        <v>0</v>
      </c>
      <c r="J336" s="165">
        <f t="shared" si="86"/>
        <v>124</v>
      </c>
      <c r="K336" s="227"/>
    </row>
    <row r="337" spans="1:11" s="1" customFormat="1" ht="14.4" x14ac:dyDescent="0.3">
      <c r="A337" s="7" t="s">
        <v>412</v>
      </c>
      <c r="B337" s="7"/>
      <c r="C337" s="97" t="s">
        <v>411</v>
      </c>
      <c r="D337" s="175">
        <f t="shared" si="86"/>
        <v>124</v>
      </c>
      <c r="E337" s="407"/>
      <c r="F337" s="175">
        <f t="shared" si="86"/>
        <v>124</v>
      </c>
      <c r="G337" s="175">
        <f t="shared" si="86"/>
        <v>0</v>
      </c>
      <c r="H337" s="407"/>
      <c r="I337" s="175">
        <f t="shared" si="86"/>
        <v>0</v>
      </c>
      <c r="J337" s="175">
        <f t="shared" si="86"/>
        <v>124</v>
      </c>
      <c r="K337" s="227"/>
    </row>
    <row r="338" spans="1:11" s="1" customFormat="1" ht="27" x14ac:dyDescent="0.3">
      <c r="A338" s="7"/>
      <c r="B338" s="7" t="s">
        <v>12</v>
      </c>
      <c r="C338" s="6" t="s">
        <v>11</v>
      </c>
      <c r="D338" s="175">
        <v>124</v>
      </c>
      <c r="E338" s="407"/>
      <c r="F338" s="175">
        <v>124</v>
      </c>
      <c r="G338" s="175">
        <v>0</v>
      </c>
      <c r="H338" s="407"/>
      <c r="I338" s="175">
        <v>0</v>
      </c>
      <c r="J338" s="175">
        <v>124</v>
      </c>
      <c r="K338" s="227"/>
    </row>
    <row r="339" spans="1:11" s="1" customFormat="1" ht="27" x14ac:dyDescent="0.3">
      <c r="A339" s="153" t="s">
        <v>410</v>
      </c>
      <c r="B339" s="153"/>
      <c r="C339" s="164" t="s">
        <v>409</v>
      </c>
      <c r="D339" s="165">
        <f>D340+D342+D344+D346+D348</f>
        <v>136</v>
      </c>
      <c r="E339" s="406"/>
      <c r="F339" s="165">
        <f>F340+F342+F344+F346+F348</f>
        <v>136</v>
      </c>
      <c r="G339" s="165">
        <f>G340+G342+G344+G346+G348</f>
        <v>0</v>
      </c>
      <c r="H339" s="406"/>
      <c r="I339" s="165">
        <f>I340+I342+I344+I346+I348</f>
        <v>0</v>
      </c>
      <c r="J339" s="165">
        <f>J340+J342+J344+J346+J348</f>
        <v>136</v>
      </c>
      <c r="K339" s="227"/>
    </row>
    <row r="340" spans="1:11" s="1" customFormat="1" ht="40.200000000000003" x14ac:dyDescent="0.3">
      <c r="A340" s="7" t="s">
        <v>408</v>
      </c>
      <c r="B340" s="7"/>
      <c r="C340" s="97" t="s">
        <v>407</v>
      </c>
      <c r="D340" s="175">
        <f t="shared" ref="D340:J340" si="87">D341</f>
        <v>40.6</v>
      </c>
      <c r="E340" s="407"/>
      <c r="F340" s="175">
        <f t="shared" si="87"/>
        <v>40.6</v>
      </c>
      <c r="G340" s="175">
        <f t="shared" si="87"/>
        <v>0</v>
      </c>
      <c r="H340" s="407"/>
      <c r="I340" s="175">
        <f t="shared" si="87"/>
        <v>0</v>
      </c>
      <c r="J340" s="175">
        <f t="shared" si="87"/>
        <v>40.6</v>
      </c>
      <c r="K340" s="227"/>
    </row>
    <row r="341" spans="1:11" s="1" customFormat="1" ht="27" x14ac:dyDescent="0.3">
      <c r="A341" s="7"/>
      <c r="B341" s="7" t="s">
        <v>12</v>
      </c>
      <c r="C341" s="6" t="s">
        <v>11</v>
      </c>
      <c r="D341" s="175">
        <v>40.6</v>
      </c>
      <c r="E341" s="407"/>
      <c r="F341" s="175">
        <v>40.6</v>
      </c>
      <c r="G341" s="175">
        <v>0</v>
      </c>
      <c r="H341" s="407"/>
      <c r="I341" s="175">
        <v>0</v>
      </c>
      <c r="J341" s="175">
        <v>40.6</v>
      </c>
      <c r="K341" s="227"/>
    </row>
    <row r="342" spans="1:11" s="1" customFormat="1" ht="27" x14ac:dyDescent="0.3">
      <c r="A342" s="7" t="s">
        <v>406</v>
      </c>
      <c r="B342" s="7"/>
      <c r="C342" s="97" t="s">
        <v>405</v>
      </c>
      <c r="D342" s="175">
        <f t="shared" ref="D342:J342" si="88">D343</f>
        <v>40</v>
      </c>
      <c r="E342" s="407"/>
      <c r="F342" s="175">
        <f t="shared" si="88"/>
        <v>40</v>
      </c>
      <c r="G342" s="175">
        <f t="shared" si="88"/>
        <v>0</v>
      </c>
      <c r="H342" s="407"/>
      <c r="I342" s="175">
        <f t="shared" si="88"/>
        <v>0</v>
      </c>
      <c r="J342" s="175">
        <f t="shared" si="88"/>
        <v>40</v>
      </c>
      <c r="K342" s="227"/>
    </row>
    <row r="343" spans="1:11" s="1" customFormat="1" ht="27" x14ac:dyDescent="0.3">
      <c r="A343" s="7"/>
      <c r="B343" s="7" t="s">
        <v>12</v>
      </c>
      <c r="C343" s="6" t="s">
        <v>11</v>
      </c>
      <c r="D343" s="175">
        <v>40</v>
      </c>
      <c r="E343" s="407"/>
      <c r="F343" s="175">
        <v>40</v>
      </c>
      <c r="G343" s="175">
        <v>0</v>
      </c>
      <c r="H343" s="407"/>
      <c r="I343" s="175">
        <v>0</v>
      </c>
      <c r="J343" s="175">
        <v>40</v>
      </c>
      <c r="K343" s="227"/>
    </row>
    <row r="344" spans="1:11" s="1" customFormat="1" ht="27" x14ac:dyDescent="0.3">
      <c r="A344" s="7" t="s">
        <v>404</v>
      </c>
      <c r="B344" s="7"/>
      <c r="C344" s="97" t="s">
        <v>403</v>
      </c>
      <c r="D344" s="175">
        <f t="shared" ref="D344:J344" si="89">D345</f>
        <v>26.6</v>
      </c>
      <c r="E344" s="407"/>
      <c r="F344" s="175">
        <f t="shared" si="89"/>
        <v>26.6</v>
      </c>
      <c r="G344" s="175">
        <f t="shared" si="89"/>
        <v>0</v>
      </c>
      <c r="H344" s="407"/>
      <c r="I344" s="175">
        <f t="shared" si="89"/>
        <v>0</v>
      </c>
      <c r="J344" s="175">
        <f t="shared" si="89"/>
        <v>26.6</v>
      </c>
      <c r="K344" s="227"/>
    </row>
    <row r="345" spans="1:11" s="1" customFormat="1" ht="27" x14ac:dyDescent="0.3">
      <c r="A345" s="7"/>
      <c r="B345" s="7" t="s">
        <v>12</v>
      </c>
      <c r="C345" s="6" t="s">
        <v>11</v>
      </c>
      <c r="D345" s="175">
        <v>26.6</v>
      </c>
      <c r="E345" s="407"/>
      <c r="F345" s="175">
        <v>26.6</v>
      </c>
      <c r="G345" s="175">
        <v>0</v>
      </c>
      <c r="H345" s="407"/>
      <c r="I345" s="175">
        <v>0</v>
      </c>
      <c r="J345" s="175">
        <v>26.6</v>
      </c>
      <c r="K345" s="227"/>
    </row>
    <row r="346" spans="1:11" s="1" customFormat="1" ht="14.4" x14ac:dyDescent="0.3">
      <c r="A346" s="7" t="s">
        <v>402</v>
      </c>
      <c r="B346" s="7"/>
      <c r="C346" s="97" t="s">
        <v>401</v>
      </c>
      <c r="D346" s="175">
        <f>D347</f>
        <v>28.8</v>
      </c>
      <c r="E346" s="407"/>
      <c r="F346" s="175">
        <f>F347</f>
        <v>28.8</v>
      </c>
      <c r="G346" s="175">
        <f>G347</f>
        <v>0</v>
      </c>
      <c r="H346" s="407"/>
      <c r="I346" s="175">
        <f>I347</f>
        <v>0</v>
      </c>
      <c r="J346" s="175">
        <f>J347</f>
        <v>28.8</v>
      </c>
      <c r="K346" s="227"/>
    </row>
    <row r="347" spans="1:11" s="1" customFormat="1" ht="27" x14ac:dyDescent="0.3">
      <c r="A347" s="7"/>
      <c r="B347" s="7" t="s">
        <v>12</v>
      </c>
      <c r="C347" s="6" t="s">
        <v>11</v>
      </c>
      <c r="D347" s="175">
        <v>28.8</v>
      </c>
      <c r="E347" s="407"/>
      <c r="F347" s="175">
        <v>28.8</v>
      </c>
      <c r="G347" s="175">
        <v>0</v>
      </c>
      <c r="H347" s="407"/>
      <c r="I347" s="175">
        <v>0</v>
      </c>
      <c r="J347" s="175">
        <v>28.8</v>
      </c>
      <c r="K347" s="227"/>
    </row>
    <row r="348" spans="1:11" s="1" customFormat="1" ht="14.4" x14ac:dyDescent="0.3">
      <c r="A348" s="7" t="s">
        <v>700</v>
      </c>
      <c r="B348" s="7"/>
      <c r="C348" s="97" t="s">
        <v>678</v>
      </c>
      <c r="D348" s="175">
        <f t="shared" ref="D348:J348" si="90">D349</f>
        <v>0</v>
      </c>
      <c r="E348" s="407"/>
      <c r="F348" s="175">
        <f t="shared" si="90"/>
        <v>0</v>
      </c>
      <c r="G348" s="175">
        <f t="shared" si="90"/>
        <v>0</v>
      </c>
      <c r="H348" s="407"/>
      <c r="I348" s="175">
        <f t="shared" si="90"/>
        <v>0</v>
      </c>
      <c r="J348" s="175">
        <f t="shared" si="90"/>
        <v>0</v>
      </c>
      <c r="K348" s="227"/>
    </row>
    <row r="349" spans="1:11" s="1" customFormat="1" ht="27" x14ac:dyDescent="0.3">
      <c r="A349" s="7"/>
      <c r="B349" s="7" t="s">
        <v>12</v>
      </c>
      <c r="C349" s="6" t="s">
        <v>11</v>
      </c>
      <c r="D349" s="175">
        <v>0</v>
      </c>
      <c r="E349" s="407"/>
      <c r="F349" s="175">
        <v>0</v>
      </c>
      <c r="G349" s="175">
        <v>0</v>
      </c>
      <c r="H349" s="407"/>
      <c r="I349" s="175">
        <v>0</v>
      </c>
      <c r="J349" s="175">
        <v>0</v>
      </c>
      <c r="K349" s="227"/>
    </row>
    <row r="350" spans="1:11" s="1" customFormat="1" ht="27" x14ac:dyDescent="0.3">
      <c r="A350" s="30" t="s">
        <v>679</v>
      </c>
      <c r="B350" s="30"/>
      <c r="C350" s="79" t="s">
        <v>762</v>
      </c>
      <c r="D350" s="249">
        <f t="shared" ref="D350:J350" si="91">D351</f>
        <v>16</v>
      </c>
      <c r="E350" s="405"/>
      <c r="F350" s="249">
        <f t="shared" si="91"/>
        <v>16</v>
      </c>
      <c r="G350" s="249">
        <f t="shared" si="91"/>
        <v>0</v>
      </c>
      <c r="H350" s="405"/>
      <c r="I350" s="249">
        <f t="shared" si="91"/>
        <v>0</v>
      </c>
      <c r="J350" s="249">
        <f t="shared" si="91"/>
        <v>0</v>
      </c>
      <c r="K350" s="227"/>
    </row>
    <row r="351" spans="1:11" s="1" customFormat="1" ht="27" x14ac:dyDescent="0.3">
      <c r="A351" s="153" t="s">
        <v>680</v>
      </c>
      <c r="B351" s="153"/>
      <c r="C351" s="164" t="s">
        <v>682</v>
      </c>
      <c r="D351" s="165">
        <f t="shared" ref="D351:J352" si="92">D352</f>
        <v>16</v>
      </c>
      <c r="E351" s="406"/>
      <c r="F351" s="165">
        <f t="shared" si="92"/>
        <v>16</v>
      </c>
      <c r="G351" s="165">
        <f t="shared" si="92"/>
        <v>0</v>
      </c>
      <c r="H351" s="406"/>
      <c r="I351" s="165">
        <f t="shared" si="92"/>
        <v>0</v>
      </c>
      <c r="J351" s="165">
        <f t="shared" si="92"/>
        <v>0</v>
      </c>
      <c r="K351" s="227"/>
    </row>
    <row r="352" spans="1:11" s="1" customFormat="1" ht="14.4" x14ac:dyDescent="0.3">
      <c r="A352" s="7" t="s">
        <v>701</v>
      </c>
      <c r="B352" s="7"/>
      <c r="C352" s="97" t="s">
        <v>681</v>
      </c>
      <c r="D352" s="175">
        <f t="shared" si="92"/>
        <v>16</v>
      </c>
      <c r="E352" s="407"/>
      <c r="F352" s="175">
        <f t="shared" si="92"/>
        <v>16</v>
      </c>
      <c r="G352" s="175">
        <f t="shared" si="92"/>
        <v>0</v>
      </c>
      <c r="H352" s="407"/>
      <c r="I352" s="175">
        <f t="shared" si="92"/>
        <v>0</v>
      </c>
      <c r="J352" s="175">
        <f t="shared" si="92"/>
        <v>0</v>
      </c>
      <c r="K352" s="227"/>
    </row>
    <row r="353" spans="1:11" s="1" customFormat="1" ht="27" x14ac:dyDescent="0.3">
      <c r="A353" s="7"/>
      <c r="B353" s="7" t="s">
        <v>12</v>
      </c>
      <c r="C353" s="6" t="s">
        <v>11</v>
      </c>
      <c r="D353" s="175">
        <v>16</v>
      </c>
      <c r="E353" s="407"/>
      <c r="F353" s="175">
        <v>16</v>
      </c>
      <c r="G353" s="175">
        <v>0</v>
      </c>
      <c r="H353" s="407"/>
      <c r="I353" s="175">
        <v>0</v>
      </c>
      <c r="J353" s="175">
        <v>0</v>
      </c>
      <c r="K353" s="227"/>
    </row>
    <row r="354" spans="1:11" s="1" customFormat="1" ht="40.200000000000003" x14ac:dyDescent="0.3">
      <c r="A354" s="170" t="s">
        <v>278</v>
      </c>
      <c r="B354" s="170"/>
      <c r="C354" s="173" t="s">
        <v>277</v>
      </c>
      <c r="D354" s="255">
        <f t="shared" ref="D354:J354" si="93">D355+D403</f>
        <v>69552.146999999997</v>
      </c>
      <c r="E354" s="255">
        <f t="shared" si="93"/>
        <v>1065.4000000000001</v>
      </c>
      <c r="F354" s="255">
        <f t="shared" si="93"/>
        <v>70617.546999999991</v>
      </c>
      <c r="G354" s="255">
        <f t="shared" si="93"/>
        <v>29692.970079999999</v>
      </c>
      <c r="H354" s="255">
        <f t="shared" si="93"/>
        <v>247.5</v>
      </c>
      <c r="I354" s="255">
        <f t="shared" si="93"/>
        <v>29940.470079999999</v>
      </c>
      <c r="J354" s="255">
        <f t="shared" si="93"/>
        <v>52374.399999999994</v>
      </c>
      <c r="K354" s="227"/>
    </row>
    <row r="355" spans="1:11" s="1" customFormat="1" ht="40.200000000000003" x14ac:dyDescent="0.3">
      <c r="A355" s="30" t="s">
        <v>276</v>
      </c>
      <c r="B355" s="30"/>
      <c r="C355" s="79" t="s">
        <v>275</v>
      </c>
      <c r="D355" s="249">
        <f t="shared" ref="D355:J355" si="94">D356+D376+D388+D391+D394</f>
        <v>45519.30313</v>
      </c>
      <c r="E355" s="249">
        <f t="shared" si="94"/>
        <v>69.400000000000006</v>
      </c>
      <c r="F355" s="249">
        <f t="shared" si="94"/>
        <v>45588.703129999994</v>
      </c>
      <c r="G355" s="249">
        <f t="shared" si="94"/>
        <v>21701.51139</v>
      </c>
      <c r="H355" s="249">
        <f t="shared" si="94"/>
        <v>247.5</v>
      </c>
      <c r="I355" s="249">
        <f t="shared" si="94"/>
        <v>21949.01139</v>
      </c>
      <c r="J355" s="249">
        <f t="shared" si="94"/>
        <v>28702.199999999997</v>
      </c>
      <c r="K355" s="227"/>
    </row>
    <row r="356" spans="1:11" s="1" customFormat="1" ht="40.200000000000003" x14ac:dyDescent="0.3">
      <c r="A356" s="153" t="s">
        <v>304</v>
      </c>
      <c r="B356" s="153"/>
      <c r="C356" s="164" t="s">
        <v>303</v>
      </c>
      <c r="D356" s="165">
        <f>D357+D361+D365+D367+D369+D371+D374</f>
        <v>8890.348</v>
      </c>
      <c r="E356" s="406"/>
      <c r="F356" s="165">
        <f>F357+F361+F365+F367+F369+F371+F374</f>
        <v>8890.348</v>
      </c>
      <c r="G356" s="165">
        <f>G357+G361+G365+G367+G369+G371+G374</f>
        <v>0</v>
      </c>
      <c r="H356" s="406"/>
      <c r="I356" s="165">
        <f>I357+I361+I365+I367+I369+I371+I374</f>
        <v>0</v>
      </c>
      <c r="J356" s="165">
        <f>J357+J361+J365+J367+J369+J371+J374</f>
        <v>1562.3</v>
      </c>
      <c r="K356" s="227"/>
    </row>
    <row r="357" spans="1:11" s="1" customFormat="1" ht="27" x14ac:dyDescent="0.3">
      <c r="A357" s="7" t="s">
        <v>733</v>
      </c>
      <c r="B357" s="7"/>
      <c r="C357" s="97" t="s">
        <v>734</v>
      </c>
      <c r="D357" s="175">
        <f>D358</f>
        <v>55.6</v>
      </c>
      <c r="E357" s="407"/>
      <c r="F357" s="175">
        <f>F358</f>
        <v>55.6</v>
      </c>
      <c r="G357" s="175">
        <v>0</v>
      </c>
      <c r="H357" s="407"/>
      <c r="I357" s="175">
        <v>0</v>
      </c>
      <c r="J357" s="175">
        <v>0</v>
      </c>
      <c r="K357" s="227"/>
    </row>
    <row r="358" spans="1:11" s="1" customFormat="1" ht="27" x14ac:dyDescent="0.3">
      <c r="A358" s="7"/>
      <c r="B358" s="7" t="s">
        <v>12</v>
      </c>
      <c r="C358" s="6" t="s">
        <v>11</v>
      </c>
      <c r="D358" s="175">
        <f>D359+D360</f>
        <v>55.6</v>
      </c>
      <c r="E358" s="407"/>
      <c r="F358" s="175">
        <f>F359+F360</f>
        <v>55.6</v>
      </c>
      <c r="G358" s="175">
        <v>0</v>
      </c>
      <c r="H358" s="407"/>
      <c r="I358" s="175">
        <v>0</v>
      </c>
      <c r="J358" s="175">
        <v>0</v>
      </c>
      <c r="K358" s="227"/>
    </row>
    <row r="359" spans="1:11" s="1" customFormat="1" ht="14.4" x14ac:dyDescent="0.3">
      <c r="A359" s="7"/>
      <c r="B359" s="7"/>
      <c r="C359" s="96" t="s">
        <v>296</v>
      </c>
      <c r="D359" s="175">
        <v>27.8</v>
      </c>
      <c r="E359" s="407"/>
      <c r="F359" s="175">
        <v>27.8</v>
      </c>
      <c r="G359" s="175">
        <v>0</v>
      </c>
      <c r="H359" s="407"/>
      <c r="I359" s="175">
        <v>0</v>
      </c>
      <c r="J359" s="175">
        <v>0</v>
      </c>
      <c r="K359" s="227"/>
    </row>
    <row r="360" spans="1:11" s="1" customFormat="1" ht="14.4" x14ac:dyDescent="0.3">
      <c r="A360" s="7"/>
      <c r="B360" s="7"/>
      <c r="C360" s="96" t="s">
        <v>302</v>
      </c>
      <c r="D360" s="175">
        <v>27.8</v>
      </c>
      <c r="E360" s="407"/>
      <c r="F360" s="175">
        <v>27.8</v>
      </c>
      <c r="G360" s="175">
        <v>0</v>
      </c>
      <c r="H360" s="407"/>
      <c r="I360" s="175">
        <v>0</v>
      </c>
      <c r="J360" s="175">
        <v>0</v>
      </c>
      <c r="K360" s="227"/>
    </row>
    <row r="361" spans="1:11" s="1" customFormat="1" ht="53.4" x14ac:dyDescent="0.3">
      <c r="A361" s="7" t="s">
        <v>736</v>
      </c>
      <c r="B361" s="7"/>
      <c r="C361" s="97" t="s">
        <v>735</v>
      </c>
      <c r="D361" s="175">
        <f>D362</f>
        <v>100.44799999999999</v>
      </c>
      <c r="E361" s="407"/>
      <c r="F361" s="175">
        <f>F362</f>
        <v>100.44799999999999</v>
      </c>
      <c r="G361" s="175">
        <v>0</v>
      </c>
      <c r="H361" s="407"/>
      <c r="I361" s="175">
        <v>0</v>
      </c>
      <c r="J361" s="175">
        <v>0</v>
      </c>
      <c r="K361" s="227"/>
    </row>
    <row r="362" spans="1:11" s="1" customFormat="1" ht="27" x14ac:dyDescent="0.3">
      <c r="A362" s="7"/>
      <c r="B362" s="7" t="s">
        <v>12</v>
      </c>
      <c r="C362" s="6" t="s">
        <v>11</v>
      </c>
      <c r="D362" s="175">
        <f>D363+D364</f>
        <v>100.44799999999999</v>
      </c>
      <c r="E362" s="407"/>
      <c r="F362" s="175">
        <f>F363+F364</f>
        <v>100.44799999999999</v>
      </c>
      <c r="G362" s="175">
        <v>0</v>
      </c>
      <c r="H362" s="407"/>
      <c r="I362" s="175">
        <v>0</v>
      </c>
      <c r="J362" s="175">
        <v>0</v>
      </c>
      <c r="K362" s="227"/>
    </row>
    <row r="363" spans="1:11" s="1" customFormat="1" ht="14.4" x14ac:dyDescent="0.3">
      <c r="A363" s="7"/>
      <c r="B363" s="7"/>
      <c r="C363" s="96" t="s">
        <v>296</v>
      </c>
      <c r="D363" s="175">
        <v>50.223999999999997</v>
      </c>
      <c r="E363" s="407"/>
      <c r="F363" s="175">
        <v>50.223999999999997</v>
      </c>
      <c r="G363" s="175">
        <v>0</v>
      </c>
      <c r="H363" s="407"/>
      <c r="I363" s="175">
        <v>0</v>
      </c>
      <c r="J363" s="175">
        <v>0</v>
      </c>
      <c r="K363" s="227"/>
    </row>
    <row r="364" spans="1:11" s="1" customFormat="1" ht="14.4" x14ac:dyDescent="0.3">
      <c r="A364" s="7"/>
      <c r="B364" s="7"/>
      <c r="C364" s="96" t="s">
        <v>302</v>
      </c>
      <c r="D364" s="175">
        <v>50.223999999999997</v>
      </c>
      <c r="E364" s="407"/>
      <c r="F364" s="175">
        <v>50.223999999999997</v>
      </c>
      <c r="G364" s="175">
        <v>0</v>
      </c>
      <c r="H364" s="407"/>
      <c r="I364" s="175">
        <v>0</v>
      </c>
      <c r="J364" s="175">
        <v>0</v>
      </c>
      <c r="K364" s="227"/>
    </row>
    <row r="365" spans="1:11" s="1" customFormat="1" ht="27" x14ac:dyDescent="0.3">
      <c r="A365" s="54" t="s">
        <v>730</v>
      </c>
      <c r="B365" s="199"/>
      <c r="C365" s="203" t="s">
        <v>683</v>
      </c>
      <c r="D365" s="211">
        <f t="shared" ref="D365:J365" si="95">D366</f>
        <v>1708.6</v>
      </c>
      <c r="E365" s="407"/>
      <c r="F365" s="211">
        <f t="shared" si="95"/>
        <v>1708.6</v>
      </c>
      <c r="G365" s="211">
        <f t="shared" si="95"/>
        <v>0</v>
      </c>
      <c r="H365" s="407"/>
      <c r="I365" s="211">
        <f t="shared" si="95"/>
        <v>0</v>
      </c>
      <c r="J365" s="211">
        <f t="shared" si="95"/>
        <v>0</v>
      </c>
      <c r="K365" s="227"/>
    </row>
    <row r="366" spans="1:11" s="1" customFormat="1" ht="27" x14ac:dyDescent="0.3">
      <c r="A366" s="54"/>
      <c r="B366" s="7" t="s">
        <v>12</v>
      </c>
      <c r="C366" s="6" t="s">
        <v>11</v>
      </c>
      <c r="D366" s="211">
        <v>1708.6</v>
      </c>
      <c r="E366" s="407"/>
      <c r="F366" s="211">
        <v>1708.6</v>
      </c>
      <c r="G366" s="211">
        <v>0</v>
      </c>
      <c r="H366" s="407"/>
      <c r="I366" s="211">
        <v>0</v>
      </c>
      <c r="J366" s="211">
        <v>0</v>
      </c>
      <c r="K366" s="227"/>
    </row>
    <row r="367" spans="1:11" s="1" customFormat="1" ht="25.5" customHeight="1" x14ac:dyDescent="0.3">
      <c r="A367" s="54" t="s">
        <v>300</v>
      </c>
      <c r="B367" s="54"/>
      <c r="C367" s="6" t="s">
        <v>299</v>
      </c>
      <c r="D367" s="175">
        <f t="shared" ref="D367:J367" si="96">D368</f>
        <v>3194.7</v>
      </c>
      <c r="E367" s="407"/>
      <c r="F367" s="175">
        <f t="shared" si="96"/>
        <v>3194.7</v>
      </c>
      <c r="G367" s="175">
        <f t="shared" si="96"/>
        <v>0</v>
      </c>
      <c r="H367" s="407"/>
      <c r="I367" s="175">
        <f t="shared" si="96"/>
        <v>0</v>
      </c>
      <c r="J367" s="175">
        <f t="shared" si="96"/>
        <v>0</v>
      </c>
      <c r="K367" s="227"/>
    </row>
    <row r="368" spans="1:11" s="1" customFormat="1" ht="27" x14ac:dyDescent="0.3">
      <c r="A368" s="54"/>
      <c r="B368" s="7" t="s">
        <v>12</v>
      </c>
      <c r="C368" s="6" t="s">
        <v>11</v>
      </c>
      <c r="D368" s="175">
        <v>3194.7</v>
      </c>
      <c r="E368" s="407"/>
      <c r="F368" s="175">
        <v>3194.7</v>
      </c>
      <c r="G368" s="175">
        <v>0</v>
      </c>
      <c r="H368" s="407"/>
      <c r="I368" s="175">
        <v>0</v>
      </c>
      <c r="J368" s="175">
        <v>0</v>
      </c>
      <c r="K368" s="227"/>
    </row>
    <row r="369" spans="1:11" s="1" customFormat="1" ht="40.200000000000003" x14ac:dyDescent="0.3">
      <c r="A369" s="54" t="s">
        <v>298</v>
      </c>
      <c r="B369" s="54"/>
      <c r="C369" s="6" t="s">
        <v>297</v>
      </c>
      <c r="D369" s="246">
        <f t="shared" ref="D369:J369" si="97">D370</f>
        <v>1922</v>
      </c>
      <c r="E369" s="409"/>
      <c r="F369" s="246">
        <f t="shared" si="97"/>
        <v>1922</v>
      </c>
      <c r="G369" s="246">
        <f t="shared" si="97"/>
        <v>0</v>
      </c>
      <c r="H369" s="409"/>
      <c r="I369" s="246">
        <f t="shared" si="97"/>
        <v>0</v>
      </c>
      <c r="J369" s="246">
        <f t="shared" si="97"/>
        <v>1562.3</v>
      </c>
      <c r="K369" s="227"/>
    </row>
    <row r="370" spans="1:11" s="1" customFormat="1" ht="27" x14ac:dyDescent="0.3">
      <c r="A370" s="54"/>
      <c r="B370" s="7" t="s">
        <v>12</v>
      </c>
      <c r="C370" s="6" t="s">
        <v>11</v>
      </c>
      <c r="D370" s="175">
        <v>1922</v>
      </c>
      <c r="E370" s="407"/>
      <c r="F370" s="175">
        <v>1922</v>
      </c>
      <c r="G370" s="175">
        <v>0</v>
      </c>
      <c r="H370" s="407"/>
      <c r="I370" s="175">
        <v>0</v>
      </c>
      <c r="J370" s="175">
        <v>1562.3</v>
      </c>
      <c r="K370" s="227"/>
    </row>
    <row r="371" spans="1:11" s="1" customFormat="1" ht="40.200000000000003" x14ac:dyDescent="0.3">
      <c r="A371" s="54" t="s">
        <v>544</v>
      </c>
      <c r="B371" s="7"/>
      <c r="C371" s="6" t="s">
        <v>545</v>
      </c>
      <c r="D371" s="175">
        <f>D372+D373</f>
        <v>839.5</v>
      </c>
      <c r="E371" s="407"/>
      <c r="F371" s="175">
        <f>F372+F373</f>
        <v>839.5</v>
      </c>
      <c r="G371" s="175">
        <f>G372</f>
        <v>0</v>
      </c>
      <c r="H371" s="407"/>
      <c r="I371" s="175">
        <f>I372</f>
        <v>0</v>
      </c>
      <c r="J371" s="175">
        <f>J373</f>
        <v>0</v>
      </c>
      <c r="K371" s="227"/>
    </row>
    <row r="372" spans="1:11" s="1" customFormat="1" ht="27" x14ac:dyDescent="0.3">
      <c r="A372" s="54"/>
      <c r="B372" s="7" t="s">
        <v>12</v>
      </c>
      <c r="C372" s="6" t="s">
        <v>11</v>
      </c>
      <c r="D372" s="175">
        <v>0</v>
      </c>
      <c r="E372" s="407"/>
      <c r="F372" s="175">
        <v>0</v>
      </c>
      <c r="G372" s="175">
        <v>0</v>
      </c>
      <c r="H372" s="407"/>
      <c r="I372" s="175">
        <v>0</v>
      </c>
      <c r="J372" s="175">
        <v>0</v>
      </c>
      <c r="K372" s="227"/>
    </row>
    <row r="373" spans="1:11" s="1" customFormat="1" ht="27" x14ac:dyDescent="0.3">
      <c r="A373" s="54"/>
      <c r="B373" s="7" t="s">
        <v>57</v>
      </c>
      <c r="C373" s="6" t="s">
        <v>56</v>
      </c>
      <c r="D373" s="175">
        <f>352.5+296+191</f>
        <v>839.5</v>
      </c>
      <c r="E373" s="407"/>
      <c r="F373" s="175">
        <f>352.5+296+191</f>
        <v>839.5</v>
      </c>
      <c r="G373" s="175">
        <v>0</v>
      </c>
      <c r="H373" s="407"/>
      <c r="I373" s="175">
        <v>0</v>
      </c>
      <c r="J373" s="175">
        <v>0</v>
      </c>
      <c r="K373" s="227"/>
    </row>
    <row r="374" spans="1:11" s="1" customFormat="1" ht="53.4" x14ac:dyDescent="0.3">
      <c r="A374" s="54" t="s">
        <v>607</v>
      </c>
      <c r="B374" s="7"/>
      <c r="C374" s="96" t="s">
        <v>543</v>
      </c>
      <c r="D374" s="175">
        <f>D375</f>
        <v>1069.5</v>
      </c>
      <c r="E374" s="407"/>
      <c r="F374" s="175">
        <f>F375</f>
        <v>1069.5</v>
      </c>
      <c r="G374" s="175">
        <v>0</v>
      </c>
      <c r="H374" s="407"/>
      <c r="I374" s="175">
        <v>0</v>
      </c>
      <c r="J374" s="175">
        <v>0</v>
      </c>
      <c r="K374" s="227"/>
    </row>
    <row r="375" spans="1:11" s="1" customFormat="1" ht="27" x14ac:dyDescent="0.3">
      <c r="A375" s="54"/>
      <c r="B375" s="7" t="s">
        <v>12</v>
      </c>
      <c r="C375" s="6" t="s">
        <v>11</v>
      </c>
      <c r="D375" s="175">
        <v>1069.5</v>
      </c>
      <c r="E375" s="407"/>
      <c r="F375" s="175">
        <v>1069.5</v>
      </c>
      <c r="G375" s="175">
        <v>0</v>
      </c>
      <c r="H375" s="407"/>
      <c r="I375" s="175">
        <v>0</v>
      </c>
      <c r="J375" s="175">
        <v>0</v>
      </c>
      <c r="K375" s="227"/>
    </row>
    <row r="376" spans="1:11" s="1" customFormat="1" ht="27" x14ac:dyDescent="0.3">
      <c r="A376" s="153" t="s">
        <v>274</v>
      </c>
      <c r="B376" s="160"/>
      <c r="C376" s="164" t="s">
        <v>273</v>
      </c>
      <c r="D376" s="165">
        <f t="shared" ref="D376:J376" si="98">D379+D381+D383+D386+D377</f>
        <v>3139.3</v>
      </c>
      <c r="E376" s="165">
        <f t="shared" si="98"/>
        <v>69.400000000000006</v>
      </c>
      <c r="F376" s="165">
        <f t="shared" si="98"/>
        <v>3208.7</v>
      </c>
      <c r="G376" s="165">
        <f t="shared" si="98"/>
        <v>0</v>
      </c>
      <c r="H376" s="165">
        <f t="shared" si="98"/>
        <v>247.5</v>
      </c>
      <c r="I376" s="165">
        <f t="shared" si="98"/>
        <v>247.5</v>
      </c>
      <c r="J376" s="165">
        <f t="shared" si="98"/>
        <v>837.8</v>
      </c>
      <c r="K376" s="227"/>
    </row>
    <row r="377" spans="1:11" s="1" customFormat="1" ht="27" x14ac:dyDescent="0.3">
      <c r="A377" s="7" t="s">
        <v>731</v>
      </c>
      <c r="B377" s="73"/>
      <c r="C377" s="11" t="s">
        <v>684</v>
      </c>
      <c r="D377" s="175">
        <f t="shared" ref="D377:J377" si="99">D378</f>
        <v>0</v>
      </c>
      <c r="E377" s="407"/>
      <c r="F377" s="175">
        <f t="shared" si="99"/>
        <v>0</v>
      </c>
      <c r="G377" s="175">
        <f t="shared" si="99"/>
        <v>0</v>
      </c>
      <c r="H377" s="407"/>
      <c r="I377" s="175">
        <f t="shared" si="99"/>
        <v>0</v>
      </c>
      <c r="J377" s="175">
        <f t="shared" si="99"/>
        <v>0</v>
      </c>
      <c r="K377" s="227"/>
    </row>
    <row r="378" spans="1:11" s="1" customFormat="1" ht="27" x14ac:dyDescent="0.3">
      <c r="A378" s="83"/>
      <c r="B378" s="7" t="s">
        <v>12</v>
      </c>
      <c r="C378" s="6" t="s">
        <v>11</v>
      </c>
      <c r="D378" s="175">
        <f>250-250</f>
        <v>0</v>
      </c>
      <c r="E378" s="407"/>
      <c r="F378" s="175">
        <f>250-250</f>
        <v>0</v>
      </c>
      <c r="G378" s="175">
        <v>0</v>
      </c>
      <c r="H378" s="407"/>
      <c r="I378" s="175">
        <v>0</v>
      </c>
      <c r="J378" s="175">
        <f>350-350</f>
        <v>0</v>
      </c>
      <c r="K378" s="227"/>
    </row>
    <row r="379" spans="1:11" s="1" customFormat="1" ht="14.4" x14ac:dyDescent="0.3">
      <c r="A379" s="7" t="s">
        <v>608</v>
      </c>
      <c r="B379" s="7"/>
      <c r="C379" s="6" t="s">
        <v>546</v>
      </c>
      <c r="D379" s="175">
        <f t="shared" ref="D379:J379" si="100">D380</f>
        <v>556.79999999999995</v>
      </c>
      <c r="E379" s="407"/>
      <c r="F379" s="175">
        <f t="shared" si="100"/>
        <v>556.79999999999995</v>
      </c>
      <c r="G379" s="175">
        <f t="shared" si="100"/>
        <v>0</v>
      </c>
      <c r="H379" s="407"/>
      <c r="I379" s="175">
        <f t="shared" si="100"/>
        <v>0</v>
      </c>
      <c r="J379" s="175">
        <f t="shared" si="100"/>
        <v>556.79999999999995</v>
      </c>
      <c r="K379" s="227"/>
    </row>
    <row r="380" spans="1:11" s="1" customFormat="1" ht="27" x14ac:dyDescent="0.3">
      <c r="A380" s="83"/>
      <c r="B380" s="7" t="s">
        <v>57</v>
      </c>
      <c r="C380" s="6" t="s">
        <v>56</v>
      </c>
      <c r="D380" s="175">
        <v>556.79999999999995</v>
      </c>
      <c r="E380" s="407"/>
      <c r="F380" s="175">
        <v>556.79999999999995</v>
      </c>
      <c r="G380" s="175">
        <v>0</v>
      </c>
      <c r="H380" s="407"/>
      <c r="I380" s="175">
        <v>0</v>
      </c>
      <c r="J380" s="175">
        <v>556.79999999999995</v>
      </c>
      <c r="K380" s="227"/>
    </row>
    <row r="381" spans="1:11" s="1" customFormat="1" ht="14.4" x14ac:dyDescent="0.3">
      <c r="A381" s="7" t="s">
        <v>295</v>
      </c>
      <c r="B381" s="80"/>
      <c r="C381" s="6" t="s">
        <v>294</v>
      </c>
      <c r="D381" s="175">
        <f t="shared" ref="D381:J381" si="101">D382</f>
        <v>458.3</v>
      </c>
      <c r="E381" s="407"/>
      <c r="F381" s="175">
        <f t="shared" si="101"/>
        <v>458.3</v>
      </c>
      <c r="G381" s="175">
        <f t="shared" si="101"/>
        <v>0</v>
      </c>
      <c r="H381" s="407"/>
      <c r="I381" s="175">
        <f t="shared" si="101"/>
        <v>0</v>
      </c>
      <c r="J381" s="175">
        <f t="shared" si="101"/>
        <v>0</v>
      </c>
      <c r="K381" s="227"/>
    </row>
    <row r="382" spans="1:11" s="1" customFormat="1" ht="27" x14ac:dyDescent="0.3">
      <c r="A382" s="60"/>
      <c r="B382" s="7" t="s">
        <v>12</v>
      </c>
      <c r="C382" s="6" t="s">
        <v>11</v>
      </c>
      <c r="D382" s="175">
        <v>458.3</v>
      </c>
      <c r="E382" s="407"/>
      <c r="F382" s="175">
        <v>458.3</v>
      </c>
      <c r="G382" s="175">
        <v>0</v>
      </c>
      <c r="H382" s="407"/>
      <c r="I382" s="175">
        <v>0</v>
      </c>
      <c r="J382" s="175">
        <v>0</v>
      </c>
      <c r="K382" s="227"/>
    </row>
    <row r="383" spans="1:11" s="1" customFormat="1" ht="27" x14ac:dyDescent="0.3">
      <c r="A383" s="7" t="s">
        <v>325</v>
      </c>
      <c r="B383" s="73"/>
      <c r="C383" s="11" t="s">
        <v>324</v>
      </c>
      <c r="D383" s="175">
        <f>D384+D385</f>
        <v>1422.2</v>
      </c>
      <c r="E383" s="175">
        <f>E384+E385</f>
        <v>69.400000000000006</v>
      </c>
      <c r="F383" s="175">
        <f>F384+F385</f>
        <v>1491.6000000000001</v>
      </c>
      <c r="G383" s="175">
        <f>G384</f>
        <v>0</v>
      </c>
      <c r="H383" s="175">
        <f>H384+H385</f>
        <v>247.5</v>
      </c>
      <c r="I383" s="175">
        <f>I384+I385</f>
        <v>247.5</v>
      </c>
      <c r="J383" s="175">
        <f>J384</f>
        <v>0</v>
      </c>
      <c r="K383" s="227"/>
    </row>
    <row r="384" spans="1:11" s="1" customFormat="1" ht="27" x14ac:dyDescent="0.3">
      <c r="A384" s="7"/>
      <c r="B384" s="7" t="s">
        <v>12</v>
      </c>
      <c r="C384" s="6" t="s">
        <v>11</v>
      </c>
      <c r="D384" s="175">
        <f>100-100</f>
        <v>0</v>
      </c>
      <c r="E384" s="407"/>
      <c r="F384" s="175">
        <f>100-100</f>
        <v>0</v>
      </c>
      <c r="G384" s="175">
        <v>0</v>
      </c>
      <c r="H384" s="407"/>
      <c r="I384" s="175">
        <v>0</v>
      </c>
      <c r="J384" s="175">
        <v>0</v>
      </c>
      <c r="K384" s="227"/>
    </row>
    <row r="385" spans="1:11" s="1" customFormat="1" ht="27" x14ac:dyDescent="0.3">
      <c r="A385" s="226"/>
      <c r="B385" s="7" t="s">
        <v>57</v>
      </c>
      <c r="C385" s="6" t="s">
        <v>56</v>
      </c>
      <c r="D385" s="248">
        <v>1422.2</v>
      </c>
      <c r="E385" s="407">
        <v>69.400000000000006</v>
      </c>
      <c r="F385" s="248">
        <f>D385+69.4</f>
        <v>1491.6000000000001</v>
      </c>
      <c r="G385" s="248">
        <v>0</v>
      </c>
      <c r="H385" s="407">
        <v>247.5</v>
      </c>
      <c r="I385" s="248">
        <v>247.5</v>
      </c>
      <c r="J385" s="248">
        <v>0</v>
      </c>
      <c r="K385" s="227"/>
    </row>
    <row r="386" spans="1:11" s="1" customFormat="1" ht="27" x14ac:dyDescent="0.3">
      <c r="A386" s="7" t="s">
        <v>293</v>
      </c>
      <c r="B386" s="73"/>
      <c r="C386" s="11" t="s">
        <v>292</v>
      </c>
      <c r="D386" s="175">
        <f t="shared" ref="D386:J386" si="102">D387</f>
        <v>702</v>
      </c>
      <c r="E386" s="407"/>
      <c r="F386" s="175">
        <f t="shared" si="102"/>
        <v>702</v>
      </c>
      <c r="G386" s="175">
        <f t="shared" si="102"/>
        <v>0</v>
      </c>
      <c r="H386" s="407"/>
      <c r="I386" s="175">
        <f t="shared" si="102"/>
        <v>0</v>
      </c>
      <c r="J386" s="175">
        <f t="shared" si="102"/>
        <v>281</v>
      </c>
      <c r="K386" s="227"/>
    </row>
    <row r="387" spans="1:11" s="1" customFormat="1" ht="27" x14ac:dyDescent="0.3">
      <c r="A387" s="83"/>
      <c r="B387" s="7" t="s">
        <v>12</v>
      </c>
      <c r="C387" s="6" t="s">
        <v>11</v>
      </c>
      <c r="D387" s="175">
        <v>702</v>
      </c>
      <c r="E387" s="407"/>
      <c r="F387" s="175">
        <v>702</v>
      </c>
      <c r="G387" s="175">
        <v>0</v>
      </c>
      <c r="H387" s="407"/>
      <c r="I387" s="175">
        <v>0</v>
      </c>
      <c r="J387" s="175">
        <v>281</v>
      </c>
      <c r="K387" s="227"/>
    </row>
    <row r="388" spans="1:11" s="1" customFormat="1" ht="53.4" x14ac:dyDescent="0.3">
      <c r="A388" s="153" t="s">
        <v>400</v>
      </c>
      <c r="B388" s="160"/>
      <c r="C388" s="164" t="s">
        <v>399</v>
      </c>
      <c r="D388" s="165">
        <f t="shared" ref="D388:J389" si="103">D389</f>
        <v>632.20000000000005</v>
      </c>
      <c r="E388" s="406"/>
      <c r="F388" s="165">
        <f t="shared" si="103"/>
        <v>632.20000000000005</v>
      </c>
      <c r="G388" s="165">
        <f t="shared" si="103"/>
        <v>0</v>
      </c>
      <c r="H388" s="406"/>
      <c r="I388" s="165">
        <f t="shared" si="103"/>
        <v>0</v>
      </c>
      <c r="J388" s="165">
        <f t="shared" si="103"/>
        <v>0</v>
      </c>
      <c r="K388" s="227"/>
    </row>
    <row r="389" spans="1:11" s="1" customFormat="1" ht="53.4" x14ac:dyDescent="0.3">
      <c r="A389" s="54" t="s">
        <v>398</v>
      </c>
      <c r="B389" s="54"/>
      <c r="C389" s="6" t="s">
        <v>397</v>
      </c>
      <c r="D389" s="175">
        <f t="shared" si="103"/>
        <v>632.20000000000005</v>
      </c>
      <c r="E389" s="407"/>
      <c r="F389" s="175">
        <f t="shared" si="103"/>
        <v>632.20000000000005</v>
      </c>
      <c r="G389" s="175">
        <f t="shared" si="103"/>
        <v>0</v>
      </c>
      <c r="H389" s="407"/>
      <c r="I389" s="175">
        <f t="shared" si="103"/>
        <v>0</v>
      </c>
      <c r="J389" s="175">
        <f t="shared" si="103"/>
        <v>0</v>
      </c>
      <c r="K389" s="227"/>
    </row>
    <row r="390" spans="1:11" s="1" customFormat="1" ht="27" x14ac:dyDescent="0.3">
      <c r="A390" s="54"/>
      <c r="B390" s="7" t="s">
        <v>12</v>
      </c>
      <c r="C390" s="6" t="s">
        <v>11</v>
      </c>
      <c r="D390" s="175">
        <v>632.20000000000005</v>
      </c>
      <c r="E390" s="407"/>
      <c r="F390" s="175">
        <v>632.20000000000005</v>
      </c>
      <c r="G390" s="175">
        <v>0</v>
      </c>
      <c r="H390" s="407"/>
      <c r="I390" s="175">
        <v>0</v>
      </c>
      <c r="J390" s="175">
        <v>0</v>
      </c>
      <c r="K390" s="227"/>
    </row>
    <row r="391" spans="1:11" s="1" customFormat="1" ht="27" x14ac:dyDescent="0.3">
      <c r="A391" s="153" t="s">
        <v>291</v>
      </c>
      <c r="B391" s="153"/>
      <c r="C391" s="164" t="s">
        <v>290</v>
      </c>
      <c r="D391" s="165">
        <f t="shared" ref="D391:J392" si="104">D392</f>
        <v>26302.1</v>
      </c>
      <c r="E391" s="406"/>
      <c r="F391" s="165">
        <f t="shared" si="104"/>
        <v>26302.1</v>
      </c>
      <c r="G391" s="165">
        <f t="shared" si="104"/>
        <v>20920.8</v>
      </c>
      <c r="H391" s="406"/>
      <c r="I391" s="165">
        <f t="shared" si="104"/>
        <v>20920.8</v>
      </c>
      <c r="J391" s="165">
        <f t="shared" si="104"/>
        <v>26302.1</v>
      </c>
      <c r="K391" s="227"/>
    </row>
    <row r="392" spans="1:11" s="1" customFormat="1" ht="27" x14ac:dyDescent="0.3">
      <c r="A392" s="7" t="s">
        <v>289</v>
      </c>
      <c r="B392" s="7"/>
      <c r="C392" s="110" t="s">
        <v>288</v>
      </c>
      <c r="D392" s="175">
        <f t="shared" si="104"/>
        <v>26302.1</v>
      </c>
      <c r="E392" s="407"/>
      <c r="F392" s="175">
        <f t="shared" si="104"/>
        <v>26302.1</v>
      </c>
      <c r="G392" s="175">
        <f t="shared" si="104"/>
        <v>20920.8</v>
      </c>
      <c r="H392" s="407"/>
      <c r="I392" s="175">
        <f t="shared" si="104"/>
        <v>20920.8</v>
      </c>
      <c r="J392" s="175">
        <f t="shared" si="104"/>
        <v>26302.1</v>
      </c>
      <c r="K392" s="227"/>
    </row>
    <row r="393" spans="1:11" s="1" customFormat="1" ht="27" x14ac:dyDescent="0.3">
      <c r="A393" s="7"/>
      <c r="B393" s="7" t="s">
        <v>57</v>
      </c>
      <c r="C393" s="6" t="s">
        <v>56</v>
      </c>
      <c r="D393" s="175">
        <f>26188.1+114</f>
        <v>26302.1</v>
      </c>
      <c r="E393" s="407"/>
      <c r="F393" s="175">
        <f>26188.1+114</f>
        <v>26302.1</v>
      </c>
      <c r="G393" s="175">
        <f>20806.8+114</f>
        <v>20920.8</v>
      </c>
      <c r="H393" s="407"/>
      <c r="I393" s="175">
        <f>20806.8+114</f>
        <v>20920.8</v>
      </c>
      <c r="J393" s="175">
        <f>26188.1+114</f>
        <v>26302.1</v>
      </c>
      <c r="K393" s="227"/>
    </row>
    <row r="394" spans="1:11" s="1" customFormat="1" ht="27" x14ac:dyDescent="0.3">
      <c r="A394" s="153" t="s">
        <v>644</v>
      </c>
      <c r="B394" s="160"/>
      <c r="C394" s="164" t="s">
        <v>643</v>
      </c>
      <c r="D394" s="165">
        <f>D399+D395</f>
        <v>6555.3551299999999</v>
      </c>
      <c r="E394" s="406"/>
      <c r="F394" s="165">
        <f>F399+F395</f>
        <v>6555.3551299999999</v>
      </c>
      <c r="G394" s="165">
        <f>G399+G395</f>
        <v>780.71139000000005</v>
      </c>
      <c r="H394" s="406"/>
      <c r="I394" s="165">
        <f>I399+I395</f>
        <v>780.71139000000005</v>
      </c>
      <c r="J394" s="165">
        <f>J399+J395</f>
        <v>0</v>
      </c>
      <c r="K394" s="227"/>
    </row>
    <row r="395" spans="1:11" s="1" customFormat="1" ht="53.4" x14ac:dyDescent="0.3">
      <c r="A395" s="7" t="s">
        <v>645</v>
      </c>
      <c r="B395" s="7"/>
      <c r="C395" s="11" t="s">
        <v>758</v>
      </c>
      <c r="D395" s="175">
        <f t="shared" ref="D395:J395" si="105">D396</f>
        <v>715.17863</v>
      </c>
      <c r="E395" s="407"/>
      <c r="F395" s="175">
        <f t="shared" si="105"/>
        <v>715.17863</v>
      </c>
      <c r="G395" s="175">
        <f t="shared" si="105"/>
        <v>0</v>
      </c>
      <c r="H395" s="407"/>
      <c r="I395" s="175">
        <f t="shared" si="105"/>
        <v>0</v>
      </c>
      <c r="J395" s="175">
        <f t="shared" si="105"/>
        <v>0</v>
      </c>
      <c r="K395" s="227"/>
    </row>
    <row r="396" spans="1:11" s="1" customFormat="1" ht="27" x14ac:dyDescent="0.3">
      <c r="A396" s="7"/>
      <c r="B396" s="7" t="s">
        <v>12</v>
      </c>
      <c r="C396" s="6" t="s">
        <v>11</v>
      </c>
      <c r="D396" s="175">
        <f>D398+D397</f>
        <v>715.17863</v>
      </c>
      <c r="E396" s="407"/>
      <c r="F396" s="175">
        <f>F398+F397</f>
        <v>715.17863</v>
      </c>
      <c r="G396" s="175">
        <f>G397+G398</f>
        <v>0</v>
      </c>
      <c r="H396" s="407"/>
      <c r="I396" s="175">
        <f>I397+I398</f>
        <v>0</v>
      </c>
      <c r="J396" s="175">
        <f>J398</f>
        <v>0</v>
      </c>
      <c r="K396" s="227"/>
    </row>
    <row r="397" spans="1:11" s="1" customFormat="1" ht="14.4" x14ac:dyDescent="0.3">
      <c r="A397" s="7"/>
      <c r="B397" s="7"/>
      <c r="C397" s="6" t="s">
        <v>599</v>
      </c>
      <c r="D397" s="175">
        <v>643.66075999999998</v>
      </c>
      <c r="E397" s="407"/>
      <c r="F397" s="175">
        <v>643.66075999999998</v>
      </c>
      <c r="G397" s="175">
        <v>0</v>
      </c>
      <c r="H397" s="407"/>
      <c r="I397" s="175">
        <v>0</v>
      </c>
      <c r="J397" s="175">
        <v>0</v>
      </c>
      <c r="K397" s="227"/>
    </row>
    <row r="398" spans="1:11" s="1" customFormat="1" ht="14.4" x14ac:dyDescent="0.3">
      <c r="A398" s="83"/>
      <c r="B398" s="7"/>
      <c r="C398" s="6" t="s">
        <v>69</v>
      </c>
      <c r="D398" s="175">
        <v>71.517870000000002</v>
      </c>
      <c r="E398" s="407"/>
      <c r="F398" s="175">
        <v>71.517870000000002</v>
      </c>
      <c r="G398" s="175">
        <v>0</v>
      </c>
      <c r="H398" s="407"/>
      <c r="I398" s="175">
        <v>0</v>
      </c>
      <c r="J398" s="175">
        <v>0</v>
      </c>
      <c r="K398" s="227"/>
    </row>
    <row r="399" spans="1:11" s="1" customFormat="1" ht="79.8" x14ac:dyDescent="0.3">
      <c r="A399" s="7" t="s">
        <v>741</v>
      </c>
      <c r="B399" s="7"/>
      <c r="C399" s="11" t="s">
        <v>759</v>
      </c>
      <c r="D399" s="175">
        <f t="shared" ref="D399:J399" si="106">D400</f>
        <v>5840.1764999999996</v>
      </c>
      <c r="E399" s="407"/>
      <c r="F399" s="175">
        <f t="shared" si="106"/>
        <v>5840.1764999999996</v>
      </c>
      <c r="G399" s="175">
        <f t="shared" si="106"/>
        <v>780.71139000000005</v>
      </c>
      <c r="H399" s="407"/>
      <c r="I399" s="175">
        <f t="shared" si="106"/>
        <v>780.71139000000005</v>
      </c>
      <c r="J399" s="175">
        <f t="shared" si="106"/>
        <v>0</v>
      </c>
      <c r="K399" s="227"/>
    </row>
    <row r="400" spans="1:11" s="1" customFormat="1" ht="27" x14ac:dyDescent="0.3">
      <c r="A400" s="7"/>
      <c r="B400" s="7" t="s">
        <v>12</v>
      </c>
      <c r="C400" s="6" t="s">
        <v>11</v>
      </c>
      <c r="D400" s="175">
        <f>D402+D401</f>
        <v>5840.1764999999996</v>
      </c>
      <c r="E400" s="407"/>
      <c r="F400" s="175">
        <f>F402+F401</f>
        <v>5840.1764999999996</v>
      </c>
      <c r="G400" s="175">
        <f>G401+G402</f>
        <v>780.71139000000005</v>
      </c>
      <c r="H400" s="407"/>
      <c r="I400" s="175">
        <f>I401+I402</f>
        <v>780.71139000000005</v>
      </c>
      <c r="J400" s="175">
        <f>J402</f>
        <v>0</v>
      </c>
      <c r="K400" s="227"/>
    </row>
    <row r="401" spans="1:11" s="1" customFormat="1" ht="14.4" x14ac:dyDescent="0.3">
      <c r="A401" s="7"/>
      <c r="B401" s="7"/>
      <c r="C401" s="6" t="s">
        <v>599</v>
      </c>
      <c r="D401" s="175">
        <v>5256.1588499999998</v>
      </c>
      <c r="E401" s="407"/>
      <c r="F401" s="175">
        <v>5256.1588499999998</v>
      </c>
      <c r="G401" s="175">
        <v>0</v>
      </c>
      <c r="H401" s="407"/>
      <c r="I401" s="175">
        <v>0</v>
      </c>
      <c r="J401" s="175">
        <v>0</v>
      </c>
      <c r="K401" s="227"/>
    </row>
    <row r="402" spans="1:11" s="1" customFormat="1" ht="14.4" x14ac:dyDescent="0.3">
      <c r="A402" s="83"/>
      <c r="B402" s="7"/>
      <c r="C402" s="6" t="s">
        <v>69</v>
      </c>
      <c r="D402" s="175">
        <v>584.01765</v>
      </c>
      <c r="E402" s="407"/>
      <c r="F402" s="175">
        <v>584.01765</v>
      </c>
      <c r="G402" s="175">
        <v>780.71139000000005</v>
      </c>
      <c r="H402" s="407"/>
      <c r="I402" s="175">
        <v>780.71139000000005</v>
      </c>
      <c r="J402" s="175">
        <v>0</v>
      </c>
      <c r="K402" s="227"/>
    </row>
    <row r="403" spans="1:11" s="1" customFormat="1" ht="40.200000000000003" x14ac:dyDescent="0.3">
      <c r="A403" s="30" t="s">
        <v>323</v>
      </c>
      <c r="B403" s="30"/>
      <c r="C403" s="79" t="s">
        <v>322</v>
      </c>
      <c r="D403" s="249">
        <f>D404+D422</f>
        <v>24032.843869999997</v>
      </c>
      <c r="E403" s="249">
        <f>E404+E422</f>
        <v>996</v>
      </c>
      <c r="F403" s="249">
        <f>F404+F422</f>
        <v>25028.843870000001</v>
      </c>
      <c r="G403" s="249">
        <f>G404+G422</f>
        <v>7991.4586899999995</v>
      </c>
      <c r="H403" s="405"/>
      <c r="I403" s="249">
        <f>I404+I422</f>
        <v>7991.4586899999995</v>
      </c>
      <c r="J403" s="249">
        <f>J404</f>
        <v>23672.2</v>
      </c>
      <c r="K403" s="227"/>
    </row>
    <row r="404" spans="1:11" s="1" customFormat="1" ht="53.4" x14ac:dyDescent="0.3">
      <c r="A404" s="153" t="s">
        <v>321</v>
      </c>
      <c r="B404" s="153"/>
      <c r="C404" s="164" t="s">
        <v>320</v>
      </c>
      <c r="D404" s="165">
        <f>D407++D410+D405+D412+D414+D416+D420+D418</f>
        <v>18249.399999999998</v>
      </c>
      <c r="E404" s="165">
        <f>E407++E410+E405+E412+E414+E416+E420+E418</f>
        <v>996</v>
      </c>
      <c r="F404" s="165">
        <f>F407++F410+F405+F412+F414+F416+F420+F418</f>
        <v>19245.400000000001</v>
      </c>
      <c r="G404" s="165">
        <f>G407++G410++G405+G412+G416+G420+G418</f>
        <v>5500</v>
      </c>
      <c r="H404" s="406"/>
      <c r="I404" s="165">
        <f>I407++I410++I405+I412+I416+I420+I418</f>
        <v>5500</v>
      </c>
      <c r="J404" s="165">
        <f>J407++J410++J405+J412+J416+J420+J418</f>
        <v>23672.2</v>
      </c>
      <c r="K404" s="227"/>
    </row>
    <row r="405" spans="1:11" s="1" customFormat="1" ht="27" x14ac:dyDescent="0.3">
      <c r="A405" s="54" t="s">
        <v>319</v>
      </c>
      <c r="B405" s="83"/>
      <c r="C405" s="6" t="s">
        <v>318</v>
      </c>
      <c r="D405" s="175">
        <f t="shared" ref="D405:J405" si="107">D406</f>
        <v>1088.9000000000001</v>
      </c>
      <c r="E405" s="407"/>
      <c r="F405" s="175">
        <f t="shared" si="107"/>
        <v>1088.9000000000001</v>
      </c>
      <c r="G405" s="175">
        <f t="shared" si="107"/>
        <v>0</v>
      </c>
      <c r="H405" s="407"/>
      <c r="I405" s="175">
        <f t="shared" si="107"/>
        <v>0</v>
      </c>
      <c r="J405" s="175">
        <f t="shared" si="107"/>
        <v>0</v>
      </c>
      <c r="K405" s="227"/>
    </row>
    <row r="406" spans="1:11" s="1" customFormat="1" ht="27" x14ac:dyDescent="0.3">
      <c r="A406" s="54"/>
      <c r="B406" s="7" t="s">
        <v>12</v>
      </c>
      <c r="C406" s="6" t="s">
        <v>11</v>
      </c>
      <c r="D406" s="175">
        <v>1088.9000000000001</v>
      </c>
      <c r="E406" s="407"/>
      <c r="F406" s="175">
        <v>1088.9000000000001</v>
      </c>
      <c r="G406" s="175">
        <v>0</v>
      </c>
      <c r="H406" s="407"/>
      <c r="I406" s="175">
        <v>0</v>
      </c>
      <c r="J406" s="175">
        <v>0</v>
      </c>
      <c r="K406" s="227"/>
    </row>
    <row r="407" spans="1:11" s="1" customFormat="1" ht="27" x14ac:dyDescent="0.3">
      <c r="A407" s="7" t="s">
        <v>317</v>
      </c>
      <c r="B407" s="7"/>
      <c r="C407" s="11" t="s">
        <v>316</v>
      </c>
      <c r="D407" s="175">
        <f t="shared" ref="D407:J407" si="108">D408</f>
        <v>2765</v>
      </c>
      <c r="E407" s="175">
        <f>E408+E409</f>
        <v>585.4</v>
      </c>
      <c r="F407" s="175">
        <f>F408+F409</f>
        <v>3350.4</v>
      </c>
      <c r="G407" s="175">
        <f t="shared" si="108"/>
        <v>0</v>
      </c>
      <c r="H407" s="407"/>
      <c r="I407" s="175">
        <f t="shared" si="108"/>
        <v>0</v>
      </c>
      <c r="J407" s="175">
        <f t="shared" si="108"/>
        <v>1806.7</v>
      </c>
      <c r="K407" s="227"/>
    </row>
    <row r="408" spans="1:11" s="1" customFormat="1" ht="27" x14ac:dyDescent="0.3">
      <c r="A408" s="60"/>
      <c r="B408" s="7" t="s">
        <v>12</v>
      </c>
      <c r="C408" s="6" t="s">
        <v>11</v>
      </c>
      <c r="D408" s="175">
        <v>2765</v>
      </c>
      <c r="E408" s="407"/>
      <c r="F408" s="175">
        <v>2765</v>
      </c>
      <c r="G408" s="175">
        <v>0</v>
      </c>
      <c r="H408" s="407"/>
      <c r="I408" s="175">
        <v>0</v>
      </c>
      <c r="J408" s="175">
        <v>1806.7</v>
      </c>
      <c r="K408" s="227"/>
    </row>
    <row r="409" spans="1:11" s="1" customFormat="1" ht="27" x14ac:dyDescent="0.3">
      <c r="A409" s="60"/>
      <c r="B409" s="7" t="s">
        <v>57</v>
      </c>
      <c r="C409" s="6" t="s">
        <v>56</v>
      </c>
      <c r="D409" s="175">
        <v>0</v>
      </c>
      <c r="E409" s="472">
        <v>585.4</v>
      </c>
      <c r="F409" s="175">
        <v>585.4</v>
      </c>
      <c r="G409" s="175">
        <v>0</v>
      </c>
      <c r="H409" s="407"/>
      <c r="I409" s="175">
        <v>0</v>
      </c>
      <c r="J409" s="175">
        <v>0</v>
      </c>
      <c r="K409" s="227"/>
    </row>
    <row r="410" spans="1:11" s="1" customFormat="1" ht="66.599999999999994" x14ac:dyDescent="0.3">
      <c r="A410" s="7" t="s">
        <v>315</v>
      </c>
      <c r="B410" s="7"/>
      <c r="C410" s="6" t="s">
        <v>567</v>
      </c>
      <c r="D410" s="175">
        <f t="shared" ref="D410:J410" si="109">D411</f>
        <v>392.5</v>
      </c>
      <c r="E410" s="407"/>
      <c r="F410" s="175">
        <f t="shared" si="109"/>
        <v>392.5</v>
      </c>
      <c r="G410" s="175">
        <f t="shared" si="109"/>
        <v>0</v>
      </c>
      <c r="H410" s="407"/>
      <c r="I410" s="175">
        <f t="shared" si="109"/>
        <v>0</v>
      </c>
      <c r="J410" s="175">
        <f t="shared" si="109"/>
        <v>0</v>
      </c>
      <c r="K410" s="227"/>
    </row>
    <row r="411" spans="1:11" s="1" customFormat="1" ht="27" x14ac:dyDescent="0.3">
      <c r="A411" s="7"/>
      <c r="B411" s="7" t="s">
        <v>12</v>
      </c>
      <c r="C411" s="6" t="s">
        <v>11</v>
      </c>
      <c r="D411" s="175">
        <v>392.5</v>
      </c>
      <c r="E411" s="407"/>
      <c r="F411" s="175">
        <v>392.5</v>
      </c>
      <c r="G411" s="175">
        <v>0</v>
      </c>
      <c r="H411" s="407"/>
      <c r="I411" s="175">
        <v>0</v>
      </c>
      <c r="J411" s="175">
        <v>0</v>
      </c>
      <c r="K411" s="227"/>
    </row>
    <row r="412" spans="1:11" s="1" customFormat="1" ht="66.599999999999994" x14ac:dyDescent="0.3">
      <c r="A412" s="73" t="s">
        <v>314</v>
      </c>
      <c r="B412" s="73"/>
      <c r="C412" s="6" t="s">
        <v>639</v>
      </c>
      <c r="D412" s="175">
        <f>D413</f>
        <v>211.4</v>
      </c>
      <c r="E412" s="407"/>
      <c r="F412" s="175">
        <f>F413</f>
        <v>211.4</v>
      </c>
      <c r="G412" s="175">
        <v>0</v>
      </c>
      <c r="H412" s="407"/>
      <c r="I412" s="175">
        <v>0</v>
      </c>
      <c r="J412" s="175">
        <v>0</v>
      </c>
      <c r="K412" s="227"/>
    </row>
    <row r="413" spans="1:11" s="1" customFormat="1" ht="27" x14ac:dyDescent="0.3">
      <c r="A413" s="73"/>
      <c r="B413" s="73" t="s">
        <v>12</v>
      </c>
      <c r="C413" s="11" t="s">
        <v>11</v>
      </c>
      <c r="D413" s="175">
        <v>211.4</v>
      </c>
      <c r="E413" s="407"/>
      <c r="F413" s="175">
        <v>211.4</v>
      </c>
      <c r="G413" s="175">
        <v>0</v>
      </c>
      <c r="H413" s="407"/>
      <c r="I413" s="175">
        <v>0</v>
      </c>
      <c r="J413" s="175">
        <v>0</v>
      </c>
      <c r="K413" s="227"/>
    </row>
    <row r="414" spans="1:11" s="1" customFormat="1" ht="27" x14ac:dyDescent="0.3">
      <c r="A414" s="7" t="s">
        <v>931</v>
      </c>
      <c r="B414" s="94"/>
      <c r="C414" s="97" t="s">
        <v>932</v>
      </c>
      <c r="D414" s="175">
        <f t="shared" ref="D414:J414" si="110">D415</f>
        <v>0</v>
      </c>
      <c r="E414" s="175">
        <f t="shared" si="110"/>
        <v>410.6</v>
      </c>
      <c r="F414" s="175">
        <f t="shared" si="110"/>
        <v>410.6</v>
      </c>
      <c r="G414" s="175">
        <f t="shared" si="110"/>
        <v>0</v>
      </c>
      <c r="H414" s="407"/>
      <c r="I414" s="175">
        <f t="shared" si="110"/>
        <v>0</v>
      </c>
      <c r="J414" s="175">
        <f t="shared" si="110"/>
        <v>0</v>
      </c>
      <c r="K414" s="227"/>
    </row>
    <row r="415" spans="1:11" s="1" customFormat="1" ht="27" x14ac:dyDescent="0.3">
      <c r="A415" s="7"/>
      <c r="B415" s="7" t="s">
        <v>57</v>
      </c>
      <c r="C415" s="6" t="s">
        <v>56</v>
      </c>
      <c r="D415" s="175">
        <v>0</v>
      </c>
      <c r="E415" s="407">
        <v>410.6</v>
      </c>
      <c r="F415" s="175">
        <v>410.6</v>
      </c>
      <c r="G415" s="175">
        <v>0</v>
      </c>
      <c r="H415" s="407"/>
      <c r="I415" s="175">
        <v>0</v>
      </c>
      <c r="J415" s="175">
        <v>0</v>
      </c>
      <c r="K415" s="227"/>
    </row>
    <row r="416" spans="1:11" s="1" customFormat="1" ht="27" x14ac:dyDescent="0.3">
      <c r="A416" s="7" t="s">
        <v>609</v>
      </c>
      <c r="B416" s="54"/>
      <c r="C416" s="6" t="s">
        <v>313</v>
      </c>
      <c r="D416" s="175">
        <f t="shared" ref="D416:J416" si="111">D417</f>
        <v>794.2</v>
      </c>
      <c r="E416" s="407"/>
      <c r="F416" s="175">
        <f t="shared" si="111"/>
        <v>794.2</v>
      </c>
      <c r="G416" s="175">
        <f t="shared" si="111"/>
        <v>0</v>
      </c>
      <c r="H416" s="407"/>
      <c r="I416" s="175">
        <f t="shared" si="111"/>
        <v>0</v>
      </c>
      <c r="J416" s="175">
        <f t="shared" si="111"/>
        <v>0</v>
      </c>
      <c r="K416" s="227"/>
    </row>
    <row r="417" spans="1:12" s="1" customFormat="1" ht="27" x14ac:dyDescent="0.3">
      <c r="A417" s="7"/>
      <c r="B417" s="7" t="s">
        <v>12</v>
      </c>
      <c r="C417" s="6" t="s">
        <v>11</v>
      </c>
      <c r="D417" s="175">
        <v>794.2</v>
      </c>
      <c r="E417" s="407"/>
      <c r="F417" s="175">
        <v>794.2</v>
      </c>
      <c r="G417" s="175">
        <v>0</v>
      </c>
      <c r="H417" s="407"/>
      <c r="I417" s="175">
        <v>0</v>
      </c>
      <c r="J417" s="175">
        <v>0</v>
      </c>
      <c r="K417" s="227"/>
    </row>
    <row r="418" spans="1:12" s="1" customFormat="1" ht="53.4" x14ac:dyDescent="0.3">
      <c r="A418" s="73" t="s">
        <v>742</v>
      </c>
      <c r="B418" s="7"/>
      <c r="C418" s="6" t="s">
        <v>670</v>
      </c>
      <c r="D418" s="175">
        <f>D419</f>
        <v>12997.4</v>
      </c>
      <c r="E418" s="407"/>
      <c r="F418" s="175">
        <f>F419</f>
        <v>12997.4</v>
      </c>
      <c r="G418" s="175">
        <f>G419</f>
        <v>0</v>
      </c>
      <c r="H418" s="407"/>
      <c r="I418" s="175">
        <f>I419</f>
        <v>0</v>
      </c>
      <c r="J418" s="175">
        <f>J419</f>
        <v>18865.5</v>
      </c>
      <c r="K418" s="227"/>
    </row>
    <row r="419" spans="1:12" s="1" customFormat="1" ht="40.200000000000003" x14ac:dyDescent="0.3">
      <c r="A419" s="7"/>
      <c r="B419" s="7" t="s">
        <v>248</v>
      </c>
      <c r="C419" s="6" t="s">
        <v>247</v>
      </c>
      <c r="D419" s="175">
        <v>12997.4</v>
      </c>
      <c r="E419" s="407"/>
      <c r="F419" s="175">
        <v>12997.4</v>
      </c>
      <c r="G419" s="175">
        <v>0</v>
      </c>
      <c r="H419" s="407"/>
      <c r="I419" s="175">
        <v>0</v>
      </c>
      <c r="J419" s="175">
        <v>18865.5</v>
      </c>
      <c r="K419" s="227"/>
      <c r="L419" s="227"/>
    </row>
    <row r="420" spans="1:12" s="1" customFormat="1" ht="27" x14ac:dyDescent="0.3">
      <c r="A420" s="73" t="s">
        <v>743</v>
      </c>
      <c r="B420" s="94"/>
      <c r="C420" s="97" t="s">
        <v>312</v>
      </c>
      <c r="D420" s="175">
        <f t="shared" ref="D420:J420" si="112">D421</f>
        <v>0</v>
      </c>
      <c r="E420" s="407"/>
      <c r="F420" s="175">
        <f t="shared" si="112"/>
        <v>0</v>
      </c>
      <c r="G420" s="175">
        <f t="shared" si="112"/>
        <v>5500</v>
      </c>
      <c r="H420" s="407"/>
      <c r="I420" s="175">
        <f t="shared" si="112"/>
        <v>5500</v>
      </c>
      <c r="J420" s="175">
        <f t="shared" si="112"/>
        <v>3000</v>
      </c>
      <c r="K420" s="227"/>
    </row>
    <row r="421" spans="1:12" s="1" customFormat="1" ht="27" x14ac:dyDescent="0.3">
      <c r="A421" s="7"/>
      <c r="B421" s="7" t="s">
        <v>12</v>
      </c>
      <c r="C421" s="6" t="s">
        <v>11</v>
      </c>
      <c r="D421" s="175">
        <v>0</v>
      </c>
      <c r="E421" s="407"/>
      <c r="F421" s="175">
        <v>0</v>
      </c>
      <c r="G421" s="175">
        <v>5500</v>
      </c>
      <c r="H421" s="407"/>
      <c r="I421" s="175">
        <v>5500</v>
      </c>
      <c r="J421" s="175">
        <v>3000</v>
      </c>
      <c r="K421" s="227"/>
    </row>
    <row r="422" spans="1:12" s="1" customFormat="1" ht="27" x14ac:dyDescent="0.3">
      <c r="A422" s="205" t="s">
        <v>661</v>
      </c>
      <c r="B422" s="205"/>
      <c r="C422" s="214" t="s">
        <v>643</v>
      </c>
      <c r="D422" s="165">
        <f t="shared" ref="D422:J423" si="113">D423</f>
        <v>5783.4438700000001</v>
      </c>
      <c r="E422" s="406"/>
      <c r="F422" s="165">
        <f t="shared" si="113"/>
        <v>5783.4438700000001</v>
      </c>
      <c r="G422" s="165">
        <f t="shared" si="113"/>
        <v>2491.4586899999999</v>
      </c>
      <c r="H422" s="406"/>
      <c r="I422" s="165">
        <f t="shared" si="113"/>
        <v>2491.4586899999999</v>
      </c>
      <c r="J422" s="165">
        <f t="shared" si="113"/>
        <v>0</v>
      </c>
      <c r="K422" s="227"/>
    </row>
    <row r="423" spans="1:12" s="1" customFormat="1" ht="79.2" x14ac:dyDescent="0.3">
      <c r="A423" s="199" t="s">
        <v>662</v>
      </c>
      <c r="B423" s="199"/>
      <c r="C423" s="275" t="s">
        <v>760</v>
      </c>
      <c r="D423" s="175">
        <f t="shared" si="113"/>
        <v>5783.4438700000001</v>
      </c>
      <c r="E423" s="407"/>
      <c r="F423" s="175">
        <f t="shared" si="113"/>
        <v>5783.4438700000001</v>
      </c>
      <c r="G423" s="175">
        <f t="shared" si="113"/>
        <v>2491.4586899999999</v>
      </c>
      <c r="H423" s="407"/>
      <c r="I423" s="175">
        <f t="shared" si="113"/>
        <v>2491.4586899999999</v>
      </c>
      <c r="J423" s="175">
        <f t="shared" si="113"/>
        <v>0</v>
      </c>
      <c r="K423" s="227"/>
    </row>
    <row r="424" spans="1:12" s="1" customFormat="1" ht="27" x14ac:dyDescent="0.3">
      <c r="A424" s="202"/>
      <c r="B424" s="199" t="s">
        <v>12</v>
      </c>
      <c r="C424" s="201" t="s">
        <v>11</v>
      </c>
      <c r="D424" s="211">
        <f>D425+D426</f>
        <v>5783.4438700000001</v>
      </c>
      <c r="E424" s="407"/>
      <c r="F424" s="211">
        <f>F425+F426</f>
        <v>5783.4438700000001</v>
      </c>
      <c r="G424" s="211">
        <f>G426</f>
        <v>2491.4586899999999</v>
      </c>
      <c r="H424" s="407"/>
      <c r="I424" s="211">
        <f>I426</f>
        <v>2491.4586899999999</v>
      </c>
      <c r="J424" s="211">
        <v>0</v>
      </c>
      <c r="K424" s="227"/>
    </row>
    <row r="425" spans="1:12" s="1" customFormat="1" ht="14.4" x14ac:dyDescent="0.3">
      <c r="A425" s="202"/>
      <c r="B425" s="199"/>
      <c r="C425" s="201" t="s">
        <v>149</v>
      </c>
      <c r="D425" s="175">
        <v>4337.5829000000003</v>
      </c>
      <c r="E425" s="407"/>
      <c r="F425" s="175">
        <v>4337.5829000000003</v>
      </c>
      <c r="G425" s="211">
        <v>0</v>
      </c>
      <c r="H425" s="407"/>
      <c r="I425" s="211">
        <v>0</v>
      </c>
      <c r="J425" s="211">
        <v>0</v>
      </c>
      <c r="K425" s="227"/>
    </row>
    <row r="426" spans="1:12" s="1" customFormat="1" ht="14.4" x14ac:dyDescent="0.3">
      <c r="A426" s="202"/>
      <c r="B426" s="199"/>
      <c r="C426" s="219" t="s">
        <v>148</v>
      </c>
      <c r="D426" s="175">
        <v>1445.86097</v>
      </c>
      <c r="E426" s="407"/>
      <c r="F426" s="175">
        <v>1445.86097</v>
      </c>
      <c r="G426" s="211">
        <v>2491.4586899999999</v>
      </c>
      <c r="H426" s="407"/>
      <c r="I426" s="211">
        <v>2491.4586899999999</v>
      </c>
      <c r="J426" s="211">
        <v>0</v>
      </c>
      <c r="K426" s="227"/>
    </row>
    <row r="427" spans="1:12" s="1" customFormat="1" ht="40.200000000000003" x14ac:dyDescent="0.3">
      <c r="A427" s="170" t="s">
        <v>387</v>
      </c>
      <c r="B427" s="170"/>
      <c r="C427" s="173" t="s">
        <v>386</v>
      </c>
      <c r="D427" s="255">
        <f t="shared" ref="D427:I427" si="114">D428+D465+D469</f>
        <v>355077.72899999999</v>
      </c>
      <c r="E427" s="255">
        <f t="shared" si="114"/>
        <v>1642.4041500000003</v>
      </c>
      <c r="F427" s="255">
        <f t="shared" si="114"/>
        <v>356720.13315000001</v>
      </c>
      <c r="G427" s="255">
        <f t="shared" si="114"/>
        <v>66432.434649999996</v>
      </c>
      <c r="H427" s="255">
        <f t="shared" si="114"/>
        <v>306.63055000000003</v>
      </c>
      <c r="I427" s="255">
        <f t="shared" si="114"/>
        <v>66739.065199999997</v>
      </c>
      <c r="J427" s="255">
        <f>J428+J465</f>
        <v>68329.8</v>
      </c>
      <c r="K427" s="227"/>
    </row>
    <row r="428" spans="1:12" s="1" customFormat="1" ht="40.200000000000003" x14ac:dyDescent="0.3">
      <c r="A428" s="30" t="s">
        <v>385</v>
      </c>
      <c r="B428" s="30"/>
      <c r="C428" s="51" t="s">
        <v>384</v>
      </c>
      <c r="D428" s="249">
        <f t="shared" ref="D428:I428" si="115">D429+D432+D439+D450+D459+D453</f>
        <v>344062.52899999998</v>
      </c>
      <c r="E428" s="249">
        <f t="shared" si="115"/>
        <v>974.20415000000014</v>
      </c>
      <c r="F428" s="249">
        <f t="shared" si="115"/>
        <v>345036.73314999999</v>
      </c>
      <c r="G428" s="249">
        <f t="shared" si="115"/>
        <v>59354.234649999999</v>
      </c>
      <c r="H428" s="249">
        <f>H429+H432+H439+H450+H459+H453</f>
        <v>306.63055000000003</v>
      </c>
      <c r="I428" s="249">
        <f t="shared" si="115"/>
        <v>59660.8652</v>
      </c>
      <c r="J428" s="249">
        <f>J429+J432+J439+J450+J459+J453</f>
        <v>61251.6</v>
      </c>
      <c r="K428" s="227"/>
    </row>
    <row r="429" spans="1:12" s="1" customFormat="1" ht="53.4" x14ac:dyDescent="0.3">
      <c r="A429" s="153" t="s">
        <v>383</v>
      </c>
      <c r="B429" s="153"/>
      <c r="C429" s="154" t="s">
        <v>665</v>
      </c>
      <c r="D429" s="165">
        <f>D430</f>
        <v>1127.5999999999999</v>
      </c>
      <c r="E429" s="406"/>
      <c r="F429" s="165">
        <f>F430</f>
        <v>1127.5999999999999</v>
      </c>
      <c r="G429" s="165">
        <f>G430</f>
        <v>0</v>
      </c>
      <c r="H429" s="406"/>
      <c r="I429" s="165">
        <f>I430</f>
        <v>0</v>
      </c>
      <c r="J429" s="165">
        <f>J430</f>
        <v>574.29999999999995</v>
      </c>
      <c r="K429" s="227"/>
    </row>
    <row r="430" spans="1:12" s="1" customFormat="1" ht="40.200000000000003" x14ac:dyDescent="0.3">
      <c r="A430" s="7" t="s">
        <v>631</v>
      </c>
      <c r="B430" s="60"/>
      <c r="C430" s="6" t="s">
        <v>382</v>
      </c>
      <c r="D430" s="175">
        <f t="shared" ref="D430:J430" si="116">D431</f>
        <v>1127.5999999999999</v>
      </c>
      <c r="E430" s="407"/>
      <c r="F430" s="175">
        <f t="shared" si="116"/>
        <v>1127.5999999999999</v>
      </c>
      <c r="G430" s="175">
        <f t="shared" si="116"/>
        <v>0</v>
      </c>
      <c r="H430" s="407"/>
      <c r="I430" s="175">
        <f t="shared" si="116"/>
        <v>0</v>
      </c>
      <c r="J430" s="175">
        <f t="shared" si="116"/>
        <v>574.29999999999995</v>
      </c>
      <c r="K430" s="227"/>
    </row>
    <row r="431" spans="1:12" s="1" customFormat="1" ht="27" x14ac:dyDescent="0.3">
      <c r="A431" s="7"/>
      <c r="B431" s="7" t="s">
        <v>12</v>
      </c>
      <c r="C431" s="6" t="s">
        <v>11</v>
      </c>
      <c r="D431" s="175">
        <f>574.3+553.3</f>
        <v>1127.5999999999999</v>
      </c>
      <c r="E431" s="407"/>
      <c r="F431" s="175">
        <f>574.3+553.3</f>
        <v>1127.5999999999999</v>
      </c>
      <c r="G431" s="175">
        <v>0</v>
      </c>
      <c r="H431" s="407"/>
      <c r="I431" s="175">
        <v>0</v>
      </c>
      <c r="J431" s="175">
        <v>574.29999999999995</v>
      </c>
      <c r="K431" s="227"/>
    </row>
    <row r="432" spans="1:12" s="1" customFormat="1" ht="27" x14ac:dyDescent="0.3">
      <c r="A432" s="153" t="s">
        <v>381</v>
      </c>
      <c r="B432" s="153"/>
      <c r="C432" s="154" t="s">
        <v>380</v>
      </c>
      <c r="D432" s="165">
        <f>D433+D435+D437</f>
        <v>4808</v>
      </c>
      <c r="E432" s="406"/>
      <c r="F432" s="165">
        <f>F433+F435+F437</f>
        <v>4808</v>
      </c>
      <c r="G432" s="165">
        <f>G433</f>
        <v>0</v>
      </c>
      <c r="H432" s="406"/>
      <c r="I432" s="165">
        <f>I433</f>
        <v>0</v>
      </c>
      <c r="J432" s="165">
        <v>0</v>
      </c>
      <c r="K432" s="227"/>
    </row>
    <row r="433" spans="1:11" s="1" customFormat="1" ht="40.200000000000003" x14ac:dyDescent="0.3">
      <c r="A433" s="7" t="s">
        <v>666</v>
      </c>
      <c r="B433" s="60"/>
      <c r="C433" s="6" t="s">
        <v>667</v>
      </c>
      <c r="D433" s="175">
        <f>D434</f>
        <v>4608</v>
      </c>
      <c r="E433" s="407"/>
      <c r="F433" s="175">
        <f>F434</f>
        <v>4608</v>
      </c>
      <c r="G433" s="175">
        <f>G434</f>
        <v>0</v>
      </c>
      <c r="H433" s="407"/>
      <c r="I433" s="175">
        <f>I434</f>
        <v>0</v>
      </c>
      <c r="J433" s="175">
        <v>0</v>
      </c>
      <c r="K433" s="227"/>
    </row>
    <row r="434" spans="1:11" s="1" customFormat="1" ht="27" x14ac:dyDescent="0.3">
      <c r="A434" s="7"/>
      <c r="B434" s="7" t="s">
        <v>12</v>
      </c>
      <c r="C434" s="6" t="s">
        <v>11</v>
      </c>
      <c r="D434" s="175">
        <v>4608</v>
      </c>
      <c r="E434" s="407"/>
      <c r="F434" s="175">
        <v>4608</v>
      </c>
      <c r="G434" s="175">
        <v>0</v>
      </c>
      <c r="H434" s="407"/>
      <c r="I434" s="175">
        <v>0</v>
      </c>
      <c r="J434" s="175">
        <v>0</v>
      </c>
      <c r="K434" s="227"/>
    </row>
    <row r="435" spans="1:11" s="1" customFormat="1" ht="79.8" x14ac:dyDescent="0.3">
      <c r="A435" s="7" t="s">
        <v>880</v>
      </c>
      <c r="B435" s="60"/>
      <c r="C435" s="362" t="s">
        <v>881</v>
      </c>
      <c r="D435" s="363">
        <f>D436</f>
        <v>0</v>
      </c>
      <c r="E435" s="407"/>
      <c r="F435" s="363">
        <f>F436</f>
        <v>0</v>
      </c>
      <c r="G435" s="363">
        <v>0</v>
      </c>
      <c r="H435" s="407"/>
      <c r="I435" s="363">
        <v>0</v>
      </c>
      <c r="J435" s="363">
        <v>0</v>
      </c>
      <c r="K435" s="227"/>
    </row>
    <row r="436" spans="1:11" s="1" customFormat="1" ht="27" x14ac:dyDescent="0.3">
      <c r="A436" s="7"/>
      <c r="B436" s="7" t="s">
        <v>12</v>
      </c>
      <c r="C436" s="6" t="s">
        <v>11</v>
      </c>
      <c r="D436" s="363">
        <v>0</v>
      </c>
      <c r="E436" s="407"/>
      <c r="F436" s="363">
        <v>0</v>
      </c>
      <c r="G436" s="363">
        <v>0</v>
      </c>
      <c r="H436" s="407"/>
      <c r="I436" s="363">
        <v>0</v>
      </c>
      <c r="J436" s="363">
        <v>0</v>
      </c>
      <c r="K436" s="227"/>
    </row>
    <row r="437" spans="1:11" s="1" customFormat="1" ht="27" x14ac:dyDescent="0.3">
      <c r="A437" s="73" t="s">
        <v>893</v>
      </c>
      <c r="B437" s="80"/>
      <c r="C437" s="456" t="s">
        <v>892</v>
      </c>
      <c r="D437" s="363">
        <f>D438</f>
        <v>200</v>
      </c>
      <c r="E437" s="407"/>
      <c r="F437" s="363">
        <f>F438</f>
        <v>200</v>
      </c>
      <c r="G437" s="363">
        <v>0</v>
      </c>
      <c r="H437" s="407"/>
      <c r="I437" s="363">
        <v>0</v>
      </c>
      <c r="J437" s="363">
        <v>0</v>
      </c>
      <c r="K437" s="227"/>
    </row>
    <row r="438" spans="1:11" s="1" customFormat="1" ht="27" x14ac:dyDescent="0.3">
      <c r="A438" s="7"/>
      <c r="B438" s="7" t="s">
        <v>12</v>
      </c>
      <c r="C438" s="6" t="s">
        <v>11</v>
      </c>
      <c r="D438" s="363">
        <v>200</v>
      </c>
      <c r="E438" s="407"/>
      <c r="F438" s="363">
        <v>200</v>
      </c>
      <c r="G438" s="363">
        <v>0</v>
      </c>
      <c r="H438" s="407"/>
      <c r="I438" s="363">
        <v>0</v>
      </c>
      <c r="J438" s="363">
        <v>0</v>
      </c>
      <c r="K438" s="227"/>
    </row>
    <row r="439" spans="1:11" s="1" customFormat="1" ht="27" x14ac:dyDescent="0.3">
      <c r="A439" s="153" t="s">
        <v>379</v>
      </c>
      <c r="B439" s="153"/>
      <c r="C439" s="154" t="s">
        <v>378</v>
      </c>
      <c r="D439" s="165">
        <f>D440+D446+D444+D448</f>
        <v>41571.422279999999</v>
      </c>
      <c r="E439" s="165">
        <f>E440+E446+E444+E448</f>
        <v>1413.0841500000001</v>
      </c>
      <c r="F439" s="165">
        <f>F440+F446+F444+F448</f>
        <v>42984.506430000001</v>
      </c>
      <c r="G439" s="165">
        <f>G440+G446+G444</f>
        <v>26838.600000000002</v>
      </c>
      <c r="H439" s="406"/>
      <c r="I439" s="165">
        <f>I440+I446+I444</f>
        <v>26838.600000000002</v>
      </c>
      <c r="J439" s="165">
        <f>J440</f>
        <v>26838.600000000002</v>
      </c>
      <c r="K439" s="227"/>
    </row>
    <row r="440" spans="1:11" s="1" customFormat="1" ht="27" x14ac:dyDescent="0.3">
      <c r="A440" s="7" t="s">
        <v>626</v>
      </c>
      <c r="B440" s="60"/>
      <c r="C440" s="6" t="s">
        <v>377</v>
      </c>
      <c r="D440" s="175">
        <f>D441</f>
        <v>27092.222280000002</v>
      </c>
      <c r="E440" s="407"/>
      <c r="F440" s="175">
        <f>F441</f>
        <v>27092.222280000002</v>
      </c>
      <c r="G440" s="175">
        <f>G441</f>
        <v>26838.600000000002</v>
      </c>
      <c r="H440" s="407"/>
      <c r="I440" s="175">
        <f>I441</f>
        <v>26838.600000000002</v>
      </c>
      <c r="J440" s="175">
        <f>J441</f>
        <v>26838.600000000002</v>
      </c>
      <c r="K440" s="227"/>
    </row>
    <row r="441" spans="1:11" s="1" customFormat="1" ht="27" x14ac:dyDescent="0.3">
      <c r="A441" s="7"/>
      <c r="B441" s="7" t="s">
        <v>12</v>
      </c>
      <c r="C441" s="6" t="s">
        <v>11</v>
      </c>
      <c r="D441" s="175">
        <f>D442+D443</f>
        <v>27092.222280000002</v>
      </c>
      <c r="E441" s="407"/>
      <c r="F441" s="175">
        <f>F442+F443</f>
        <v>27092.222280000002</v>
      </c>
      <c r="G441" s="175">
        <f>G442+G443</f>
        <v>26838.600000000002</v>
      </c>
      <c r="H441" s="407"/>
      <c r="I441" s="175">
        <f>I442+I443</f>
        <v>26838.600000000002</v>
      </c>
      <c r="J441" s="175">
        <f>J442+J443</f>
        <v>26838.600000000002</v>
      </c>
      <c r="K441" s="227"/>
    </row>
    <row r="442" spans="1:11" s="1" customFormat="1" ht="14.4" x14ac:dyDescent="0.3">
      <c r="A442" s="7"/>
      <c r="B442" s="7"/>
      <c r="C442" s="6" t="s">
        <v>211</v>
      </c>
      <c r="D442" s="175">
        <v>24383</v>
      </c>
      <c r="E442" s="407"/>
      <c r="F442" s="175">
        <v>24383</v>
      </c>
      <c r="G442" s="175">
        <v>24154.7</v>
      </c>
      <c r="H442" s="407"/>
      <c r="I442" s="175">
        <v>24154.7</v>
      </c>
      <c r="J442" s="175">
        <v>24154.7</v>
      </c>
      <c r="K442" s="227"/>
    </row>
    <row r="443" spans="1:11" s="1" customFormat="1" ht="14.4" x14ac:dyDescent="0.3">
      <c r="A443" s="7"/>
      <c r="B443" s="7"/>
      <c r="C443" s="6" t="s">
        <v>97</v>
      </c>
      <c r="D443" s="175">
        <v>2709.22228</v>
      </c>
      <c r="E443" s="407"/>
      <c r="F443" s="175">
        <v>2709.22228</v>
      </c>
      <c r="G443" s="175">
        <v>2683.9</v>
      </c>
      <c r="H443" s="407"/>
      <c r="I443" s="175">
        <v>2683.9</v>
      </c>
      <c r="J443" s="175">
        <v>2683.9</v>
      </c>
      <c r="K443" s="227"/>
    </row>
    <row r="444" spans="1:11" s="1" customFormat="1" ht="14.4" x14ac:dyDescent="0.3">
      <c r="A444" s="7" t="s">
        <v>629</v>
      </c>
      <c r="B444" s="60"/>
      <c r="C444" s="6" t="s">
        <v>375</v>
      </c>
      <c r="D444" s="175">
        <f t="shared" ref="D444:J444" si="117">D445</f>
        <v>7667.7</v>
      </c>
      <c r="E444" s="407"/>
      <c r="F444" s="175">
        <f t="shared" si="117"/>
        <v>7667.7</v>
      </c>
      <c r="G444" s="175">
        <f t="shared" si="117"/>
        <v>0</v>
      </c>
      <c r="H444" s="407"/>
      <c r="I444" s="175">
        <f t="shared" si="117"/>
        <v>0</v>
      </c>
      <c r="J444" s="175">
        <f t="shared" si="117"/>
        <v>0</v>
      </c>
      <c r="K444" s="227"/>
    </row>
    <row r="445" spans="1:11" s="1" customFormat="1" ht="27" x14ac:dyDescent="0.3">
      <c r="A445" s="94"/>
      <c r="B445" s="7" t="s">
        <v>12</v>
      </c>
      <c r="C445" s="6" t="s">
        <v>11</v>
      </c>
      <c r="D445" s="175">
        <v>7667.7</v>
      </c>
      <c r="E445" s="407"/>
      <c r="F445" s="175">
        <v>7667.7</v>
      </c>
      <c r="G445" s="175">
        <v>0</v>
      </c>
      <c r="H445" s="407"/>
      <c r="I445" s="175">
        <v>0</v>
      </c>
      <c r="J445" s="175">
        <v>0</v>
      </c>
      <c r="K445" s="227"/>
    </row>
    <row r="446" spans="1:11" s="1" customFormat="1" ht="27" x14ac:dyDescent="0.3">
      <c r="A446" s="7" t="s">
        <v>630</v>
      </c>
      <c r="B446" s="60"/>
      <c r="C446" s="6" t="s">
        <v>376</v>
      </c>
      <c r="D446" s="175">
        <f>D447</f>
        <v>6211.5</v>
      </c>
      <c r="E446" s="175">
        <f>E447</f>
        <v>1413.0841500000001</v>
      </c>
      <c r="F446" s="175">
        <f>F447</f>
        <v>7624.5841500000006</v>
      </c>
      <c r="G446" s="175">
        <f>G447</f>
        <v>0</v>
      </c>
      <c r="H446" s="407"/>
      <c r="I446" s="175">
        <f>I447</f>
        <v>0</v>
      </c>
      <c r="J446" s="175">
        <f>J447</f>
        <v>0</v>
      </c>
      <c r="K446" s="227"/>
    </row>
    <row r="447" spans="1:11" s="1" customFormat="1" ht="27" x14ac:dyDescent="0.3">
      <c r="A447" s="7"/>
      <c r="B447" s="7" t="s">
        <v>12</v>
      </c>
      <c r="C447" s="6" t="s">
        <v>11</v>
      </c>
      <c r="D447" s="175">
        <v>6211.5</v>
      </c>
      <c r="E447" s="407">
        <f>219.80194+597+597-0.71779</f>
        <v>1413.0841500000001</v>
      </c>
      <c r="F447" s="175">
        <f>D447+1413.80194-0.71779</f>
        <v>7624.5841500000006</v>
      </c>
      <c r="G447" s="175">
        <v>0</v>
      </c>
      <c r="H447" s="407"/>
      <c r="I447" s="175">
        <v>0</v>
      </c>
      <c r="J447" s="175">
        <v>0</v>
      </c>
      <c r="K447" s="227"/>
    </row>
    <row r="448" spans="1:11" s="1" customFormat="1" ht="27" x14ac:dyDescent="0.3">
      <c r="A448" s="7" t="s">
        <v>886</v>
      </c>
      <c r="B448" s="361"/>
      <c r="C448" s="362" t="s">
        <v>887</v>
      </c>
      <c r="D448" s="363">
        <f>D449</f>
        <v>600</v>
      </c>
      <c r="E448" s="407"/>
      <c r="F448" s="363">
        <f>F449</f>
        <v>600</v>
      </c>
      <c r="G448" s="363">
        <v>0</v>
      </c>
      <c r="H448" s="407"/>
      <c r="I448" s="363">
        <v>0</v>
      </c>
      <c r="J448" s="363">
        <v>0</v>
      </c>
      <c r="K448" s="227"/>
    </row>
    <row r="449" spans="1:11" s="1" customFormat="1" ht="27" x14ac:dyDescent="0.3">
      <c r="A449" s="361"/>
      <c r="B449" s="7" t="s">
        <v>12</v>
      </c>
      <c r="C449" s="6" t="s">
        <v>11</v>
      </c>
      <c r="D449" s="363">
        <v>600</v>
      </c>
      <c r="E449" s="407"/>
      <c r="F449" s="363">
        <v>600</v>
      </c>
      <c r="G449" s="363">
        <v>0</v>
      </c>
      <c r="H449" s="407"/>
      <c r="I449" s="363">
        <v>0</v>
      </c>
      <c r="J449" s="363">
        <v>0</v>
      </c>
      <c r="K449" s="227"/>
    </row>
    <row r="450" spans="1:11" s="1" customFormat="1" ht="27" x14ac:dyDescent="0.3">
      <c r="A450" s="153" t="s">
        <v>374</v>
      </c>
      <c r="B450" s="153"/>
      <c r="C450" s="154" t="s">
        <v>373</v>
      </c>
      <c r="D450" s="165">
        <f t="shared" ref="D450:J451" si="118">D451</f>
        <v>33838.699999999997</v>
      </c>
      <c r="E450" s="406"/>
      <c r="F450" s="165">
        <f t="shared" si="118"/>
        <v>33838.699999999997</v>
      </c>
      <c r="G450" s="165">
        <f t="shared" si="118"/>
        <v>31983.9</v>
      </c>
      <c r="H450" s="406"/>
      <c r="I450" s="165">
        <f t="shared" si="118"/>
        <v>31983.9</v>
      </c>
      <c r="J450" s="165">
        <f t="shared" si="118"/>
        <v>33838.699999999997</v>
      </c>
      <c r="K450" s="227"/>
    </row>
    <row r="451" spans="1:11" s="1" customFormat="1" ht="42" customHeight="1" x14ac:dyDescent="0.3">
      <c r="A451" s="7" t="s">
        <v>628</v>
      </c>
      <c r="B451" s="60"/>
      <c r="C451" s="6" t="s">
        <v>372</v>
      </c>
      <c r="D451" s="175">
        <f t="shared" si="118"/>
        <v>33838.699999999997</v>
      </c>
      <c r="E451" s="407"/>
      <c r="F451" s="175">
        <f t="shared" si="118"/>
        <v>33838.699999999997</v>
      </c>
      <c r="G451" s="175">
        <f t="shared" si="118"/>
        <v>31983.9</v>
      </c>
      <c r="H451" s="407"/>
      <c r="I451" s="175">
        <f t="shared" si="118"/>
        <v>31983.9</v>
      </c>
      <c r="J451" s="175">
        <f t="shared" si="118"/>
        <v>33838.699999999997</v>
      </c>
      <c r="K451" s="227"/>
    </row>
    <row r="452" spans="1:11" s="1" customFormat="1" ht="27" x14ac:dyDescent="0.3">
      <c r="A452" s="7"/>
      <c r="B452" s="7" t="s">
        <v>12</v>
      </c>
      <c r="C452" s="6" t="s">
        <v>11</v>
      </c>
      <c r="D452" s="175">
        <v>33838.699999999997</v>
      </c>
      <c r="E452" s="407"/>
      <c r="F452" s="175">
        <v>33838.699999999997</v>
      </c>
      <c r="G452" s="175">
        <v>31983.9</v>
      </c>
      <c r="H452" s="407"/>
      <c r="I452" s="175">
        <v>31983.9</v>
      </c>
      <c r="J452" s="175">
        <v>33838.699999999997</v>
      </c>
      <c r="K452" s="227"/>
    </row>
    <row r="453" spans="1:11" s="1" customFormat="1" ht="79.8" x14ac:dyDescent="0.3">
      <c r="A453" s="153" t="s">
        <v>703</v>
      </c>
      <c r="B453" s="153"/>
      <c r="C453" s="156" t="s">
        <v>718</v>
      </c>
      <c r="D453" s="165">
        <f t="shared" ref="D453:J454" si="119">D454</f>
        <v>438.88</v>
      </c>
      <c r="E453" s="165">
        <f t="shared" si="119"/>
        <v>-438.88</v>
      </c>
      <c r="F453" s="165">
        <f t="shared" si="119"/>
        <v>0</v>
      </c>
      <c r="G453" s="165">
        <f t="shared" si="119"/>
        <v>0</v>
      </c>
      <c r="H453" s="406"/>
      <c r="I453" s="165">
        <f t="shared" si="119"/>
        <v>0</v>
      </c>
      <c r="J453" s="165">
        <f t="shared" si="119"/>
        <v>0</v>
      </c>
      <c r="K453" s="227"/>
    </row>
    <row r="454" spans="1:11" s="1" customFormat="1" ht="27" x14ac:dyDescent="0.3">
      <c r="A454" s="7" t="s">
        <v>702</v>
      </c>
      <c r="B454" s="7"/>
      <c r="C454" s="11" t="s">
        <v>685</v>
      </c>
      <c r="D454" s="175">
        <f t="shared" si="119"/>
        <v>438.88</v>
      </c>
      <c r="E454" s="175">
        <f t="shared" si="119"/>
        <v>-438.88</v>
      </c>
      <c r="F454" s="175">
        <f t="shared" si="119"/>
        <v>0</v>
      </c>
      <c r="G454" s="175">
        <f t="shared" si="119"/>
        <v>0</v>
      </c>
      <c r="H454" s="407"/>
      <c r="I454" s="175">
        <f t="shared" si="119"/>
        <v>0</v>
      </c>
      <c r="J454" s="175">
        <f t="shared" si="119"/>
        <v>0</v>
      </c>
      <c r="K454" s="227"/>
    </row>
    <row r="455" spans="1:11" s="1" customFormat="1" ht="27" x14ac:dyDescent="0.3">
      <c r="A455" s="7"/>
      <c r="B455" s="7" t="s">
        <v>12</v>
      </c>
      <c r="C455" s="6" t="s">
        <v>11</v>
      </c>
      <c r="D455" s="175">
        <f>D456+D457+D458</f>
        <v>438.88</v>
      </c>
      <c r="E455" s="407">
        <f>E458</f>
        <v>-438.88</v>
      </c>
      <c r="F455" s="175">
        <f>F456+F457+F458</f>
        <v>0</v>
      </c>
      <c r="G455" s="175">
        <f>G456+G457+G458</f>
        <v>0</v>
      </c>
      <c r="H455" s="407"/>
      <c r="I455" s="175">
        <f>I456+I457+I458</f>
        <v>0</v>
      </c>
      <c r="J455" s="175">
        <f>J456+J457+J458</f>
        <v>0</v>
      </c>
      <c r="K455" s="227"/>
    </row>
    <row r="456" spans="1:11" s="1" customFormat="1" ht="14.4" x14ac:dyDescent="0.3">
      <c r="A456" s="7"/>
      <c r="B456" s="7"/>
      <c r="C456" s="6" t="s">
        <v>101</v>
      </c>
      <c r="D456" s="175">
        <v>0</v>
      </c>
      <c r="E456" s="407"/>
      <c r="F456" s="175">
        <v>0</v>
      </c>
      <c r="G456" s="175">
        <v>0</v>
      </c>
      <c r="H456" s="407"/>
      <c r="I456" s="175">
        <v>0</v>
      </c>
      <c r="J456" s="175">
        <v>0</v>
      </c>
      <c r="K456" s="227"/>
    </row>
    <row r="457" spans="1:11" s="1" customFormat="1" ht="14.4" x14ac:dyDescent="0.3">
      <c r="A457" s="7"/>
      <c r="B457" s="7"/>
      <c r="C457" s="6" t="s">
        <v>100</v>
      </c>
      <c r="D457" s="175">
        <v>0</v>
      </c>
      <c r="E457" s="407"/>
      <c r="F457" s="175">
        <v>0</v>
      </c>
      <c r="G457" s="175">
        <v>0</v>
      </c>
      <c r="H457" s="407"/>
      <c r="I457" s="175">
        <v>0</v>
      </c>
      <c r="J457" s="175">
        <v>0</v>
      </c>
      <c r="K457" s="227"/>
    </row>
    <row r="458" spans="1:11" s="1" customFormat="1" ht="14.4" x14ac:dyDescent="0.3">
      <c r="A458" s="7"/>
      <c r="B458" s="7"/>
      <c r="C458" s="6" t="s">
        <v>97</v>
      </c>
      <c r="D458" s="175">
        <v>438.88</v>
      </c>
      <c r="E458" s="407">
        <v>-438.88</v>
      </c>
      <c r="F458" s="175">
        <v>0</v>
      </c>
      <c r="G458" s="175">
        <v>0</v>
      </c>
      <c r="H458" s="407"/>
      <c r="I458" s="175">
        <v>0</v>
      </c>
      <c r="J458" s="175">
        <v>0</v>
      </c>
      <c r="K458" s="227"/>
    </row>
    <row r="459" spans="1:11" s="1" customFormat="1" ht="41.25" customHeight="1" x14ac:dyDescent="0.3">
      <c r="A459" s="153" t="s">
        <v>649</v>
      </c>
      <c r="B459" s="153"/>
      <c r="C459" s="156" t="s">
        <v>371</v>
      </c>
      <c r="D459" s="165">
        <f t="shared" ref="D459:J460" si="120">D460</f>
        <v>262277.92671999999</v>
      </c>
      <c r="E459" s="406"/>
      <c r="F459" s="165">
        <f t="shared" si="120"/>
        <v>262277.92671999999</v>
      </c>
      <c r="G459" s="165">
        <f t="shared" si="120"/>
        <v>531.73464999999999</v>
      </c>
      <c r="H459" s="165">
        <f t="shared" si="120"/>
        <v>306.63055000000003</v>
      </c>
      <c r="I459" s="165">
        <f t="shared" si="120"/>
        <v>838.36519999999996</v>
      </c>
      <c r="J459" s="165">
        <f t="shared" si="120"/>
        <v>0</v>
      </c>
      <c r="K459" s="227"/>
    </row>
    <row r="460" spans="1:11" s="1" customFormat="1" ht="27" x14ac:dyDescent="0.3">
      <c r="A460" s="7" t="s">
        <v>650</v>
      </c>
      <c r="B460" s="7"/>
      <c r="C460" s="11" t="s">
        <v>370</v>
      </c>
      <c r="D460" s="175">
        <f t="shared" si="120"/>
        <v>262277.92671999999</v>
      </c>
      <c r="E460" s="407"/>
      <c r="F460" s="175">
        <f t="shared" si="120"/>
        <v>262277.92671999999</v>
      </c>
      <c r="G460" s="175">
        <f t="shared" si="120"/>
        <v>531.73464999999999</v>
      </c>
      <c r="H460" s="175">
        <f t="shared" si="120"/>
        <v>306.63055000000003</v>
      </c>
      <c r="I460" s="175">
        <f t="shared" si="120"/>
        <v>838.36519999999996</v>
      </c>
      <c r="J460" s="175">
        <f t="shared" si="120"/>
        <v>0</v>
      </c>
      <c r="K460" s="227"/>
    </row>
    <row r="461" spans="1:11" s="1" customFormat="1" ht="27" x14ac:dyDescent="0.3">
      <c r="A461" s="7"/>
      <c r="B461" s="7" t="s">
        <v>12</v>
      </c>
      <c r="C461" s="6" t="s">
        <v>11</v>
      </c>
      <c r="D461" s="175">
        <f>D462+D463+D464</f>
        <v>262277.92671999999</v>
      </c>
      <c r="E461" s="407"/>
      <c r="F461" s="175">
        <f>F462+F463+F464</f>
        <v>262277.92671999999</v>
      </c>
      <c r="G461" s="175">
        <f>G462+G463+G464</f>
        <v>531.73464999999999</v>
      </c>
      <c r="H461" s="175">
        <f>H462+H463+H464</f>
        <v>306.63055000000003</v>
      </c>
      <c r="I461" s="175">
        <f>I462+I463+I464</f>
        <v>838.36519999999996</v>
      </c>
      <c r="J461" s="175">
        <f>J462+J463+J464</f>
        <v>0</v>
      </c>
      <c r="K461" s="227"/>
    </row>
    <row r="462" spans="1:11" s="1" customFormat="1" ht="14.4" x14ac:dyDescent="0.3">
      <c r="A462" s="7"/>
      <c r="B462" s="7"/>
      <c r="C462" s="6" t="s">
        <v>101</v>
      </c>
      <c r="D462" s="175">
        <v>250527.87560999999</v>
      </c>
      <c r="E462" s="407"/>
      <c r="F462" s="175">
        <v>250527.87560999999</v>
      </c>
      <c r="G462" s="175">
        <v>0</v>
      </c>
      <c r="H462" s="407"/>
      <c r="I462" s="175">
        <v>0</v>
      </c>
      <c r="J462" s="175">
        <v>0</v>
      </c>
      <c r="K462" s="227"/>
    </row>
    <row r="463" spans="1:11" s="1" customFormat="1" ht="14.4" x14ac:dyDescent="0.3">
      <c r="A463" s="7"/>
      <c r="B463" s="7"/>
      <c r="C463" s="6" t="s">
        <v>100</v>
      </c>
      <c r="D463" s="175">
        <v>10438.661480000001</v>
      </c>
      <c r="E463" s="407"/>
      <c r="F463" s="175">
        <v>10438.661480000001</v>
      </c>
      <c r="G463" s="175">
        <v>0</v>
      </c>
      <c r="H463" s="407"/>
      <c r="I463" s="175">
        <v>0</v>
      </c>
      <c r="J463" s="175">
        <v>0</v>
      </c>
      <c r="K463" s="227"/>
    </row>
    <row r="464" spans="1:11" s="1" customFormat="1" ht="14.4" x14ac:dyDescent="0.3">
      <c r="A464" s="7"/>
      <c r="B464" s="7"/>
      <c r="C464" s="6" t="s">
        <v>97</v>
      </c>
      <c r="D464" s="175">
        <v>1311.3896299999999</v>
      </c>
      <c r="E464" s="407"/>
      <c r="F464" s="175">
        <v>1311.3896299999999</v>
      </c>
      <c r="G464" s="175">
        <f>531.73465</f>
        <v>531.73464999999999</v>
      </c>
      <c r="H464" s="407">
        <v>306.63055000000003</v>
      </c>
      <c r="I464" s="175">
        <f>G464+306.63055</f>
        <v>838.36519999999996</v>
      </c>
      <c r="J464" s="175">
        <v>0</v>
      </c>
      <c r="K464" s="227"/>
    </row>
    <row r="465" spans="1:11" s="1" customFormat="1" ht="40.200000000000003" x14ac:dyDescent="0.3">
      <c r="A465" s="30" t="s">
        <v>394</v>
      </c>
      <c r="B465" s="30"/>
      <c r="C465" s="51" t="s">
        <v>393</v>
      </c>
      <c r="D465" s="249">
        <f t="shared" ref="D465:F467" si="121">D466</f>
        <v>7078.2</v>
      </c>
      <c r="E465" s="249">
        <f t="shared" si="121"/>
        <v>668.2</v>
      </c>
      <c r="F465" s="249">
        <f t="shared" si="121"/>
        <v>7746.4</v>
      </c>
      <c r="G465" s="249">
        <f t="shared" ref="G465:J467" si="122">G466</f>
        <v>7078.2</v>
      </c>
      <c r="H465" s="405"/>
      <c r="I465" s="249">
        <f t="shared" si="122"/>
        <v>7078.2</v>
      </c>
      <c r="J465" s="249">
        <f t="shared" si="122"/>
        <v>7078.2</v>
      </c>
      <c r="K465" s="227"/>
    </row>
    <row r="466" spans="1:11" s="1" customFormat="1" ht="53.4" x14ac:dyDescent="0.3">
      <c r="A466" s="153" t="s">
        <v>392</v>
      </c>
      <c r="B466" s="153"/>
      <c r="C466" s="154" t="s">
        <v>391</v>
      </c>
      <c r="D466" s="165">
        <f t="shared" si="121"/>
        <v>7078.2</v>
      </c>
      <c r="E466" s="165">
        <f t="shared" si="121"/>
        <v>668.2</v>
      </c>
      <c r="F466" s="165">
        <f t="shared" si="121"/>
        <v>7746.4</v>
      </c>
      <c r="G466" s="165">
        <f t="shared" si="122"/>
        <v>7078.2</v>
      </c>
      <c r="H466" s="406"/>
      <c r="I466" s="165">
        <f t="shared" si="122"/>
        <v>7078.2</v>
      </c>
      <c r="J466" s="165">
        <f t="shared" si="122"/>
        <v>7078.2</v>
      </c>
      <c r="K466" s="227"/>
    </row>
    <row r="467" spans="1:11" s="1" customFormat="1" ht="53.4" x14ac:dyDescent="0.3">
      <c r="A467" s="7" t="s">
        <v>390</v>
      </c>
      <c r="B467" s="60"/>
      <c r="C467" s="6" t="s">
        <v>568</v>
      </c>
      <c r="D467" s="175">
        <f t="shared" si="121"/>
        <v>7078.2</v>
      </c>
      <c r="E467" s="175">
        <f t="shared" si="121"/>
        <v>668.2</v>
      </c>
      <c r="F467" s="175">
        <f t="shared" si="121"/>
        <v>7746.4</v>
      </c>
      <c r="G467" s="175">
        <f t="shared" si="122"/>
        <v>7078.2</v>
      </c>
      <c r="H467" s="407"/>
      <c r="I467" s="175">
        <f t="shared" si="122"/>
        <v>7078.2</v>
      </c>
      <c r="J467" s="175">
        <f t="shared" si="122"/>
        <v>7078.2</v>
      </c>
      <c r="K467" s="227"/>
    </row>
    <row r="468" spans="1:11" s="1" customFormat="1" ht="27" x14ac:dyDescent="0.3">
      <c r="A468" s="7"/>
      <c r="B468" s="7" t="s">
        <v>12</v>
      </c>
      <c r="C468" s="6" t="s">
        <v>11</v>
      </c>
      <c r="D468" s="175">
        <v>7078.2</v>
      </c>
      <c r="E468" s="407">
        <v>668.2</v>
      </c>
      <c r="F468" s="175">
        <v>7746.4</v>
      </c>
      <c r="G468" s="175">
        <v>7078.2</v>
      </c>
      <c r="H468" s="407"/>
      <c r="I468" s="175">
        <v>7078.2</v>
      </c>
      <c r="J468" s="175">
        <v>7078.2</v>
      </c>
      <c r="K468" s="227"/>
    </row>
    <row r="469" spans="1:11" s="1" customFormat="1" ht="53.4" x14ac:dyDescent="0.3">
      <c r="A469" s="30" t="s">
        <v>369</v>
      </c>
      <c r="B469" s="30"/>
      <c r="C469" s="51" t="s">
        <v>368</v>
      </c>
      <c r="D469" s="249">
        <f>D470+D473+D476</f>
        <v>3937</v>
      </c>
      <c r="E469" s="405"/>
      <c r="F469" s="249">
        <f>F470+F473+F476</f>
        <v>3937</v>
      </c>
      <c r="G469" s="249">
        <f>G470+G473</f>
        <v>0</v>
      </c>
      <c r="H469" s="405"/>
      <c r="I469" s="249">
        <f>I470+I473</f>
        <v>0</v>
      </c>
      <c r="J469" s="249">
        <f>J470+J473</f>
        <v>0</v>
      </c>
      <c r="K469" s="227"/>
    </row>
    <row r="470" spans="1:11" s="1" customFormat="1" ht="42" customHeight="1" x14ac:dyDescent="0.3">
      <c r="A470" s="153" t="s">
        <v>367</v>
      </c>
      <c r="B470" s="153"/>
      <c r="C470" s="166" t="s">
        <v>366</v>
      </c>
      <c r="D470" s="165">
        <f>D471</f>
        <v>1236.5999999999999</v>
      </c>
      <c r="E470" s="406"/>
      <c r="F470" s="165">
        <f>F471</f>
        <v>1236.5999999999999</v>
      </c>
      <c r="G470" s="165">
        <v>0</v>
      </c>
      <c r="H470" s="406"/>
      <c r="I470" s="165">
        <v>0</v>
      </c>
      <c r="J470" s="165">
        <v>0</v>
      </c>
      <c r="K470" s="227"/>
    </row>
    <row r="471" spans="1:11" s="1" customFormat="1" ht="40.200000000000003" x14ac:dyDescent="0.3">
      <c r="A471" s="7" t="s">
        <v>627</v>
      </c>
      <c r="B471" s="7"/>
      <c r="C471" s="99" t="s">
        <v>365</v>
      </c>
      <c r="D471" s="175">
        <f>D472</f>
        <v>1236.5999999999999</v>
      </c>
      <c r="E471" s="407"/>
      <c r="F471" s="175">
        <f>F472</f>
        <v>1236.5999999999999</v>
      </c>
      <c r="G471" s="175">
        <v>0</v>
      </c>
      <c r="H471" s="407"/>
      <c r="I471" s="175">
        <v>0</v>
      </c>
      <c r="J471" s="175">
        <v>0</v>
      </c>
      <c r="K471" s="227"/>
    </row>
    <row r="472" spans="1:11" s="1" customFormat="1" ht="27" x14ac:dyDescent="0.3">
      <c r="A472" s="7"/>
      <c r="B472" s="7" t="s">
        <v>12</v>
      </c>
      <c r="C472" s="6" t="s">
        <v>11</v>
      </c>
      <c r="D472" s="175">
        <v>1236.5999999999999</v>
      </c>
      <c r="E472" s="407"/>
      <c r="F472" s="175">
        <v>1236.5999999999999</v>
      </c>
      <c r="G472" s="175">
        <v>0</v>
      </c>
      <c r="H472" s="407"/>
      <c r="I472" s="175">
        <v>0</v>
      </c>
      <c r="J472" s="175">
        <v>0</v>
      </c>
      <c r="K472" s="227"/>
    </row>
    <row r="473" spans="1:11" s="1" customFormat="1" ht="40.200000000000003" x14ac:dyDescent="0.3">
      <c r="A473" s="153" t="s">
        <v>646</v>
      </c>
      <c r="B473" s="153"/>
      <c r="C473" s="166" t="s">
        <v>647</v>
      </c>
      <c r="D473" s="165">
        <f t="shared" ref="D473:I474" si="123">D474</f>
        <v>300.39999999999998</v>
      </c>
      <c r="E473" s="406"/>
      <c r="F473" s="165">
        <f t="shared" si="123"/>
        <v>300.39999999999998</v>
      </c>
      <c r="G473" s="256">
        <f t="shared" si="123"/>
        <v>0</v>
      </c>
      <c r="H473" s="406"/>
      <c r="I473" s="256">
        <f t="shared" si="123"/>
        <v>0</v>
      </c>
      <c r="J473" s="165">
        <v>0</v>
      </c>
      <c r="K473" s="227"/>
    </row>
    <row r="474" spans="1:11" s="1" customFormat="1" ht="40.200000000000003" x14ac:dyDescent="0.3">
      <c r="A474" s="199" t="s">
        <v>755</v>
      </c>
      <c r="B474" s="199"/>
      <c r="C474" s="206" t="s">
        <v>648</v>
      </c>
      <c r="D474" s="211">
        <f t="shared" si="123"/>
        <v>300.39999999999998</v>
      </c>
      <c r="E474" s="407"/>
      <c r="F474" s="211">
        <f t="shared" si="123"/>
        <v>300.39999999999998</v>
      </c>
      <c r="G474" s="211">
        <f>G475</f>
        <v>0</v>
      </c>
      <c r="H474" s="407"/>
      <c r="I474" s="211">
        <f>I475</f>
        <v>0</v>
      </c>
      <c r="J474" s="211">
        <f>J475</f>
        <v>0</v>
      </c>
      <c r="K474" s="227"/>
    </row>
    <row r="475" spans="1:11" s="1" customFormat="1" ht="27" x14ac:dyDescent="0.3">
      <c r="A475" s="199"/>
      <c r="B475" s="7" t="s">
        <v>12</v>
      </c>
      <c r="C475" s="6" t="s">
        <v>11</v>
      </c>
      <c r="D475" s="211">
        <v>300.39999999999998</v>
      </c>
      <c r="E475" s="407"/>
      <c r="F475" s="211">
        <v>300.39999999999998</v>
      </c>
      <c r="G475" s="211">
        <v>0</v>
      </c>
      <c r="H475" s="407"/>
      <c r="I475" s="211">
        <v>0</v>
      </c>
      <c r="J475" s="211">
        <v>0</v>
      </c>
      <c r="K475" s="227"/>
    </row>
    <row r="476" spans="1:11" s="1" customFormat="1" ht="27" x14ac:dyDescent="0.3">
      <c r="A476" s="153" t="s">
        <v>714</v>
      </c>
      <c r="B476" s="153"/>
      <c r="C476" s="166" t="s">
        <v>643</v>
      </c>
      <c r="D476" s="165">
        <f>D477</f>
        <v>2400</v>
      </c>
      <c r="E476" s="406"/>
      <c r="F476" s="165">
        <f>F477</f>
        <v>2400</v>
      </c>
      <c r="G476" s="165">
        <v>0</v>
      </c>
      <c r="H476" s="406"/>
      <c r="I476" s="165">
        <v>0</v>
      </c>
      <c r="J476" s="165">
        <v>0</v>
      </c>
      <c r="K476" s="227"/>
    </row>
    <row r="477" spans="1:11" s="1" customFormat="1" ht="40.200000000000003" x14ac:dyDescent="0.3">
      <c r="A477" s="7" t="s">
        <v>715</v>
      </c>
      <c r="B477" s="7"/>
      <c r="C477" s="99" t="s">
        <v>716</v>
      </c>
      <c r="D477" s="175">
        <f>D478</f>
        <v>2400</v>
      </c>
      <c r="E477" s="407"/>
      <c r="F477" s="175">
        <f>F478</f>
        <v>2400</v>
      </c>
      <c r="G477" s="175">
        <v>0</v>
      </c>
      <c r="H477" s="407"/>
      <c r="I477" s="175">
        <v>0</v>
      </c>
      <c r="J477" s="175">
        <v>0</v>
      </c>
      <c r="K477" s="227"/>
    </row>
    <row r="478" spans="1:11" s="1" customFormat="1" ht="27" x14ac:dyDescent="0.3">
      <c r="A478" s="7"/>
      <c r="B478" s="7" t="s">
        <v>12</v>
      </c>
      <c r="C478" s="6" t="s">
        <v>11</v>
      </c>
      <c r="D478" s="175">
        <f>D479+D480</f>
        <v>2400</v>
      </c>
      <c r="E478" s="407"/>
      <c r="F478" s="175">
        <f>F479+F480</f>
        <v>2400</v>
      </c>
      <c r="G478" s="175">
        <v>0</v>
      </c>
      <c r="H478" s="407"/>
      <c r="I478" s="175">
        <v>0</v>
      </c>
      <c r="J478" s="175">
        <v>0</v>
      </c>
      <c r="K478" s="227"/>
    </row>
    <row r="479" spans="1:11" s="1" customFormat="1" ht="14.4" x14ac:dyDescent="0.3">
      <c r="A479" s="226"/>
      <c r="B479" s="226"/>
      <c r="C479" s="6" t="s">
        <v>100</v>
      </c>
      <c r="D479" s="248">
        <v>2160</v>
      </c>
      <c r="E479" s="407"/>
      <c r="F479" s="248">
        <v>2160</v>
      </c>
      <c r="G479" s="175">
        <v>0</v>
      </c>
      <c r="H479" s="407"/>
      <c r="I479" s="175">
        <v>0</v>
      </c>
      <c r="J479" s="175">
        <v>0</v>
      </c>
      <c r="K479" s="227"/>
    </row>
    <row r="480" spans="1:11" s="1" customFormat="1" ht="14.4" x14ac:dyDescent="0.3">
      <c r="A480" s="226"/>
      <c r="B480" s="226"/>
      <c r="C480" s="6" t="s">
        <v>97</v>
      </c>
      <c r="D480" s="248">
        <v>240</v>
      </c>
      <c r="E480" s="407"/>
      <c r="F480" s="248">
        <v>240</v>
      </c>
      <c r="G480" s="175">
        <v>0</v>
      </c>
      <c r="H480" s="407"/>
      <c r="I480" s="175">
        <v>0</v>
      </c>
      <c r="J480" s="175">
        <v>0</v>
      </c>
      <c r="K480" s="227"/>
    </row>
    <row r="481" spans="1:11" s="1" customFormat="1" ht="53.4" x14ac:dyDescent="0.3">
      <c r="A481" s="170" t="s">
        <v>287</v>
      </c>
      <c r="B481" s="170"/>
      <c r="C481" s="173" t="s">
        <v>286</v>
      </c>
      <c r="D481" s="255">
        <f>D482+D488</f>
        <v>8028.7210099999993</v>
      </c>
      <c r="E481" s="404"/>
      <c r="F481" s="255">
        <f>F482+F488</f>
        <v>8028.7210099999993</v>
      </c>
      <c r="G481" s="255">
        <f>G482+G488</f>
        <v>8064.9380900000015</v>
      </c>
      <c r="H481" s="404"/>
      <c r="I481" s="255">
        <f>I482+I488</f>
        <v>8064.9380900000015</v>
      </c>
      <c r="J481" s="255">
        <f>J482+J488</f>
        <v>8127.3156800000006</v>
      </c>
      <c r="K481" s="227"/>
    </row>
    <row r="482" spans="1:11" s="1" customFormat="1" ht="40.200000000000003" x14ac:dyDescent="0.3">
      <c r="A482" s="205" t="s">
        <v>651</v>
      </c>
      <c r="B482" s="160"/>
      <c r="C482" s="208" t="s">
        <v>653</v>
      </c>
      <c r="D482" s="165">
        <f t="shared" ref="D482:F483" si="124">D483</f>
        <v>6029.2760399999997</v>
      </c>
      <c r="E482" s="406"/>
      <c r="F482" s="165">
        <f t="shared" si="124"/>
        <v>6029.2760399999997</v>
      </c>
      <c r="G482" s="165">
        <f t="shared" ref="G482:J483" si="125">G483</f>
        <v>5789.1429700000008</v>
      </c>
      <c r="H482" s="406"/>
      <c r="I482" s="165">
        <f t="shared" si="125"/>
        <v>5789.1429700000008</v>
      </c>
      <c r="J482" s="165">
        <f t="shared" si="125"/>
        <v>5854.0556400000005</v>
      </c>
      <c r="K482" s="227"/>
    </row>
    <row r="483" spans="1:11" s="1" customFormat="1" ht="40.200000000000003" x14ac:dyDescent="0.3">
      <c r="A483" s="207" t="s">
        <v>652</v>
      </c>
      <c r="B483" s="54"/>
      <c r="C483" s="11" t="s">
        <v>620</v>
      </c>
      <c r="D483" s="175">
        <f t="shared" si="124"/>
        <v>6029.2760399999997</v>
      </c>
      <c r="E483" s="407"/>
      <c r="F483" s="175">
        <f t="shared" si="124"/>
        <v>6029.2760399999997</v>
      </c>
      <c r="G483" s="175">
        <f t="shared" si="125"/>
        <v>5789.1429700000008</v>
      </c>
      <c r="H483" s="407"/>
      <c r="I483" s="175">
        <f t="shared" si="125"/>
        <v>5789.1429700000008</v>
      </c>
      <c r="J483" s="175">
        <f t="shared" si="125"/>
        <v>5854.0556400000005</v>
      </c>
      <c r="K483" s="227"/>
    </row>
    <row r="484" spans="1:11" s="1" customFormat="1" ht="27" x14ac:dyDescent="0.3">
      <c r="A484" s="94"/>
      <c r="B484" s="7" t="s">
        <v>12</v>
      </c>
      <c r="C484" s="6" t="s">
        <v>11</v>
      </c>
      <c r="D484" s="175">
        <f>D485+D486+D487</f>
        <v>6029.2760399999997</v>
      </c>
      <c r="E484" s="407"/>
      <c r="F484" s="175">
        <f>F485+F486+F487</f>
        <v>6029.2760399999997</v>
      </c>
      <c r="G484" s="175">
        <f>G485+G486+G487</f>
        <v>5789.1429700000008</v>
      </c>
      <c r="H484" s="407"/>
      <c r="I484" s="175">
        <f>I485+I486+I487</f>
        <v>5789.1429700000008</v>
      </c>
      <c r="J484" s="175">
        <f>J485+J486+J487</f>
        <v>5854.0556400000005</v>
      </c>
      <c r="K484" s="227"/>
    </row>
    <row r="485" spans="1:11" s="1" customFormat="1" ht="14.4" x14ac:dyDescent="0.3">
      <c r="A485" s="94"/>
      <c r="B485" s="7"/>
      <c r="C485" s="6" t="s">
        <v>101</v>
      </c>
      <c r="D485" s="175">
        <v>5209.2945</v>
      </c>
      <c r="E485" s="407"/>
      <c r="F485" s="175">
        <v>5209.2945</v>
      </c>
      <c r="G485" s="175">
        <v>5001.81952</v>
      </c>
      <c r="H485" s="407"/>
      <c r="I485" s="175">
        <v>5001.81952</v>
      </c>
      <c r="J485" s="175">
        <v>5057.9040800000002</v>
      </c>
      <c r="K485" s="227"/>
    </row>
    <row r="486" spans="1:11" s="1" customFormat="1" ht="14.4" x14ac:dyDescent="0.3">
      <c r="A486" s="94"/>
      <c r="B486" s="7"/>
      <c r="C486" s="6" t="s">
        <v>100</v>
      </c>
      <c r="D486" s="175">
        <v>217.05394000000001</v>
      </c>
      <c r="E486" s="407"/>
      <c r="F486" s="175">
        <v>217.05394000000001</v>
      </c>
      <c r="G486" s="175">
        <v>208.40915000000001</v>
      </c>
      <c r="H486" s="407"/>
      <c r="I486" s="175">
        <v>208.40915000000001</v>
      </c>
      <c r="J486" s="175">
        <v>210.74600000000001</v>
      </c>
      <c r="K486" s="227"/>
    </row>
    <row r="487" spans="1:11" s="1" customFormat="1" ht="14.4" x14ac:dyDescent="0.3">
      <c r="A487" s="94"/>
      <c r="B487" s="7"/>
      <c r="C487" s="6" t="s">
        <v>97</v>
      </c>
      <c r="D487" s="175">
        <v>602.92759999999998</v>
      </c>
      <c r="E487" s="407"/>
      <c r="F487" s="175">
        <v>602.92759999999998</v>
      </c>
      <c r="G487" s="175">
        <v>578.91430000000003</v>
      </c>
      <c r="H487" s="407"/>
      <c r="I487" s="175">
        <v>578.91430000000003</v>
      </c>
      <c r="J487" s="175">
        <v>585.40556000000004</v>
      </c>
      <c r="K487" s="227"/>
    </row>
    <row r="488" spans="1:11" s="1" customFormat="1" ht="40.200000000000003" x14ac:dyDescent="0.3">
      <c r="A488" s="153" t="s">
        <v>285</v>
      </c>
      <c r="B488" s="160"/>
      <c r="C488" s="154" t="s">
        <v>284</v>
      </c>
      <c r="D488" s="165">
        <f t="shared" ref="D488:J489" si="126">D489</f>
        <v>1999.44497</v>
      </c>
      <c r="E488" s="406"/>
      <c r="F488" s="165">
        <f t="shared" si="126"/>
        <v>1999.44497</v>
      </c>
      <c r="G488" s="165">
        <f t="shared" si="126"/>
        <v>2275.7951200000002</v>
      </c>
      <c r="H488" s="406"/>
      <c r="I488" s="165">
        <f t="shared" si="126"/>
        <v>2275.7951200000002</v>
      </c>
      <c r="J488" s="165">
        <f t="shared" si="126"/>
        <v>2273.2600400000001</v>
      </c>
      <c r="K488" s="227"/>
    </row>
    <row r="489" spans="1:11" s="1" customFormat="1" ht="53.4" x14ac:dyDescent="0.3">
      <c r="A489" s="94" t="s">
        <v>283</v>
      </c>
      <c r="B489" s="54"/>
      <c r="C489" s="6" t="s">
        <v>611</v>
      </c>
      <c r="D489" s="175">
        <f t="shared" si="126"/>
        <v>1999.44497</v>
      </c>
      <c r="E489" s="407"/>
      <c r="F489" s="175">
        <f t="shared" si="126"/>
        <v>1999.44497</v>
      </c>
      <c r="G489" s="175">
        <f t="shared" si="126"/>
        <v>2275.7951200000002</v>
      </c>
      <c r="H489" s="407"/>
      <c r="I489" s="175">
        <f t="shared" si="126"/>
        <v>2275.7951200000002</v>
      </c>
      <c r="J489" s="175">
        <f t="shared" si="126"/>
        <v>2273.2600400000001</v>
      </c>
      <c r="K489" s="227"/>
    </row>
    <row r="490" spans="1:11" s="1" customFormat="1" ht="27" x14ac:dyDescent="0.3">
      <c r="A490" s="94"/>
      <c r="B490" s="7" t="s">
        <v>12</v>
      </c>
      <c r="C490" s="6" t="s">
        <v>11</v>
      </c>
      <c r="D490" s="175">
        <f>D491+D492</f>
        <v>1999.44497</v>
      </c>
      <c r="E490" s="407"/>
      <c r="F490" s="175">
        <f>F491+F492</f>
        <v>1999.44497</v>
      </c>
      <c r="G490" s="175">
        <f>G491+G492</f>
        <v>2275.7951200000002</v>
      </c>
      <c r="H490" s="407"/>
      <c r="I490" s="175">
        <f>I491+I492</f>
        <v>2275.7951200000002</v>
      </c>
      <c r="J490" s="175">
        <f>J491+J492</f>
        <v>2273.2600400000001</v>
      </c>
      <c r="K490" s="227"/>
    </row>
    <row r="491" spans="1:11" s="1" customFormat="1" ht="14.4" x14ac:dyDescent="0.3">
      <c r="A491" s="94"/>
      <c r="B491" s="7"/>
      <c r="C491" s="6" t="s">
        <v>100</v>
      </c>
      <c r="D491" s="175">
        <v>1799.50047</v>
      </c>
      <c r="E491" s="407"/>
      <c r="F491" s="175">
        <v>1799.50047</v>
      </c>
      <c r="G491" s="175">
        <v>2048.2156100000002</v>
      </c>
      <c r="H491" s="407"/>
      <c r="I491" s="175">
        <v>2048.2156100000002</v>
      </c>
      <c r="J491" s="175">
        <v>2045.9340400000001</v>
      </c>
      <c r="K491" s="227"/>
    </row>
    <row r="492" spans="1:11" s="1" customFormat="1" ht="14.4" x14ac:dyDescent="0.3">
      <c r="A492" s="94"/>
      <c r="B492" s="7"/>
      <c r="C492" s="6" t="s">
        <v>97</v>
      </c>
      <c r="D492" s="175">
        <v>199.94450000000001</v>
      </c>
      <c r="E492" s="407"/>
      <c r="F492" s="175">
        <v>199.94450000000001</v>
      </c>
      <c r="G492" s="175">
        <v>227.57951</v>
      </c>
      <c r="H492" s="407"/>
      <c r="I492" s="175">
        <v>227.57951</v>
      </c>
      <c r="J492" s="175">
        <v>227.32599999999999</v>
      </c>
      <c r="K492" s="227"/>
    </row>
    <row r="493" spans="1:11" s="1" customFormat="1" ht="66.599999999999994" x14ac:dyDescent="0.3">
      <c r="A493" s="170" t="s">
        <v>425</v>
      </c>
      <c r="B493" s="170"/>
      <c r="C493" s="173" t="s">
        <v>424</v>
      </c>
      <c r="D493" s="255">
        <f>D494+D504+D513</f>
        <v>32915.599999999999</v>
      </c>
      <c r="E493" s="255">
        <f>E494+E504+E513</f>
        <v>-300</v>
      </c>
      <c r="F493" s="255">
        <f>F494+F504+F513</f>
        <v>32615.599999999999</v>
      </c>
      <c r="G493" s="255">
        <f>G494+G504+G513</f>
        <v>28683</v>
      </c>
      <c r="H493" s="404"/>
      <c r="I493" s="255">
        <f>I494+I504+I513</f>
        <v>28683</v>
      </c>
      <c r="J493" s="255">
        <f>J494+J504+J513</f>
        <v>32149.300000000003</v>
      </c>
      <c r="K493" s="227"/>
    </row>
    <row r="494" spans="1:11" s="1" customFormat="1" ht="53.4" x14ac:dyDescent="0.3">
      <c r="A494" s="153" t="s">
        <v>460</v>
      </c>
      <c r="B494" s="153"/>
      <c r="C494" s="164" t="s">
        <v>459</v>
      </c>
      <c r="D494" s="165">
        <f>D495+D497+D499+D501</f>
        <v>28040.6</v>
      </c>
      <c r="E494" s="165">
        <f>E495+E497+E499+E501</f>
        <v>-301.3</v>
      </c>
      <c r="F494" s="165">
        <f>F495+F497+F499+F501</f>
        <v>27739.3</v>
      </c>
      <c r="G494" s="165">
        <f>G495+G497+G499+G501</f>
        <v>28255.4</v>
      </c>
      <c r="H494" s="406"/>
      <c r="I494" s="165">
        <f>I495+I497+I499+I501</f>
        <v>28255.4</v>
      </c>
      <c r="J494" s="165">
        <f>J495+J497+J499+J501</f>
        <v>29113.9</v>
      </c>
      <c r="K494" s="227"/>
    </row>
    <row r="495" spans="1:11" s="1" customFormat="1" ht="14.4" x14ac:dyDescent="0.3">
      <c r="A495" s="7" t="s">
        <v>458</v>
      </c>
      <c r="B495" s="7"/>
      <c r="C495" s="6" t="s">
        <v>457</v>
      </c>
      <c r="D495" s="175">
        <f t="shared" ref="D495:J495" si="127">D496</f>
        <v>52.4</v>
      </c>
      <c r="E495" s="407"/>
      <c r="F495" s="175">
        <f t="shared" si="127"/>
        <v>52.4</v>
      </c>
      <c r="G495" s="175">
        <f t="shared" si="127"/>
        <v>0</v>
      </c>
      <c r="H495" s="407"/>
      <c r="I495" s="175">
        <f t="shared" si="127"/>
        <v>0</v>
      </c>
      <c r="J495" s="175">
        <f t="shared" si="127"/>
        <v>52.4</v>
      </c>
      <c r="K495" s="227"/>
    </row>
    <row r="496" spans="1:11" s="1" customFormat="1" ht="27" x14ac:dyDescent="0.3">
      <c r="A496" s="7"/>
      <c r="B496" s="7" t="s">
        <v>12</v>
      </c>
      <c r="C496" s="6" t="s">
        <v>11</v>
      </c>
      <c r="D496" s="175">
        <v>52.4</v>
      </c>
      <c r="E496" s="407"/>
      <c r="F496" s="175">
        <v>52.4</v>
      </c>
      <c r="G496" s="175">
        <v>0</v>
      </c>
      <c r="H496" s="407"/>
      <c r="I496" s="175">
        <v>0</v>
      </c>
      <c r="J496" s="175">
        <v>52.4</v>
      </c>
      <c r="K496" s="227"/>
    </row>
    <row r="497" spans="1:11" s="1" customFormat="1" ht="53.4" x14ac:dyDescent="0.3">
      <c r="A497" s="7" t="s">
        <v>456</v>
      </c>
      <c r="B497" s="7"/>
      <c r="C497" s="6" t="s">
        <v>537</v>
      </c>
      <c r="D497" s="175">
        <f t="shared" ref="D497:J497" si="128">D498</f>
        <v>270.2</v>
      </c>
      <c r="E497" s="407"/>
      <c r="F497" s="175">
        <f t="shared" si="128"/>
        <v>270.2</v>
      </c>
      <c r="G497" s="175">
        <f t="shared" si="128"/>
        <v>0</v>
      </c>
      <c r="H497" s="407"/>
      <c r="I497" s="175">
        <f t="shared" si="128"/>
        <v>0</v>
      </c>
      <c r="J497" s="175">
        <f t="shared" si="128"/>
        <v>126.8</v>
      </c>
      <c r="K497" s="227"/>
    </row>
    <row r="498" spans="1:11" s="1" customFormat="1" ht="27" x14ac:dyDescent="0.3">
      <c r="A498" s="7"/>
      <c r="B498" s="7" t="s">
        <v>12</v>
      </c>
      <c r="C498" s="6" t="s">
        <v>11</v>
      </c>
      <c r="D498" s="175">
        <v>270.2</v>
      </c>
      <c r="E498" s="407"/>
      <c r="F498" s="175">
        <v>270.2</v>
      </c>
      <c r="G498" s="175">
        <v>0</v>
      </c>
      <c r="H498" s="407"/>
      <c r="I498" s="175">
        <v>0</v>
      </c>
      <c r="J498" s="175">
        <v>126.8</v>
      </c>
      <c r="K498" s="227"/>
    </row>
    <row r="499" spans="1:11" s="1" customFormat="1" ht="40.200000000000003" x14ac:dyDescent="0.3">
      <c r="A499" s="7" t="s">
        <v>538</v>
      </c>
      <c r="B499" s="7"/>
      <c r="C499" s="6" t="s">
        <v>539</v>
      </c>
      <c r="D499" s="175">
        <f t="shared" ref="D499:J499" si="129">D500</f>
        <v>578</v>
      </c>
      <c r="E499" s="175">
        <f t="shared" si="129"/>
        <v>-301.3</v>
      </c>
      <c r="F499" s="175">
        <f t="shared" si="129"/>
        <v>276.7</v>
      </c>
      <c r="G499" s="175">
        <f t="shared" si="129"/>
        <v>0</v>
      </c>
      <c r="H499" s="407"/>
      <c r="I499" s="175">
        <f t="shared" si="129"/>
        <v>0</v>
      </c>
      <c r="J499" s="175">
        <f t="shared" si="129"/>
        <v>578</v>
      </c>
      <c r="K499" s="227"/>
    </row>
    <row r="500" spans="1:11" ht="26.4" x14ac:dyDescent="0.25">
      <c r="A500" s="7"/>
      <c r="B500" s="7" t="s">
        <v>12</v>
      </c>
      <c r="C500" s="6" t="s">
        <v>11</v>
      </c>
      <c r="D500" s="175">
        <v>578</v>
      </c>
      <c r="E500" s="407">
        <v>-301.3</v>
      </c>
      <c r="F500" s="175">
        <v>276.7</v>
      </c>
      <c r="G500" s="175">
        <v>0</v>
      </c>
      <c r="H500" s="407"/>
      <c r="I500" s="175">
        <v>0</v>
      </c>
      <c r="J500" s="175">
        <v>578</v>
      </c>
      <c r="K500" s="483"/>
    </row>
    <row r="501" spans="1:11" ht="26.4" x14ac:dyDescent="0.25">
      <c r="A501" s="7" t="s">
        <v>455</v>
      </c>
      <c r="B501" s="7"/>
      <c r="C501" s="108" t="s">
        <v>454</v>
      </c>
      <c r="D501" s="175">
        <f>D502+D503</f>
        <v>27140</v>
      </c>
      <c r="E501" s="407"/>
      <c r="F501" s="175">
        <f>F502+F503</f>
        <v>27140</v>
      </c>
      <c r="G501" s="175">
        <f>G502+G503</f>
        <v>28255.4</v>
      </c>
      <c r="H501" s="407"/>
      <c r="I501" s="175">
        <f>I502+I503</f>
        <v>28255.4</v>
      </c>
      <c r="J501" s="175">
        <f>J502+J503</f>
        <v>28356.7</v>
      </c>
      <c r="K501" s="483"/>
    </row>
    <row r="502" spans="1:11" ht="66" x14ac:dyDescent="0.25">
      <c r="A502" s="7"/>
      <c r="B502" s="7" t="s">
        <v>2</v>
      </c>
      <c r="C502" s="6" t="s">
        <v>1</v>
      </c>
      <c r="D502" s="175">
        <v>25436.7</v>
      </c>
      <c r="E502" s="407"/>
      <c r="F502" s="175">
        <v>25436.7</v>
      </c>
      <c r="G502" s="175">
        <v>26653.4</v>
      </c>
      <c r="H502" s="407"/>
      <c r="I502" s="175">
        <v>26653.4</v>
      </c>
      <c r="J502" s="175">
        <v>26653.4</v>
      </c>
      <c r="K502" s="483"/>
    </row>
    <row r="503" spans="1:11" ht="26.4" x14ac:dyDescent="0.25">
      <c r="A503" s="7"/>
      <c r="B503" s="7" t="s">
        <v>12</v>
      </c>
      <c r="C503" s="6" t="s">
        <v>11</v>
      </c>
      <c r="D503" s="175">
        <v>1703.3</v>
      </c>
      <c r="E503" s="407"/>
      <c r="F503" s="175">
        <v>1703.3</v>
      </c>
      <c r="G503" s="175">
        <v>1602</v>
      </c>
      <c r="H503" s="407"/>
      <c r="I503" s="175">
        <v>1602</v>
      </c>
      <c r="J503" s="175">
        <v>1703.3</v>
      </c>
      <c r="K503" s="483"/>
    </row>
    <row r="504" spans="1:11" ht="39.6" x14ac:dyDescent="0.25">
      <c r="A504" s="153" t="s">
        <v>451</v>
      </c>
      <c r="B504" s="153"/>
      <c r="C504" s="164" t="s">
        <v>450</v>
      </c>
      <c r="D504" s="165">
        <f>D505+D507+D511</f>
        <v>4855</v>
      </c>
      <c r="E504" s="165">
        <f>E505+E507+E511</f>
        <v>-1</v>
      </c>
      <c r="F504" s="165">
        <f>F505+F507+F511</f>
        <v>4854</v>
      </c>
      <c r="G504" s="165">
        <f>G505+G507+G511</f>
        <v>407.6</v>
      </c>
      <c r="H504" s="406"/>
      <c r="I504" s="165">
        <f>I505+I507+I511</f>
        <v>407.6</v>
      </c>
      <c r="J504" s="165">
        <f>J505+J507+J511</f>
        <v>3015.4</v>
      </c>
      <c r="K504" s="483"/>
    </row>
    <row r="505" spans="1:11" ht="26.4" x14ac:dyDescent="0.25">
      <c r="A505" s="7" t="s">
        <v>449</v>
      </c>
      <c r="B505" s="7"/>
      <c r="C505" s="96" t="s">
        <v>448</v>
      </c>
      <c r="D505" s="175">
        <f t="shared" ref="D505:J505" si="130">D506</f>
        <v>121.9</v>
      </c>
      <c r="E505" s="407"/>
      <c r="F505" s="175">
        <f t="shared" si="130"/>
        <v>121.9</v>
      </c>
      <c r="G505" s="175">
        <f t="shared" si="130"/>
        <v>121.9</v>
      </c>
      <c r="H505" s="407"/>
      <c r="I505" s="175">
        <f t="shared" si="130"/>
        <v>121.9</v>
      </c>
      <c r="J505" s="175">
        <f t="shared" si="130"/>
        <v>121.9</v>
      </c>
      <c r="K505" s="483"/>
    </row>
    <row r="506" spans="1:11" ht="26.4" x14ac:dyDescent="0.25">
      <c r="A506" s="7"/>
      <c r="B506" s="7" t="s">
        <v>12</v>
      </c>
      <c r="C506" s="6" t="s">
        <v>11</v>
      </c>
      <c r="D506" s="175">
        <v>121.9</v>
      </c>
      <c r="E506" s="407"/>
      <c r="F506" s="175">
        <v>121.9</v>
      </c>
      <c r="G506" s="175">
        <v>121.9</v>
      </c>
      <c r="H506" s="407"/>
      <c r="I506" s="175">
        <v>121.9</v>
      </c>
      <c r="J506" s="175">
        <v>121.9</v>
      </c>
      <c r="K506" s="483"/>
    </row>
    <row r="507" spans="1:11" ht="26.4" x14ac:dyDescent="0.25">
      <c r="A507" s="7" t="s">
        <v>447</v>
      </c>
      <c r="B507" s="7"/>
      <c r="C507" s="11" t="s">
        <v>925</v>
      </c>
      <c r="D507" s="175">
        <f>D508+D509</f>
        <v>4115.6000000000004</v>
      </c>
      <c r="E507" s="175">
        <f>E508+E509+E510</f>
        <v>-1</v>
      </c>
      <c r="F507" s="175">
        <f>F508+F509+F510</f>
        <v>4114.6000000000004</v>
      </c>
      <c r="G507" s="175">
        <f>G508+G509</f>
        <v>285.7</v>
      </c>
      <c r="H507" s="407"/>
      <c r="I507" s="175">
        <f>I508+I509</f>
        <v>285.7</v>
      </c>
      <c r="J507" s="175">
        <f>J508+J509</f>
        <v>2276</v>
      </c>
      <c r="K507" s="483"/>
    </row>
    <row r="508" spans="1:11" ht="26.4" x14ac:dyDescent="0.25">
      <c r="A508" s="7"/>
      <c r="B508" s="7" t="s">
        <v>12</v>
      </c>
      <c r="C508" s="6" t="s">
        <v>11</v>
      </c>
      <c r="D508" s="9">
        <v>3976.1</v>
      </c>
      <c r="E508" s="412">
        <v>-1</v>
      </c>
      <c r="F508" s="9">
        <v>3975.1</v>
      </c>
      <c r="G508" s="9">
        <v>146.19999999999999</v>
      </c>
      <c r="H508" s="412"/>
      <c r="I508" s="9">
        <v>146.19999999999999</v>
      </c>
      <c r="J508" s="9">
        <v>2136.5</v>
      </c>
      <c r="K508" s="483"/>
    </row>
    <row r="509" spans="1:11" ht="26.4" x14ac:dyDescent="0.25">
      <c r="A509" s="7"/>
      <c r="B509" s="7" t="s">
        <v>57</v>
      </c>
      <c r="C509" s="6" t="s">
        <v>56</v>
      </c>
      <c r="D509" s="9">
        <v>139.5</v>
      </c>
      <c r="E509" s="412"/>
      <c r="F509" s="9">
        <v>139.5</v>
      </c>
      <c r="G509" s="9">
        <v>139.5</v>
      </c>
      <c r="H509" s="412"/>
      <c r="I509" s="9">
        <v>139.5</v>
      </c>
      <c r="J509" s="9">
        <v>139.5</v>
      </c>
      <c r="K509" s="483"/>
    </row>
    <row r="510" spans="1:11" x14ac:dyDescent="0.25">
      <c r="A510" s="417"/>
      <c r="B510" s="417" t="s">
        <v>22</v>
      </c>
      <c r="C510" s="6" t="s">
        <v>21</v>
      </c>
      <c r="D510" s="412">
        <v>0</v>
      </c>
      <c r="E510" s="412">
        <v>0</v>
      </c>
      <c r="F510" s="412">
        <v>0</v>
      </c>
      <c r="G510" s="412">
        <v>0</v>
      </c>
      <c r="H510" s="412"/>
      <c r="I510" s="412">
        <v>0</v>
      </c>
      <c r="J510" s="412">
        <v>0</v>
      </c>
      <c r="K510" s="483"/>
    </row>
    <row r="511" spans="1:11" ht="39.6" x14ac:dyDescent="0.25">
      <c r="A511" s="7" t="s">
        <v>445</v>
      </c>
      <c r="B511" s="7"/>
      <c r="C511" s="110" t="s">
        <v>569</v>
      </c>
      <c r="D511" s="175">
        <f t="shared" ref="D511:J511" si="131">D512</f>
        <v>617.5</v>
      </c>
      <c r="E511" s="407"/>
      <c r="F511" s="175">
        <f t="shared" si="131"/>
        <v>617.5</v>
      </c>
      <c r="G511" s="175">
        <f t="shared" si="131"/>
        <v>0</v>
      </c>
      <c r="H511" s="407"/>
      <c r="I511" s="175">
        <f t="shared" si="131"/>
        <v>0</v>
      </c>
      <c r="J511" s="175">
        <f t="shared" si="131"/>
        <v>617.5</v>
      </c>
      <c r="K511" s="483"/>
    </row>
    <row r="512" spans="1:11" ht="26.4" x14ac:dyDescent="0.25">
      <c r="A512" s="7"/>
      <c r="B512" s="7" t="s">
        <v>2</v>
      </c>
      <c r="C512" s="6" t="s">
        <v>11</v>
      </c>
      <c r="D512" s="175">
        <v>617.5</v>
      </c>
      <c r="E512" s="407"/>
      <c r="F512" s="175">
        <v>617.5</v>
      </c>
      <c r="G512" s="175">
        <v>0</v>
      </c>
      <c r="H512" s="407"/>
      <c r="I512" s="175">
        <v>0</v>
      </c>
      <c r="J512" s="175">
        <v>617.5</v>
      </c>
      <c r="K512" s="483"/>
    </row>
    <row r="513" spans="1:11" ht="26.4" x14ac:dyDescent="0.25">
      <c r="A513" s="153" t="s">
        <v>423</v>
      </c>
      <c r="B513" s="153"/>
      <c r="C513" s="164" t="s">
        <v>570</v>
      </c>
      <c r="D513" s="165">
        <f t="shared" ref="D513:J514" si="132">D514</f>
        <v>20</v>
      </c>
      <c r="E513" s="165">
        <f t="shared" si="132"/>
        <v>2.2999999999999998</v>
      </c>
      <c r="F513" s="165">
        <f t="shared" si="132"/>
        <v>22.3</v>
      </c>
      <c r="G513" s="165">
        <f t="shared" si="132"/>
        <v>20</v>
      </c>
      <c r="H513" s="406"/>
      <c r="I513" s="165">
        <f t="shared" si="132"/>
        <v>20</v>
      </c>
      <c r="J513" s="165">
        <f t="shared" si="132"/>
        <v>20</v>
      </c>
      <c r="K513" s="483"/>
    </row>
    <row r="514" spans="1:11" x14ac:dyDescent="0.25">
      <c r="A514" s="126" t="s">
        <v>421</v>
      </c>
      <c r="B514" s="127"/>
      <c r="C514" s="6" t="s">
        <v>616</v>
      </c>
      <c r="D514" s="175">
        <f t="shared" si="132"/>
        <v>20</v>
      </c>
      <c r="E514" s="175">
        <f t="shared" si="132"/>
        <v>2.2999999999999998</v>
      </c>
      <c r="F514" s="175">
        <f t="shared" si="132"/>
        <v>22.3</v>
      </c>
      <c r="G514" s="175">
        <f t="shared" si="132"/>
        <v>20</v>
      </c>
      <c r="H514" s="407"/>
      <c r="I514" s="175">
        <f t="shared" si="132"/>
        <v>20</v>
      </c>
      <c r="J514" s="175">
        <f t="shared" si="132"/>
        <v>20</v>
      </c>
      <c r="K514" s="483"/>
    </row>
    <row r="515" spans="1:11" ht="26.4" x14ac:dyDescent="0.25">
      <c r="A515" s="127"/>
      <c r="B515" s="7" t="s">
        <v>12</v>
      </c>
      <c r="C515" s="6" t="s">
        <v>11</v>
      </c>
      <c r="D515" s="175">
        <v>20</v>
      </c>
      <c r="E515" s="407">
        <v>2.2999999999999998</v>
      </c>
      <c r="F515" s="175">
        <v>22.3</v>
      </c>
      <c r="G515" s="175">
        <v>20</v>
      </c>
      <c r="H515" s="407"/>
      <c r="I515" s="175">
        <v>20</v>
      </c>
      <c r="J515" s="175">
        <v>20</v>
      </c>
      <c r="K515" s="483"/>
    </row>
    <row r="516" spans="1:11" ht="52.8" x14ac:dyDescent="0.25">
      <c r="A516" s="170" t="s">
        <v>329</v>
      </c>
      <c r="B516" s="174"/>
      <c r="C516" s="173" t="s">
        <v>571</v>
      </c>
      <c r="D516" s="255">
        <f>D517</f>
        <v>13937.974530000001</v>
      </c>
      <c r="E516" s="404"/>
      <c r="F516" s="255">
        <f>F517</f>
        <v>13937.974530000001</v>
      </c>
      <c r="G516" s="255">
        <f>G517</f>
        <v>1583.8705499999999</v>
      </c>
      <c r="H516" s="404"/>
      <c r="I516" s="255">
        <f>I517</f>
        <v>1583.8705499999999</v>
      </c>
      <c r="J516" s="255">
        <f>J517</f>
        <v>0</v>
      </c>
      <c r="K516" s="483"/>
    </row>
    <row r="517" spans="1:11" ht="26.4" x14ac:dyDescent="0.25">
      <c r="A517" s="153" t="s">
        <v>745</v>
      </c>
      <c r="B517" s="160"/>
      <c r="C517" s="154" t="s">
        <v>729</v>
      </c>
      <c r="D517" s="165">
        <f>D518+D520+D522</f>
        <v>13937.974530000001</v>
      </c>
      <c r="E517" s="406"/>
      <c r="F517" s="165">
        <f>F518+F520+F522</f>
        <v>13937.974530000001</v>
      </c>
      <c r="G517" s="165">
        <f>G518+G520+G522</f>
        <v>1583.8705499999999</v>
      </c>
      <c r="H517" s="406"/>
      <c r="I517" s="165">
        <f>I518+I520+I522</f>
        <v>1583.8705499999999</v>
      </c>
      <c r="J517" s="165">
        <f>J518+J520+J522</f>
        <v>0</v>
      </c>
      <c r="K517" s="483"/>
    </row>
    <row r="518" spans="1:11" ht="66" x14ac:dyDescent="0.25">
      <c r="A518" s="151" t="s">
        <v>706</v>
      </c>
      <c r="B518" s="151"/>
      <c r="C518" s="152" t="s">
        <v>711</v>
      </c>
      <c r="D518" s="175">
        <f>D519</f>
        <v>6893.0713400000004</v>
      </c>
      <c r="E518" s="407"/>
      <c r="F518" s="175">
        <f>F519</f>
        <v>6893.0713400000004</v>
      </c>
      <c r="G518" s="175">
        <f>G519</f>
        <v>0</v>
      </c>
      <c r="H518" s="407"/>
      <c r="I518" s="175">
        <f>I519</f>
        <v>0</v>
      </c>
      <c r="J518" s="175">
        <f>J519</f>
        <v>0</v>
      </c>
      <c r="K518" s="483"/>
    </row>
    <row r="519" spans="1:11" x14ac:dyDescent="0.25">
      <c r="A519" s="151"/>
      <c r="B519" s="151">
        <v>800</v>
      </c>
      <c r="C519" s="6" t="s">
        <v>21</v>
      </c>
      <c r="D519" s="175">
        <v>6893.0713400000004</v>
      </c>
      <c r="E519" s="407"/>
      <c r="F519" s="175">
        <v>6893.0713400000004</v>
      </c>
      <c r="G519" s="175">
        <v>0</v>
      </c>
      <c r="H519" s="407"/>
      <c r="I519" s="175">
        <v>0</v>
      </c>
      <c r="J519" s="175">
        <v>0</v>
      </c>
      <c r="K519" s="483"/>
    </row>
    <row r="520" spans="1:11" ht="52.8" x14ac:dyDescent="0.25">
      <c r="A520" s="151" t="s">
        <v>707</v>
      </c>
      <c r="B520" s="151"/>
      <c r="C520" s="152" t="s">
        <v>709</v>
      </c>
      <c r="D520" s="175">
        <f>D521</f>
        <v>4111.7108600000001</v>
      </c>
      <c r="E520" s="407"/>
      <c r="F520" s="175">
        <f>F521</f>
        <v>4111.7108600000001</v>
      </c>
      <c r="G520" s="175">
        <f>G521</f>
        <v>0</v>
      </c>
      <c r="H520" s="407"/>
      <c r="I520" s="175">
        <f>I521</f>
        <v>0</v>
      </c>
      <c r="J520" s="175">
        <f>J521</f>
        <v>0</v>
      </c>
      <c r="K520" s="483"/>
    </row>
    <row r="521" spans="1:11" x14ac:dyDescent="0.25">
      <c r="A521" s="151"/>
      <c r="B521" s="151">
        <v>800</v>
      </c>
      <c r="C521" s="6" t="s">
        <v>21</v>
      </c>
      <c r="D521" s="175">
        <v>4111.7108600000001</v>
      </c>
      <c r="E521" s="407"/>
      <c r="F521" s="175">
        <v>4111.7108600000001</v>
      </c>
      <c r="G521" s="175">
        <v>0</v>
      </c>
      <c r="H521" s="407"/>
      <c r="I521" s="175">
        <v>0</v>
      </c>
      <c r="J521" s="175">
        <v>0</v>
      </c>
      <c r="K521" s="483"/>
    </row>
    <row r="522" spans="1:11" ht="52.8" x14ac:dyDescent="0.25">
      <c r="A522" s="151" t="s">
        <v>708</v>
      </c>
      <c r="B522" s="151"/>
      <c r="C522" s="152" t="s">
        <v>710</v>
      </c>
      <c r="D522" s="175">
        <f>D523</f>
        <v>2933.1923299999999</v>
      </c>
      <c r="E522" s="407"/>
      <c r="F522" s="175">
        <f>F523</f>
        <v>2933.1923299999999</v>
      </c>
      <c r="G522" s="175">
        <f>G523</f>
        <v>1583.8705499999999</v>
      </c>
      <c r="H522" s="407"/>
      <c r="I522" s="175">
        <f>I523</f>
        <v>1583.8705499999999</v>
      </c>
      <c r="J522" s="175">
        <f>J523</f>
        <v>0</v>
      </c>
      <c r="K522" s="483"/>
    </row>
    <row r="523" spans="1:11" x14ac:dyDescent="0.25">
      <c r="A523" s="151"/>
      <c r="B523" s="151">
        <v>800</v>
      </c>
      <c r="C523" s="6" t="s">
        <v>21</v>
      </c>
      <c r="D523" s="175">
        <v>2933.1923299999999</v>
      </c>
      <c r="E523" s="407"/>
      <c r="F523" s="175">
        <v>2933.1923299999999</v>
      </c>
      <c r="G523" s="175">
        <v>1583.8705499999999</v>
      </c>
      <c r="H523" s="407"/>
      <c r="I523" s="175">
        <v>1583.8705499999999</v>
      </c>
      <c r="J523" s="175">
        <v>0</v>
      </c>
      <c r="K523" s="483"/>
    </row>
    <row r="524" spans="1:11" ht="39.6" x14ac:dyDescent="0.25">
      <c r="A524" s="170" t="s">
        <v>350</v>
      </c>
      <c r="B524" s="174"/>
      <c r="C524" s="173" t="s">
        <v>572</v>
      </c>
      <c r="D524" s="255">
        <f>D525</f>
        <v>5686.8993999999993</v>
      </c>
      <c r="E524" s="404"/>
      <c r="F524" s="255">
        <f>F525</f>
        <v>5686.8993999999993</v>
      </c>
      <c r="G524" s="255">
        <f>G525</f>
        <v>885.7</v>
      </c>
      <c r="H524" s="404"/>
      <c r="I524" s="255">
        <f>I525</f>
        <v>885.7</v>
      </c>
      <c r="J524" s="255">
        <f>J525</f>
        <v>667.9</v>
      </c>
      <c r="K524" s="483"/>
    </row>
    <row r="525" spans="1:11" ht="26.4" x14ac:dyDescent="0.25">
      <c r="A525" s="153" t="s">
        <v>349</v>
      </c>
      <c r="B525" s="160"/>
      <c r="C525" s="154" t="s">
        <v>348</v>
      </c>
      <c r="D525" s="165">
        <f>D526+D528</f>
        <v>5686.8993999999993</v>
      </c>
      <c r="E525" s="406"/>
      <c r="F525" s="165">
        <f>F526+F528</f>
        <v>5686.8993999999993</v>
      </c>
      <c r="G525" s="165">
        <f>G526+G528</f>
        <v>885.7</v>
      </c>
      <c r="H525" s="406"/>
      <c r="I525" s="165">
        <f>I526+I528</f>
        <v>885.7</v>
      </c>
      <c r="J525" s="165">
        <f>J526+J528</f>
        <v>667.9</v>
      </c>
      <c r="K525" s="483"/>
    </row>
    <row r="526" spans="1:11" x14ac:dyDescent="0.25">
      <c r="A526" s="7" t="s">
        <v>347</v>
      </c>
      <c r="B526" s="7"/>
      <c r="C526" s="6" t="s">
        <v>346</v>
      </c>
      <c r="D526" s="175">
        <f t="shared" ref="D526:J526" si="133">D527</f>
        <v>550.9</v>
      </c>
      <c r="E526" s="407"/>
      <c r="F526" s="175">
        <f t="shared" si="133"/>
        <v>550.9</v>
      </c>
      <c r="G526" s="175">
        <f t="shared" si="133"/>
        <v>0</v>
      </c>
      <c r="H526" s="407"/>
      <c r="I526" s="175">
        <f t="shared" si="133"/>
        <v>0</v>
      </c>
      <c r="J526" s="175">
        <f t="shared" si="133"/>
        <v>261</v>
      </c>
      <c r="K526" s="483"/>
    </row>
    <row r="527" spans="1:11" ht="26.4" x14ac:dyDescent="0.25">
      <c r="A527" s="7"/>
      <c r="B527" s="7" t="s">
        <v>12</v>
      </c>
      <c r="C527" s="6" t="s">
        <v>11</v>
      </c>
      <c r="D527" s="175">
        <v>550.9</v>
      </c>
      <c r="E527" s="407"/>
      <c r="F527" s="175">
        <v>550.9</v>
      </c>
      <c r="G527" s="175">
        <v>0</v>
      </c>
      <c r="H527" s="407"/>
      <c r="I527" s="175">
        <v>0</v>
      </c>
      <c r="J527" s="175">
        <v>261</v>
      </c>
      <c r="K527" s="483"/>
    </row>
    <row r="528" spans="1:11" ht="26.4" x14ac:dyDescent="0.25">
      <c r="A528" s="7" t="s">
        <v>345</v>
      </c>
      <c r="B528" s="7"/>
      <c r="C528" s="6" t="s">
        <v>344</v>
      </c>
      <c r="D528" s="175">
        <f t="shared" ref="D528:J528" si="134">D529</f>
        <v>5135.9993999999997</v>
      </c>
      <c r="E528" s="407"/>
      <c r="F528" s="175">
        <f t="shared" si="134"/>
        <v>5135.9993999999997</v>
      </c>
      <c r="G528" s="175">
        <f t="shared" si="134"/>
        <v>885.7</v>
      </c>
      <c r="H528" s="407"/>
      <c r="I528" s="175">
        <f t="shared" si="134"/>
        <v>885.7</v>
      </c>
      <c r="J528" s="175">
        <f t="shared" si="134"/>
        <v>406.9</v>
      </c>
      <c r="K528" s="483"/>
    </row>
    <row r="529" spans="1:11" ht="26.4" x14ac:dyDescent="0.25">
      <c r="A529" s="7"/>
      <c r="B529" s="7" t="s">
        <v>12</v>
      </c>
      <c r="C529" s="6" t="s">
        <v>11</v>
      </c>
      <c r="D529" s="175">
        <f>D530+D531</f>
        <v>5135.9993999999997</v>
      </c>
      <c r="E529" s="407"/>
      <c r="F529" s="175">
        <f>F530+F531</f>
        <v>5135.9993999999997</v>
      </c>
      <c r="G529" s="175">
        <f>G530+G531</f>
        <v>885.7</v>
      </c>
      <c r="H529" s="407"/>
      <c r="I529" s="175">
        <f>I530+I531</f>
        <v>885.7</v>
      </c>
      <c r="J529" s="175">
        <f>J530+J531</f>
        <v>406.9</v>
      </c>
      <c r="K529" s="483"/>
    </row>
    <row r="530" spans="1:11" x14ac:dyDescent="0.25">
      <c r="A530" s="7"/>
      <c r="B530" s="7"/>
      <c r="C530" s="99" t="s">
        <v>301</v>
      </c>
      <c r="D530" s="175">
        <v>4365.5994899999996</v>
      </c>
      <c r="E530" s="407"/>
      <c r="F530" s="175">
        <v>4365.5994899999996</v>
      </c>
      <c r="G530" s="175">
        <v>0</v>
      </c>
      <c r="H530" s="407"/>
      <c r="I530" s="175">
        <v>0</v>
      </c>
      <c r="J530" s="175">
        <v>0</v>
      </c>
      <c r="K530" s="483"/>
    </row>
    <row r="531" spans="1:11" x14ac:dyDescent="0.25">
      <c r="A531" s="7"/>
      <c r="B531" s="7"/>
      <c r="C531" s="6" t="s">
        <v>330</v>
      </c>
      <c r="D531" s="175">
        <v>770.39990999999998</v>
      </c>
      <c r="E531" s="407"/>
      <c r="F531" s="175">
        <v>770.39990999999998</v>
      </c>
      <c r="G531" s="175">
        <v>885.7</v>
      </c>
      <c r="H531" s="407"/>
      <c r="I531" s="175">
        <v>885.7</v>
      </c>
      <c r="J531" s="175">
        <v>406.9</v>
      </c>
      <c r="K531" s="483"/>
    </row>
    <row r="532" spans="1:11" s="1" customFormat="1" ht="14.4" x14ac:dyDescent="0.3">
      <c r="A532" s="170" t="s">
        <v>18</v>
      </c>
      <c r="B532" s="170"/>
      <c r="C532" s="173" t="s">
        <v>17</v>
      </c>
      <c r="D532" s="255">
        <f t="shared" ref="D532:J532" si="135">D533+D539</f>
        <v>100548.40224000001</v>
      </c>
      <c r="E532" s="255">
        <f t="shared" si="135"/>
        <v>2602.1</v>
      </c>
      <c r="F532" s="255">
        <f>F533+F539</f>
        <v>103150.50224</v>
      </c>
      <c r="G532" s="255">
        <f t="shared" si="135"/>
        <v>80419.673309999969</v>
      </c>
      <c r="H532" s="255">
        <f t="shared" si="135"/>
        <v>844.3</v>
      </c>
      <c r="I532" s="255">
        <f>I533+I539</f>
        <v>81263.973309999972</v>
      </c>
      <c r="J532" s="255">
        <f t="shared" si="135"/>
        <v>82376.074609999981</v>
      </c>
      <c r="K532" s="227"/>
    </row>
    <row r="533" spans="1:11" s="1" customFormat="1" ht="40.200000000000003" x14ac:dyDescent="0.3">
      <c r="A533" s="14" t="s">
        <v>50</v>
      </c>
      <c r="B533" s="45"/>
      <c r="C533" s="13" t="s">
        <v>49</v>
      </c>
      <c r="D533" s="257">
        <f t="shared" ref="D533:J533" si="136">D534+D536</f>
        <v>3687.2</v>
      </c>
      <c r="E533" s="414"/>
      <c r="F533" s="257">
        <f>F534+F536</f>
        <v>3687.2</v>
      </c>
      <c r="G533" s="257">
        <f t="shared" si="136"/>
        <v>3789.9</v>
      </c>
      <c r="H533" s="414"/>
      <c r="I533" s="257">
        <f>I534+I536</f>
        <v>3789.9</v>
      </c>
      <c r="J533" s="257">
        <f t="shared" si="136"/>
        <v>3793</v>
      </c>
      <c r="K533" s="227"/>
    </row>
    <row r="534" spans="1:11" s="1" customFormat="1" ht="27" x14ac:dyDescent="0.3">
      <c r="A534" s="7" t="s">
        <v>48</v>
      </c>
      <c r="B534" s="7"/>
      <c r="C534" s="6" t="s">
        <v>47</v>
      </c>
      <c r="D534" s="175">
        <f t="shared" ref="D534:J534" si="137">D535</f>
        <v>1164</v>
      </c>
      <c r="E534" s="407"/>
      <c r="F534" s="175">
        <f t="shared" si="137"/>
        <v>1164</v>
      </c>
      <c r="G534" s="175">
        <f t="shared" si="137"/>
        <v>1164</v>
      </c>
      <c r="H534" s="407"/>
      <c r="I534" s="175">
        <f t="shared" si="137"/>
        <v>1164</v>
      </c>
      <c r="J534" s="175">
        <f t="shared" si="137"/>
        <v>1164</v>
      </c>
      <c r="K534" s="227"/>
    </row>
    <row r="535" spans="1:11" s="1" customFormat="1" ht="66.599999999999994" x14ac:dyDescent="0.3">
      <c r="A535" s="7"/>
      <c r="B535" s="7" t="s">
        <v>2</v>
      </c>
      <c r="C535" s="6" t="s">
        <v>1</v>
      </c>
      <c r="D535" s="175">
        <v>1164</v>
      </c>
      <c r="E535" s="407"/>
      <c r="F535" s="175">
        <v>1164</v>
      </c>
      <c r="G535" s="175">
        <v>1164</v>
      </c>
      <c r="H535" s="407"/>
      <c r="I535" s="175">
        <v>1164</v>
      </c>
      <c r="J535" s="175">
        <v>1164</v>
      </c>
      <c r="K535" s="227"/>
    </row>
    <row r="536" spans="1:11" s="1" customFormat="1" ht="27" x14ac:dyDescent="0.3">
      <c r="A536" s="7" t="s">
        <v>46</v>
      </c>
      <c r="B536" s="7"/>
      <c r="C536" s="11" t="s">
        <v>45</v>
      </c>
      <c r="D536" s="175">
        <f>D537+D538</f>
        <v>2523.1999999999998</v>
      </c>
      <c r="E536" s="407"/>
      <c r="F536" s="175">
        <f>F537+F538</f>
        <v>2523.1999999999998</v>
      </c>
      <c r="G536" s="175">
        <f>G537+G538</f>
        <v>2625.9</v>
      </c>
      <c r="H536" s="407"/>
      <c r="I536" s="175">
        <f>I537+I538</f>
        <v>2625.9</v>
      </c>
      <c r="J536" s="175">
        <f>J537+J538</f>
        <v>2629</v>
      </c>
      <c r="K536" s="227"/>
    </row>
    <row r="537" spans="1:11" s="1" customFormat="1" ht="66.599999999999994" x14ac:dyDescent="0.3">
      <c r="A537" s="7"/>
      <c r="B537" s="7" t="s">
        <v>2</v>
      </c>
      <c r="C537" s="6" t="s">
        <v>1</v>
      </c>
      <c r="D537" s="175">
        <v>2465.6999999999998</v>
      </c>
      <c r="E537" s="407"/>
      <c r="F537" s="175">
        <v>2465.6999999999998</v>
      </c>
      <c r="G537" s="175">
        <v>2571.5</v>
      </c>
      <c r="H537" s="407"/>
      <c r="I537" s="175">
        <v>2571.5</v>
      </c>
      <c r="J537" s="175">
        <v>2571.5</v>
      </c>
      <c r="K537" s="227"/>
    </row>
    <row r="538" spans="1:11" s="1" customFormat="1" ht="27" x14ac:dyDescent="0.3">
      <c r="A538" s="7"/>
      <c r="B538" s="7" t="s">
        <v>12</v>
      </c>
      <c r="C538" s="6" t="s">
        <v>11</v>
      </c>
      <c r="D538" s="175">
        <v>57.5</v>
      </c>
      <c r="E538" s="407"/>
      <c r="F538" s="175">
        <v>57.5</v>
      </c>
      <c r="G538" s="175">
        <v>54.4</v>
      </c>
      <c r="H538" s="407"/>
      <c r="I538" s="175">
        <v>54.4</v>
      </c>
      <c r="J538" s="175">
        <v>57.5</v>
      </c>
      <c r="K538" s="227"/>
    </row>
    <row r="539" spans="1:11" s="1" customFormat="1" ht="53.4" x14ac:dyDescent="0.3">
      <c r="A539" s="14" t="s">
        <v>16</v>
      </c>
      <c r="B539" s="14"/>
      <c r="C539" s="13" t="s">
        <v>15</v>
      </c>
      <c r="D539" s="257">
        <f>D540+D543+D547+D558+D562+D589+D577+D579+D598+D596+D594+D550+D552+D554+D556+D585+D587+D565+D567+D581+D583+D573+D569+D571+D591+D575</f>
        <v>96861.202240000013</v>
      </c>
      <c r="E539" s="257">
        <f t="shared" ref="E539:F539" si="138">E540+E543+E547+E558+E562+E589+E577+E579+E598+E596+E594+E550+E552+E554+E556+E585+E587+E565+E567+E581+E583+E573+E569+E571+E591+E575</f>
        <v>2602.1</v>
      </c>
      <c r="F539" s="257">
        <f t="shared" si="138"/>
        <v>99463.302240000005</v>
      </c>
      <c r="G539" s="257">
        <f t="shared" ref="G539:J539" si="139">G540+G543+G547+G558+G562+G589+G577+G579+G598+G596+G594+G550+G552+G554+G556+G585+G587+G565+G567+G581+G583+G573+G569+G571+G591</f>
        <v>76629.773309999975</v>
      </c>
      <c r="H539" s="257">
        <f t="shared" si="139"/>
        <v>844.3</v>
      </c>
      <c r="I539" s="257">
        <f t="shared" si="139"/>
        <v>77474.073309999978</v>
      </c>
      <c r="J539" s="257">
        <f t="shared" si="139"/>
        <v>78583.074609999981</v>
      </c>
      <c r="K539" s="227"/>
    </row>
    <row r="540" spans="1:11" s="1" customFormat="1" ht="27" x14ac:dyDescent="0.3">
      <c r="A540" s="7" t="s">
        <v>941</v>
      </c>
      <c r="B540" s="7"/>
      <c r="C540" s="6" t="s">
        <v>942</v>
      </c>
      <c r="D540" s="176">
        <f>D541+D542</f>
        <v>0</v>
      </c>
      <c r="E540" s="176">
        <f>E541+E542</f>
        <v>293.7</v>
      </c>
      <c r="F540" s="176">
        <f>F541+F542</f>
        <v>293.7</v>
      </c>
      <c r="G540" s="176">
        <v>0</v>
      </c>
      <c r="H540" s="408"/>
      <c r="I540" s="176">
        <v>0</v>
      </c>
      <c r="J540" s="176">
        <v>0</v>
      </c>
      <c r="K540" s="227"/>
    </row>
    <row r="541" spans="1:11" s="1" customFormat="1" ht="27" x14ac:dyDescent="0.3">
      <c r="A541" s="60"/>
      <c r="B541" s="7" t="s">
        <v>12</v>
      </c>
      <c r="C541" s="6" t="s">
        <v>11</v>
      </c>
      <c r="D541" s="175">
        <v>0</v>
      </c>
      <c r="E541" s="407">
        <v>133.5</v>
      </c>
      <c r="F541" s="175">
        <v>133.5</v>
      </c>
      <c r="G541" s="175">
        <v>0</v>
      </c>
      <c r="H541" s="407"/>
      <c r="I541" s="175">
        <v>0</v>
      </c>
      <c r="J541" s="175">
        <v>0</v>
      </c>
      <c r="K541" s="227"/>
    </row>
    <row r="542" spans="1:11" s="1" customFormat="1" ht="27" x14ac:dyDescent="0.3">
      <c r="A542" s="488"/>
      <c r="B542" s="477" t="s">
        <v>57</v>
      </c>
      <c r="C542" s="6" t="s">
        <v>56</v>
      </c>
      <c r="D542" s="480">
        <v>0</v>
      </c>
      <c r="E542" s="480">
        <v>160.19999999999999</v>
      </c>
      <c r="F542" s="480">
        <v>160.19999999999999</v>
      </c>
      <c r="G542" s="480">
        <v>0</v>
      </c>
      <c r="H542" s="480"/>
      <c r="I542" s="480">
        <v>0</v>
      </c>
      <c r="J542" s="480">
        <v>0</v>
      </c>
      <c r="K542" s="227"/>
    </row>
    <row r="543" spans="1:11" s="1" customFormat="1" ht="27" x14ac:dyDescent="0.3">
      <c r="A543" s="7" t="s">
        <v>343</v>
      </c>
      <c r="B543" s="7"/>
      <c r="C543" s="6" t="s">
        <v>342</v>
      </c>
      <c r="D543" s="176">
        <f>D544+D545+D546</f>
        <v>3554.2999999999997</v>
      </c>
      <c r="E543" s="408"/>
      <c r="F543" s="176">
        <f>F544+F545+F546</f>
        <v>3554.2999999999997</v>
      </c>
      <c r="G543" s="176">
        <f>G544+G545+G546</f>
        <v>3825.6</v>
      </c>
      <c r="H543" s="408"/>
      <c r="I543" s="176">
        <f>I544+I545+I546</f>
        <v>3825.6</v>
      </c>
      <c r="J543" s="176">
        <f>J544+J545+J546</f>
        <v>3825.6</v>
      </c>
      <c r="K543" s="227"/>
    </row>
    <row r="544" spans="1:11" s="1" customFormat="1" ht="66.599999999999994" x14ac:dyDescent="0.3">
      <c r="A544" s="60"/>
      <c r="B544" s="7" t="s">
        <v>2</v>
      </c>
      <c r="C544" s="6" t="s">
        <v>1</v>
      </c>
      <c r="D544" s="175">
        <v>3431.5</v>
      </c>
      <c r="E544" s="407"/>
      <c r="F544" s="175">
        <v>3431.5</v>
      </c>
      <c r="G544" s="175">
        <v>3702.8</v>
      </c>
      <c r="H544" s="407"/>
      <c r="I544" s="175">
        <v>3702.8</v>
      </c>
      <c r="J544" s="175">
        <v>3702.8</v>
      </c>
      <c r="K544" s="227"/>
    </row>
    <row r="545" spans="1:11" s="1" customFormat="1" ht="27" x14ac:dyDescent="0.3">
      <c r="A545" s="60"/>
      <c r="B545" s="7" t="s">
        <v>12</v>
      </c>
      <c r="C545" s="6" t="s">
        <v>11</v>
      </c>
      <c r="D545" s="175">
        <v>120.6</v>
      </c>
      <c r="E545" s="407"/>
      <c r="F545" s="175">
        <v>120.6</v>
      </c>
      <c r="G545" s="175">
        <v>120.6</v>
      </c>
      <c r="H545" s="407"/>
      <c r="I545" s="175">
        <v>120.6</v>
      </c>
      <c r="J545" s="175">
        <v>120.6</v>
      </c>
      <c r="K545" s="227"/>
    </row>
    <row r="546" spans="1:11" s="1" customFormat="1" ht="14.4" x14ac:dyDescent="0.3">
      <c r="A546" s="60"/>
      <c r="B546" s="54" t="s">
        <v>22</v>
      </c>
      <c r="C546" s="97" t="s">
        <v>21</v>
      </c>
      <c r="D546" s="175">
        <v>2.2000000000000002</v>
      </c>
      <c r="E546" s="407"/>
      <c r="F546" s="175">
        <v>2.2000000000000002</v>
      </c>
      <c r="G546" s="175">
        <v>2.2000000000000002</v>
      </c>
      <c r="H546" s="407"/>
      <c r="I546" s="175">
        <v>2.2000000000000002</v>
      </c>
      <c r="J546" s="175">
        <v>2.2000000000000002</v>
      </c>
      <c r="K546" s="227"/>
    </row>
    <row r="547" spans="1:11" s="1" customFormat="1" ht="27" x14ac:dyDescent="0.3">
      <c r="A547" s="7" t="s">
        <v>14</v>
      </c>
      <c r="B547" s="7"/>
      <c r="C547" s="11" t="s">
        <v>13</v>
      </c>
      <c r="D547" s="175">
        <f>D548+D549</f>
        <v>20725.899999999998</v>
      </c>
      <c r="E547" s="407"/>
      <c r="F547" s="175">
        <f>F548+F549</f>
        <v>20725.899999999998</v>
      </c>
      <c r="G547" s="175">
        <f>G548+G549</f>
        <v>20864</v>
      </c>
      <c r="H547" s="407"/>
      <c r="I547" s="175">
        <f>I548+I549</f>
        <v>20864</v>
      </c>
      <c r="J547" s="175">
        <f>J548+J549</f>
        <v>20916.099999999999</v>
      </c>
      <c r="K547" s="227"/>
    </row>
    <row r="548" spans="1:11" s="1" customFormat="1" ht="66.599999999999994" x14ac:dyDescent="0.3">
      <c r="A548" s="7"/>
      <c r="B548" s="7" t="s">
        <v>2</v>
      </c>
      <c r="C548" s="6" t="s">
        <v>1</v>
      </c>
      <c r="D548" s="175">
        <v>19740.599999999999</v>
      </c>
      <c r="E548" s="407"/>
      <c r="F548" s="175">
        <v>19740.599999999999</v>
      </c>
      <c r="G548" s="248">
        <v>19966.5</v>
      </c>
      <c r="H548" s="407"/>
      <c r="I548" s="248">
        <v>19966.5</v>
      </c>
      <c r="J548" s="248">
        <v>19966.5</v>
      </c>
      <c r="K548" s="227"/>
    </row>
    <row r="549" spans="1:11" s="1" customFormat="1" ht="27" x14ac:dyDescent="0.3">
      <c r="A549" s="7"/>
      <c r="B549" s="7" t="s">
        <v>12</v>
      </c>
      <c r="C549" s="6" t="s">
        <v>11</v>
      </c>
      <c r="D549" s="175">
        <v>985.3</v>
      </c>
      <c r="E549" s="407"/>
      <c r="F549" s="175">
        <v>985.3</v>
      </c>
      <c r="G549" s="175">
        <v>897.5</v>
      </c>
      <c r="H549" s="407"/>
      <c r="I549" s="175">
        <v>897.5</v>
      </c>
      <c r="J549" s="175">
        <v>949.6</v>
      </c>
      <c r="K549" s="227"/>
    </row>
    <row r="550" spans="1:11" s="1" customFormat="1" ht="66.599999999999994" x14ac:dyDescent="0.3">
      <c r="A550" s="7" t="s">
        <v>10</v>
      </c>
      <c r="B550" s="7"/>
      <c r="C550" s="6" t="s">
        <v>9</v>
      </c>
      <c r="D550" s="175">
        <f t="shared" ref="D550:J550" si="140">D551</f>
        <v>122.9</v>
      </c>
      <c r="E550" s="407"/>
      <c r="F550" s="175">
        <f t="shared" si="140"/>
        <v>122.9</v>
      </c>
      <c r="G550" s="175">
        <f t="shared" si="140"/>
        <v>113.6</v>
      </c>
      <c r="H550" s="407"/>
      <c r="I550" s="175">
        <f t="shared" si="140"/>
        <v>113.6</v>
      </c>
      <c r="J550" s="175">
        <f t="shared" si="140"/>
        <v>116.9</v>
      </c>
      <c r="K550" s="227"/>
    </row>
    <row r="551" spans="1:11" s="1" customFormat="1" ht="66.599999999999994" x14ac:dyDescent="0.3">
      <c r="A551" s="7"/>
      <c r="B551" s="7" t="s">
        <v>2</v>
      </c>
      <c r="C551" s="6" t="s">
        <v>1</v>
      </c>
      <c r="D551" s="9">
        <v>122.9</v>
      </c>
      <c r="E551" s="412"/>
      <c r="F551" s="9">
        <v>122.9</v>
      </c>
      <c r="G551" s="9">
        <v>113.6</v>
      </c>
      <c r="H551" s="412"/>
      <c r="I551" s="9">
        <v>113.6</v>
      </c>
      <c r="J551" s="9">
        <v>116.9</v>
      </c>
      <c r="K551" s="227"/>
    </row>
    <row r="552" spans="1:11" s="1" customFormat="1" ht="40.200000000000003" x14ac:dyDescent="0.3">
      <c r="A552" s="7" t="s">
        <v>8</v>
      </c>
      <c r="B552" s="7"/>
      <c r="C552" s="6" t="s">
        <v>7</v>
      </c>
      <c r="D552" s="175">
        <f t="shared" ref="D552:J552" si="141">D553</f>
        <v>101.11799999999999</v>
      </c>
      <c r="E552" s="407"/>
      <c r="F552" s="175">
        <f t="shared" si="141"/>
        <v>101.11799999999999</v>
      </c>
      <c r="G552" s="175">
        <f t="shared" si="141"/>
        <v>107.849</v>
      </c>
      <c r="H552" s="407"/>
      <c r="I552" s="175">
        <f t="shared" si="141"/>
        <v>107.849</v>
      </c>
      <c r="J552" s="175">
        <f t="shared" si="141"/>
        <v>110.438</v>
      </c>
      <c r="K552" s="227"/>
    </row>
    <row r="553" spans="1:11" s="1" customFormat="1" ht="66.599999999999994" x14ac:dyDescent="0.3">
      <c r="A553" s="7"/>
      <c r="B553" s="7" t="s">
        <v>2</v>
      </c>
      <c r="C553" s="6" t="s">
        <v>1</v>
      </c>
      <c r="D553" s="175">
        <v>101.11799999999999</v>
      </c>
      <c r="E553" s="407"/>
      <c r="F553" s="175">
        <v>101.11799999999999</v>
      </c>
      <c r="G553" s="175">
        <v>107.849</v>
      </c>
      <c r="H553" s="407"/>
      <c r="I553" s="175">
        <v>107.849</v>
      </c>
      <c r="J553" s="175">
        <v>110.438</v>
      </c>
      <c r="K553" s="227"/>
    </row>
    <row r="554" spans="1:11" s="1" customFormat="1" ht="66.599999999999994" x14ac:dyDescent="0.3">
      <c r="A554" s="7" t="s">
        <v>6</v>
      </c>
      <c r="B554" s="7"/>
      <c r="C554" s="6" t="s">
        <v>5</v>
      </c>
      <c r="D554" s="175">
        <f t="shared" ref="D554:J554" si="142">D555</f>
        <v>7134.8892400000004</v>
      </c>
      <c r="E554" s="407"/>
      <c r="F554" s="175">
        <f t="shared" si="142"/>
        <v>7134.8892400000004</v>
      </c>
      <c r="G554" s="175">
        <f t="shared" si="142"/>
        <v>6941.7293100000006</v>
      </c>
      <c r="H554" s="407"/>
      <c r="I554" s="175">
        <f t="shared" si="142"/>
        <v>6941.7293100000006</v>
      </c>
      <c r="J554" s="175">
        <f t="shared" si="142"/>
        <v>6762.8416099999995</v>
      </c>
      <c r="K554" s="227"/>
    </row>
    <row r="555" spans="1:11" s="1" customFormat="1" ht="66.599999999999994" x14ac:dyDescent="0.3">
      <c r="A555" s="7"/>
      <c r="B555" s="7" t="s">
        <v>2</v>
      </c>
      <c r="C555" s="6" t="s">
        <v>1</v>
      </c>
      <c r="D555" s="175">
        <f>2483.9144+4650.97484</f>
        <v>7134.8892400000004</v>
      </c>
      <c r="E555" s="407"/>
      <c r="F555" s="175">
        <f>2483.9144+4650.97484</f>
        <v>7134.8892400000004</v>
      </c>
      <c r="G555" s="175">
        <f>2372.5592+4569.17011</f>
        <v>6941.7293100000006</v>
      </c>
      <c r="H555" s="407"/>
      <c r="I555" s="175">
        <f>2372.5592+4569.17011</f>
        <v>6941.7293100000006</v>
      </c>
      <c r="J555" s="175">
        <f>2342.9274+4419.91421</f>
        <v>6762.8416099999995</v>
      </c>
      <c r="K555" s="227"/>
    </row>
    <row r="556" spans="1:11" s="1" customFormat="1" ht="93" x14ac:dyDescent="0.3">
      <c r="A556" s="7" t="s">
        <v>4</v>
      </c>
      <c r="B556" s="7"/>
      <c r="C556" s="6" t="s">
        <v>3</v>
      </c>
      <c r="D556" s="175">
        <f t="shared" ref="D556:J556" si="143">D557</f>
        <v>266.09500000000003</v>
      </c>
      <c r="E556" s="407"/>
      <c r="F556" s="175">
        <f t="shared" si="143"/>
        <v>266.09500000000003</v>
      </c>
      <c r="G556" s="175">
        <f t="shared" si="143"/>
        <v>266.09500000000003</v>
      </c>
      <c r="H556" s="407"/>
      <c r="I556" s="175">
        <f t="shared" si="143"/>
        <v>266.09500000000003</v>
      </c>
      <c r="J556" s="175">
        <f t="shared" si="143"/>
        <v>266.09500000000003</v>
      </c>
      <c r="K556" s="227"/>
    </row>
    <row r="557" spans="1:11" s="1" customFormat="1" ht="66.599999999999994" x14ac:dyDescent="0.3">
      <c r="A557" s="7"/>
      <c r="B557" s="7" t="s">
        <v>2</v>
      </c>
      <c r="C557" s="6" t="s">
        <v>1</v>
      </c>
      <c r="D557" s="176">
        <v>266.09500000000003</v>
      </c>
      <c r="E557" s="408"/>
      <c r="F557" s="176">
        <v>266.09500000000003</v>
      </c>
      <c r="G557" s="176">
        <v>266.09500000000003</v>
      </c>
      <c r="H557" s="408"/>
      <c r="I557" s="176">
        <v>266.09500000000003</v>
      </c>
      <c r="J557" s="176">
        <v>266.09500000000003</v>
      </c>
      <c r="K557" s="227"/>
    </row>
    <row r="558" spans="1:11" s="1" customFormat="1" ht="27" x14ac:dyDescent="0.3">
      <c r="A558" s="7" t="s">
        <v>480</v>
      </c>
      <c r="B558" s="7"/>
      <c r="C558" s="6" t="s">
        <v>634</v>
      </c>
      <c r="D558" s="176">
        <f t="shared" ref="D558:J558" si="144">D559+D560+D561</f>
        <v>46886.3</v>
      </c>
      <c r="E558" s="176">
        <f t="shared" si="144"/>
        <v>226.2</v>
      </c>
      <c r="F558" s="176">
        <f t="shared" si="144"/>
        <v>47112.500000000007</v>
      </c>
      <c r="G558" s="176">
        <f t="shared" si="144"/>
        <v>43234.2</v>
      </c>
      <c r="H558" s="176">
        <f t="shared" si="144"/>
        <v>844.3</v>
      </c>
      <c r="I558" s="176">
        <f t="shared" si="144"/>
        <v>44078.499999999993</v>
      </c>
      <c r="J558" s="176">
        <f t="shared" si="144"/>
        <v>44558.400000000001</v>
      </c>
      <c r="K558" s="227"/>
    </row>
    <row r="559" spans="1:11" s="1" customFormat="1" ht="66.599999999999994" x14ac:dyDescent="0.3">
      <c r="A559" s="7"/>
      <c r="B559" s="7" t="s">
        <v>2</v>
      </c>
      <c r="C559" s="6" t="s">
        <v>1</v>
      </c>
      <c r="D559" s="175">
        <v>22909.4</v>
      </c>
      <c r="E559" s="407"/>
      <c r="F559" s="175">
        <v>22909.4</v>
      </c>
      <c r="G559" s="175">
        <v>22967.1</v>
      </c>
      <c r="H559" s="407"/>
      <c r="I559" s="175">
        <v>22967.1</v>
      </c>
      <c r="J559" s="175">
        <v>22967.1</v>
      </c>
      <c r="K559" s="227"/>
    </row>
    <row r="560" spans="1:11" s="1" customFormat="1" ht="27" x14ac:dyDescent="0.3">
      <c r="A560" s="7"/>
      <c r="B560" s="7" t="s">
        <v>12</v>
      </c>
      <c r="C560" s="6" t="s">
        <v>11</v>
      </c>
      <c r="D560" s="175">
        <f>21675.2+1787.9+101.7</f>
        <v>23564.800000000003</v>
      </c>
      <c r="E560" s="407">
        <f>68.2+158</f>
        <v>226.2</v>
      </c>
      <c r="F560" s="175">
        <f>21675.2+1787.9+101.7+68.2+158</f>
        <v>23791.000000000004</v>
      </c>
      <c r="G560" s="175">
        <v>19855</v>
      </c>
      <c r="H560" s="407">
        <v>844.3</v>
      </c>
      <c r="I560" s="175">
        <f>G560+844.3</f>
        <v>20699.3</v>
      </c>
      <c r="J560" s="175">
        <v>21179.200000000001</v>
      </c>
      <c r="K560" s="227"/>
    </row>
    <row r="561" spans="1:11" s="1" customFormat="1" ht="14.4" x14ac:dyDescent="0.3">
      <c r="A561" s="7"/>
      <c r="B561" s="7" t="s">
        <v>22</v>
      </c>
      <c r="C561" s="6" t="s">
        <v>21</v>
      </c>
      <c r="D561" s="175">
        <v>412.1</v>
      </c>
      <c r="E561" s="407"/>
      <c r="F561" s="175">
        <v>412.1</v>
      </c>
      <c r="G561" s="175">
        <v>412.1</v>
      </c>
      <c r="H561" s="407"/>
      <c r="I561" s="175">
        <v>412.1</v>
      </c>
      <c r="J561" s="175">
        <v>412.1</v>
      </c>
      <c r="K561" s="227"/>
    </row>
    <row r="562" spans="1:11" s="1" customFormat="1" ht="14.4" x14ac:dyDescent="0.3">
      <c r="A562" s="54" t="s">
        <v>478</v>
      </c>
      <c r="B562" s="54"/>
      <c r="C562" s="6" t="s">
        <v>477</v>
      </c>
      <c r="D562" s="175">
        <f>D563+D564</f>
        <v>1105.5999999999999</v>
      </c>
      <c r="E562" s="407">
        <f>E563+E564</f>
        <v>1244.8</v>
      </c>
      <c r="F562" s="175">
        <f>F563+F564</f>
        <v>2350.3999999999996</v>
      </c>
      <c r="G562" s="175">
        <v>0</v>
      </c>
      <c r="H562" s="407"/>
      <c r="I562" s="175">
        <v>0</v>
      </c>
      <c r="J562" s="175">
        <v>0</v>
      </c>
      <c r="K562" s="227"/>
    </row>
    <row r="563" spans="1:11" s="1" customFormat="1" ht="27" x14ac:dyDescent="0.3">
      <c r="A563" s="54"/>
      <c r="B563" s="54" t="s">
        <v>12</v>
      </c>
      <c r="C563" s="6" t="s">
        <v>11</v>
      </c>
      <c r="D563" s="175">
        <v>1105.5999999999999</v>
      </c>
      <c r="E563" s="407"/>
      <c r="F563" s="175">
        <v>1105.5999999999999</v>
      </c>
      <c r="G563" s="175">
        <v>0</v>
      </c>
      <c r="H563" s="407"/>
      <c r="I563" s="175">
        <v>0</v>
      </c>
      <c r="J563" s="175">
        <v>0</v>
      </c>
      <c r="K563" s="227"/>
    </row>
    <row r="564" spans="1:11" s="1" customFormat="1" ht="27" x14ac:dyDescent="0.3">
      <c r="A564" s="202"/>
      <c r="B564" s="202" t="s">
        <v>57</v>
      </c>
      <c r="C564" s="6" t="s">
        <v>56</v>
      </c>
      <c r="D564" s="211">
        <v>0</v>
      </c>
      <c r="E564" s="407">
        <f>547.3+600+97.5</f>
        <v>1244.8</v>
      </c>
      <c r="F564" s="211">
        <v>1244.8</v>
      </c>
      <c r="G564" s="211">
        <v>0</v>
      </c>
      <c r="H564" s="407"/>
      <c r="I564" s="211">
        <v>0</v>
      </c>
      <c r="J564" s="211">
        <v>0</v>
      </c>
      <c r="K564" s="227"/>
    </row>
    <row r="565" spans="1:11" s="1" customFormat="1" ht="27" x14ac:dyDescent="0.3">
      <c r="A565" s="187" t="s">
        <v>640</v>
      </c>
      <c r="B565" s="195"/>
      <c r="C565" s="198" t="s">
        <v>638</v>
      </c>
      <c r="D565" s="175">
        <f>D566</f>
        <v>540</v>
      </c>
      <c r="E565" s="175">
        <f>E566</f>
        <v>-155</v>
      </c>
      <c r="F565" s="175">
        <f>F566</f>
        <v>385</v>
      </c>
      <c r="G565" s="175">
        <v>0</v>
      </c>
      <c r="H565" s="407"/>
      <c r="I565" s="175">
        <v>0</v>
      </c>
      <c r="J565" s="175">
        <v>0</v>
      </c>
      <c r="K565" s="227"/>
    </row>
    <row r="566" spans="1:11" s="1" customFormat="1" ht="27" x14ac:dyDescent="0.3">
      <c r="A566" s="196"/>
      <c r="B566" s="187" t="s">
        <v>57</v>
      </c>
      <c r="C566" s="197" t="s">
        <v>56</v>
      </c>
      <c r="D566" s="175">
        <v>540</v>
      </c>
      <c r="E566" s="407">
        <v>-155</v>
      </c>
      <c r="F566" s="175">
        <f>540-155</f>
        <v>385</v>
      </c>
      <c r="G566" s="175">
        <v>0</v>
      </c>
      <c r="H566" s="407"/>
      <c r="I566" s="175">
        <v>0</v>
      </c>
      <c r="J566" s="175">
        <v>0</v>
      </c>
      <c r="K566" s="227"/>
    </row>
    <row r="567" spans="1:11" s="1" customFormat="1" ht="14.4" x14ac:dyDescent="0.3">
      <c r="A567" s="187" t="s">
        <v>767</v>
      </c>
      <c r="B567" s="264"/>
      <c r="C567" s="286" t="s">
        <v>776</v>
      </c>
      <c r="D567" s="248">
        <f>D568</f>
        <v>465.1</v>
      </c>
      <c r="E567" s="407"/>
      <c r="F567" s="248">
        <f>F568</f>
        <v>465.1</v>
      </c>
      <c r="G567" s="248">
        <v>0</v>
      </c>
      <c r="H567" s="407"/>
      <c r="I567" s="248">
        <v>0</v>
      </c>
      <c r="J567" s="248">
        <v>0</v>
      </c>
      <c r="K567" s="227"/>
    </row>
    <row r="568" spans="1:11" s="1" customFormat="1" ht="27" x14ac:dyDescent="0.3">
      <c r="A568" s="263"/>
      <c r="B568" s="187" t="s">
        <v>57</v>
      </c>
      <c r="C568" s="197" t="s">
        <v>56</v>
      </c>
      <c r="D568" s="248">
        <v>465.1</v>
      </c>
      <c r="E568" s="407"/>
      <c r="F568" s="248">
        <v>465.1</v>
      </c>
      <c r="G568" s="248">
        <v>0</v>
      </c>
      <c r="H568" s="407"/>
      <c r="I568" s="248">
        <v>0</v>
      </c>
      <c r="J568" s="248">
        <v>0</v>
      </c>
      <c r="K568" s="227"/>
    </row>
    <row r="569" spans="1:11" s="1" customFormat="1" ht="40.200000000000003" x14ac:dyDescent="0.3">
      <c r="A569" s="187" t="s">
        <v>889</v>
      </c>
      <c r="B569" s="264"/>
      <c r="C569" s="286" t="s">
        <v>891</v>
      </c>
      <c r="D569" s="378">
        <f>D570</f>
        <v>1105.7</v>
      </c>
      <c r="E569" s="407"/>
      <c r="F569" s="378">
        <f>F570</f>
        <v>1105.7</v>
      </c>
      <c r="G569" s="378">
        <v>0</v>
      </c>
      <c r="H569" s="407"/>
      <c r="I569" s="378">
        <v>0</v>
      </c>
      <c r="J569" s="378">
        <v>0</v>
      </c>
      <c r="K569" s="227"/>
    </row>
    <row r="570" spans="1:11" s="1" customFormat="1" ht="27" x14ac:dyDescent="0.3">
      <c r="A570" s="263"/>
      <c r="B570" s="187" t="s">
        <v>57</v>
      </c>
      <c r="C570" s="197" t="s">
        <v>56</v>
      </c>
      <c r="D570" s="378">
        <v>1105.7</v>
      </c>
      <c r="E570" s="407"/>
      <c r="F570" s="378">
        <v>1105.7</v>
      </c>
      <c r="G570" s="378">
        <v>0</v>
      </c>
      <c r="H570" s="407"/>
      <c r="I570" s="378">
        <v>0</v>
      </c>
      <c r="J570" s="378">
        <v>0</v>
      </c>
      <c r="K570" s="227"/>
    </row>
    <row r="571" spans="1:11" s="1" customFormat="1" ht="40.200000000000003" x14ac:dyDescent="0.3">
      <c r="A571" s="187" t="s">
        <v>897</v>
      </c>
      <c r="B571" s="393"/>
      <c r="C571" s="447" t="s">
        <v>896</v>
      </c>
      <c r="D571" s="394">
        <f>D572</f>
        <v>209.2</v>
      </c>
      <c r="E571" s="407"/>
      <c r="F571" s="394">
        <f>F572</f>
        <v>209.2</v>
      </c>
      <c r="G571" s="394">
        <v>0</v>
      </c>
      <c r="H571" s="407"/>
      <c r="I571" s="394">
        <v>0</v>
      </c>
      <c r="J571" s="394">
        <v>0</v>
      </c>
      <c r="K571" s="227"/>
    </row>
    <row r="572" spans="1:11" s="1" customFormat="1" ht="27" x14ac:dyDescent="0.3">
      <c r="A572" s="393"/>
      <c r="B572" s="7" t="s">
        <v>57</v>
      </c>
      <c r="C572" s="6" t="s">
        <v>56</v>
      </c>
      <c r="D572" s="394">
        <v>209.2</v>
      </c>
      <c r="E572" s="407"/>
      <c r="F572" s="394">
        <v>209.2</v>
      </c>
      <c r="G572" s="394">
        <v>0</v>
      </c>
      <c r="H572" s="407"/>
      <c r="I572" s="394">
        <v>0</v>
      </c>
      <c r="J572" s="394">
        <v>0</v>
      </c>
      <c r="K572" s="227"/>
    </row>
    <row r="573" spans="1:11" s="1" customFormat="1" ht="27" x14ac:dyDescent="0.3">
      <c r="A573" s="361" t="s">
        <v>882</v>
      </c>
      <c r="B573" s="361"/>
      <c r="C573" s="362" t="s">
        <v>883</v>
      </c>
      <c r="D573" s="363">
        <f>D574</f>
        <v>228.4</v>
      </c>
      <c r="E573" s="363">
        <f>E574</f>
        <v>25</v>
      </c>
      <c r="F573" s="363">
        <f>F574</f>
        <v>253.4</v>
      </c>
      <c r="G573" s="363">
        <v>0</v>
      </c>
      <c r="H573" s="407"/>
      <c r="I573" s="363">
        <v>0</v>
      </c>
      <c r="J573" s="363">
        <v>0</v>
      </c>
      <c r="K573" s="227"/>
    </row>
    <row r="574" spans="1:11" s="1" customFormat="1" ht="14.4" x14ac:dyDescent="0.3">
      <c r="A574" s="364"/>
      <c r="B574" s="361" t="s">
        <v>22</v>
      </c>
      <c r="C574" s="365" t="s">
        <v>21</v>
      </c>
      <c r="D574" s="363">
        <v>228.4</v>
      </c>
      <c r="E574" s="407">
        <v>25</v>
      </c>
      <c r="F574" s="363">
        <v>253.4</v>
      </c>
      <c r="G574" s="363">
        <v>0</v>
      </c>
      <c r="H574" s="407"/>
      <c r="I574" s="363">
        <v>0</v>
      </c>
      <c r="J574" s="363">
        <v>0</v>
      </c>
      <c r="K574" s="227"/>
    </row>
    <row r="575" spans="1:11" s="1" customFormat="1" ht="27" x14ac:dyDescent="0.3">
      <c r="A575" s="361" t="s">
        <v>945</v>
      </c>
      <c r="B575" s="361"/>
      <c r="C575" s="456" t="s">
        <v>946</v>
      </c>
      <c r="D575" s="363">
        <f>D576</f>
        <v>0</v>
      </c>
      <c r="E575" s="507">
        <f>E576</f>
        <v>300</v>
      </c>
      <c r="F575" s="363">
        <f>F576</f>
        <v>300</v>
      </c>
      <c r="G575" s="363">
        <v>0</v>
      </c>
      <c r="H575" s="407"/>
      <c r="I575" s="363">
        <v>0</v>
      </c>
      <c r="J575" s="363">
        <v>0</v>
      </c>
      <c r="K575" s="227"/>
    </row>
    <row r="576" spans="1:11" s="1" customFormat="1" ht="14.4" x14ac:dyDescent="0.3">
      <c r="A576" s="364"/>
      <c r="B576" s="361" t="s">
        <v>22</v>
      </c>
      <c r="C576" s="365" t="s">
        <v>21</v>
      </c>
      <c r="D576" s="363">
        <v>0</v>
      </c>
      <c r="E576" s="409">
        <v>300</v>
      </c>
      <c r="F576" s="363">
        <f>300</f>
        <v>300</v>
      </c>
      <c r="G576" s="363">
        <v>0</v>
      </c>
      <c r="H576" s="407"/>
      <c r="I576" s="363">
        <v>0</v>
      </c>
      <c r="J576" s="363">
        <v>0</v>
      </c>
      <c r="K576" s="227"/>
    </row>
    <row r="577" spans="1:11" s="1" customFormat="1" ht="40.200000000000003" x14ac:dyDescent="0.3">
      <c r="A577" s="7" t="s">
        <v>43</v>
      </c>
      <c r="B577" s="7"/>
      <c r="C577" s="6" t="s">
        <v>42</v>
      </c>
      <c r="D577" s="175">
        <f t="shared" ref="D577:J577" si="145">D578</f>
        <v>450</v>
      </c>
      <c r="E577" s="407"/>
      <c r="F577" s="175">
        <f t="shared" si="145"/>
        <v>450</v>
      </c>
      <c r="G577" s="175">
        <f t="shared" si="145"/>
        <v>0</v>
      </c>
      <c r="H577" s="407"/>
      <c r="I577" s="175">
        <f t="shared" si="145"/>
        <v>0</v>
      </c>
      <c r="J577" s="175">
        <f t="shared" si="145"/>
        <v>450</v>
      </c>
      <c r="K577" s="227"/>
    </row>
    <row r="578" spans="1:11" s="1" customFormat="1" ht="27" x14ac:dyDescent="0.3">
      <c r="A578" s="7"/>
      <c r="B578" s="7" t="s">
        <v>12</v>
      </c>
      <c r="C578" s="6" t="s">
        <v>11</v>
      </c>
      <c r="D578" s="175">
        <v>450</v>
      </c>
      <c r="E578" s="407"/>
      <c r="F578" s="175">
        <v>450</v>
      </c>
      <c r="G578" s="175">
        <v>0</v>
      </c>
      <c r="H578" s="407"/>
      <c r="I578" s="175">
        <v>0</v>
      </c>
      <c r="J578" s="175">
        <v>450</v>
      </c>
      <c r="K578" s="227"/>
    </row>
    <row r="579" spans="1:11" s="1" customFormat="1" ht="27" x14ac:dyDescent="0.3">
      <c r="A579" s="7" t="s">
        <v>476</v>
      </c>
      <c r="B579" s="7"/>
      <c r="C579" s="6" t="s">
        <v>475</v>
      </c>
      <c r="D579" s="175">
        <f t="shared" ref="D579:J579" si="146">D580</f>
        <v>375</v>
      </c>
      <c r="E579" s="407"/>
      <c r="F579" s="175">
        <f t="shared" si="146"/>
        <v>375</v>
      </c>
      <c r="G579" s="175">
        <f t="shared" si="146"/>
        <v>0</v>
      </c>
      <c r="H579" s="407"/>
      <c r="I579" s="175">
        <f t="shared" si="146"/>
        <v>0</v>
      </c>
      <c r="J579" s="175">
        <f t="shared" si="146"/>
        <v>0</v>
      </c>
      <c r="K579" s="227"/>
    </row>
    <row r="580" spans="1:11" s="1" customFormat="1" ht="14.4" x14ac:dyDescent="0.3">
      <c r="A580" s="7"/>
      <c r="B580" s="7" t="s">
        <v>22</v>
      </c>
      <c r="C580" s="6" t="s">
        <v>21</v>
      </c>
      <c r="D580" s="175">
        <v>375</v>
      </c>
      <c r="E580" s="407"/>
      <c r="F580" s="175">
        <v>375</v>
      </c>
      <c r="G580" s="175">
        <v>0</v>
      </c>
      <c r="H580" s="407"/>
      <c r="I580" s="175">
        <v>0</v>
      </c>
      <c r="J580" s="175">
        <v>0</v>
      </c>
      <c r="K580" s="227"/>
    </row>
    <row r="581" spans="1:11" s="1" customFormat="1" ht="14.4" x14ac:dyDescent="0.3">
      <c r="A581" s="7" t="s">
        <v>772</v>
      </c>
      <c r="B581" s="226"/>
      <c r="C581" s="261" t="s">
        <v>773</v>
      </c>
      <c r="D581" s="248">
        <v>600</v>
      </c>
      <c r="E581" s="407"/>
      <c r="F581" s="248">
        <v>600</v>
      </c>
      <c r="G581" s="248">
        <v>0</v>
      </c>
      <c r="H581" s="407"/>
      <c r="I581" s="248">
        <v>0</v>
      </c>
      <c r="J581" s="248">
        <v>0</v>
      </c>
      <c r="K581" s="227"/>
    </row>
    <row r="582" spans="1:11" s="1" customFormat="1" ht="27" x14ac:dyDescent="0.3">
      <c r="A582" s="226"/>
      <c r="B582" s="7" t="s">
        <v>12</v>
      </c>
      <c r="C582" s="6" t="s">
        <v>11</v>
      </c>
      <c r="D582" s="248">
        <v>600</v>
      </c>
      <c r="E582" s="407"/>
      <c r="F582" s="248">
        <v>600</v>
      </c>
      <c r="G582" s="248">
        <v>0</v>
      </c>
      <c r="H582" s="407"/>
      <c r="I582" s="248">
        <v>0</v>
      </c>
      <c r="J582" s="248">
        <v>0</v>
      </c>
      <c r="K582" s="227"/>
    </row>
    <row r="583" spans="1:11" s="1" customFormat="1" ht="40.200000000000003" x14ac:dyDescent="0.3">
      <c r="A583" s="7" t="s">
        <v>780</v>
      </c>
      <c r="B583" s="276"/>
      <c r="C583" s="277" t="s">
        <v>781</v>
      </c>
      <c r="D583" s="278">
        <v>136</v>
      </c>
      <c r="E583" s="407"/>
      <c r="F583" s="278">
        <v>136</v>
      </c>
      <c r="G583" s="278">
        <v>0</v>
      </c>
      <c r="H583" s="407"/>
      <c r="I583" s="278">
        <v>0</v>
      </c>
      <c r="J583" s="278">
        <v>0</v>
      </c>
      <c r="K583" s="227"/>
    </row>
    <row r="584" spans="1:11" s="1" customFormat="1" ht="27" x14ac:dyDescent="0.3">
      <c r="A584" s="276"/>
      <c r="B584" s="7" t="s">
        <v>12</v>
      </c>
      <c r="C584" s="6" t="s">
        <v>11</v>
      </c>
      <c r="D584" s="278">
        <v>136</v>
      </c>
      <c r="E584" s="407"/>
      <c r="F584" s="278">
        <v>136</v>
      </c>
      <c r="G584" s="278">
        <v>0</v>
      </c>
      <c r="H584" s="407"/>
      <c r="I584" s="278">
        <v>0</v>
      </c>
      <c r="J584" s="278">
        <v>0</v>
      </c>
      <c r="K584" s="227"/>
    </row>
    <row r="585" spans="1:11" s="1" customFormat="1" ht="26.25" customHeight="1" x14ac:dyDescent="0.3">
      <c r="A585" s="73" t="s">
        <v>621</v>
      </c>
      <c r="B585" s="54"/>
      <c r="C585" s="110" t="s">
        <v>622</v>
      </c>
      <c r="D585" s="175">
        <f>D586</f>
        <v>143.30000000000001</v>
      </c>
      <c r="E585" s="407"/>
      <c r="F585" s="175">
        <f>F586</f>
        <v>143.30000000000001</v>
      </c>
      <c r="G585" s="175">
        <v>0</v>
      </c>
      <c r="H585" s="407"/>
      <c r="I585" s="175">
        <v>0</v>
      </c>
      <c r="J585" s="175">
        <v>0</v>
      </c>
      <c r="K585" s="227"/>
    </row>
    <row r="586" spans="1:11" s="1" customFormat="1" ht="27" customHeight="1" x14ac:dyDescent="0.3">
      <c r="A586" s="22"/>
      <c r="B586" s="7" t="s">
        <v>57</v>
      </c>
      <c r="C586" s="6" t="s">
        <v>56</v>
      </c>
      <c r="D586" s="175">
        <f>143.4-0.1</f>
        <v>143.30000000000001</v>
      </c>
      <c r="E586" s="407"/>
      <c r="F586" s="175">
        <f>143.4-0.1</f>
        <v>143.30000000000001</v>
      </c>
      <c r="G586" s="175">
        <v>0</v>
      </c>
      <c r="H586" s="407"/>
      <c r="I586" s="175">
        <v>0</v>
      </c>
      <c r="J586" s="175">
        <v>0</v>
      </c>
      <c r="K586" s="227"/>
    </row>
    <row r="587" spans="1:11" s="1" customFormat="1" ht="27" x14ac:dyDescent="0.3">
      <c r="A587" s="187" t="s">
        <v>635</v>
      </c>
      <c r="B587" s="181"/>
      <c r="C587" s="188" t="s">
        <v>636</v>
      </c>
      <c r="D587" s="175">
        <f>D588</f>
        <v>9566.1</v>
      </c>
      <c r="E587" s="407"/>
      <c r="F587" s="175">
        <f>F588</f>
        <v>9566.1</v>
      </c>
      <c r="G587" s="175">
        <v>0</v>
      </c>
      <c r="H587" s="407"/>
      <c r="I587" s="175">
        <v>0</v>
      </c>
      <c r="J587" s="175">
        <v>0</v>
      </c>
      <c r="K587" s="227"/>
    </row>
    <row r="588" spans="1:11" s="1" customFormat="1" ht="27" x14ac:dyDescent="0.3">
      <c r="A588" s="189"/>
      <c r="B588" s="179" t="s">
        <v>57</v>
      </c>
      <c r="C588" s="180" t="s">
        <v>56</v>
      </c>
      <c r="D588" s="175">
        <v>9566.1</v>
      </c>
      <c r="E588" s="407"/>
      <c r="F588" s="175">
        <v>9566.1</v>
      </c>
      <c r="G588" s="175">
        <v>0</v>
      </c>
      <c r="H588" s="407"/>
      <c r="I588" s="175">
        <v>0</v>
      </c>
      <c r="J588" s="175">
        <v>0</v>
      </c>
      <c r="K588" s="227"/>
    </row>
    <row r="589" spans="1:11" s="1" customFormat="1" ht="27" x14ac:dyDescent="0.3">
      <c r="A589" s="7" t="s">
        <v>24</v>
      </c>
      <c r="B589" s="7"/>
      <c r="C589" s="6" t="s">
        <v>23</v>
      </c>
      <c r="D589" s="175">
        <f t="shared" ref="D589:J589" si="147">D590</f>
        <v>2405.6</v>
      </c>
      <c r="E589" s="175">
        <f t="shared" si="147"/>
        <v>302.89999999999998</v>
      </c>
      <c r="F589" s="175">
        <f t="shared" si="147"/>
        <v>2708.5</v>
      </c>
      <c r="G589" s="175">
        <f t="shared" si="147"/>
        <v>836.9</v>
      </c>
      <c r="H589" s="407"/>
      <c r="I589" s="175">
        <f t="shared" si="147"/>
        <v>836.9</v>
      </c>
      <c r="J589" s="175">
        <f t="shared" si="147"/>
        <v>836.9</v>
      </c>
      <c r="K589" s="227"/>
    </row>
    <row r="590" spans="1:11" s="1" customFormat="1" ht="14.4" x14ac:dyDescent="0.3">
      <c r="A590" s="7"/>
      <c r="B590" s="7" t="s">
        <v>22</v>
      </c>
      <c r="C590" s="6" t="s">
        <v>21</v>
      </c>
      <c r="D590" s="175">
        <f>836.9+1568.7</f>
        <v>2405.6</v>
      </c>
      <c r="E590" s="407">
        <v>302.89999999999998</v>
      </c>
      <c r="F590" s="175">
        <f>836.9+1568.7+302.9</f>
        <v>2708.5</v>
      </c>
      <c r="G590" s="175">
        <v>836.9</v>
      </c>
      <c r="H590" s="407"/>
      <c r="I590" s="175">
        <v>836.9</v>
      </c>
      <c r="J590" s="175">
        <v>836.9</v>
      </c>
      <c r="K590" s="227"/>
    </row>
    <row r="591" spans="1:11" s="1" customFormat="1" ht="27" x14ac:dyDescent="0.3">
      <c r="A591" s="7" t="s">
        <v>939</v>
      </c>
      <c r="B591" s="477"/>
      <c r="C591" s="478" t="s">
        <v>940</v>
      </c>
      <c r="D591" s="480">
        <f>D592+D593</f>
        <v>0</v>
      </c>
      <c r="E591" s="480">
        <f>E592+E593</f>
        <v>364.5</v>
      </c>
      <c r="F591" s="480">
        <f>F592+F593</f>
        <v>364.5</v>
      </c>
      <c r="G591" s="480">
        <v>0</v>
      </c>
      <c r="H591" s="480"/>
      <c r="I591" s="480">
        <v>0</v>
      </c>
      <c r="J591" s="480">
        <v>0</v>
      </c>
      <c r="K591" s="227"/>
    </row>
    <row r="592" spans="1:11" s="1" customFormat="1" ht="27" x14ac:dyDescent="0.3">
      <c r="A592" s="477"/>
      <c r="B592" s="7" t="s">
        <v>12</v>
      </c>
      <c r="C592" s="6" t="s">
        <v>11</v>
      </c>
      <c r="D592" s="480">
        <v>0</v>
      </c>
      <c r="E592" s="480">
        <v>181.5</v>
      </c>
      <c r="F592" s="480">
        <v>181.5</v>
      </c>
      <c r="G592" s="480">
        <v>0</v>
      </c>
      <c r="H592" s="480"/>
      <c r="I592" s="480">
        <v>0</v>
      </c>
      <c r="J592" s="480">
        <v>0</v>
      </c>
      <c r="K592" s="227"/>
    </row>
    <row r="593" spans="1:11" s="1" customFormat="1" ht="14.4" x14ac:dyDescent="0.3">
      <c r="A593" s="477"/>
      <c r="B593" s="477" t="s">
        <v>71</v>
      </c>
      <c r="C593" s="6" t="s">
        <v>70</v>
      </c>
      <c r="D593" s="480">
        <v>0</v>
      </c>
      <c r="E593" s="480">
        <v>183</v>
      </c>
      <c r="F593" s="480">
        <v>183</v>
      </c>
      <c r="G593" s="480">
        <v>0</v>
      </c>
      <c r="H593" s="480"/>
      <c r="I593" s="480">
        <v>0</v>
      </c>
      <c r="J593" s="480">
        <v>0</v>
      </c>
      <c r="K593" s="227"/>
    </row>
    <row r="594" spans="1:11" s="1" customFormat="1" ht="53.4" x14ac:dyDescent="0.3">
      <c r="A594" s="7" t="s">
        <v>506</v>
      </c>
      <c r="B594" s="7"/>
      <c r="C594" s="6" t="s">
        <v>505</v>
      </c>
      <c r="D594" s="175">
        <f t="shared" ref="D594:J594" si="148">D595</f>
        <v>6.3</v>
      </c>
      <c r="E594" s="407"/>
      <c r="F594" s="175">
        <f t="shared" si="148"/>
        <v>6.3</v>
      </c>
      <c r="G594" s="175">
        <f t="shared" si="148"/>
        <v>6.4</v>
      </c>
      <c r="H594" s="407"/>
      <c r="I594" s="175">
        <f t="shared" si="148"/>
        <v>6.4</v>
      </c>
      <c r="J594" s="175">
        <f t="shared" si="148"/>
        <v>6.4</v>
      </c>
      <c r="K594" s="227"/>
    </row>
    <row r="595" spans="1:11" s="1" customFormat="1" ht="27" x14ac:dyDescent="0.3">
      <c r="A595" s="7"/>
      <c r="B595" s="7" t="s">
        <v>12</v>
      </c>
      <c r="C595" s="6" t="s">
        <v>11</v>
      </c>
      <c r="D595" s="175">
        <v>6.3</v>
      </c>
      <c r="E595" s="407"/>
      <c r="F595" s="175">
        <v>6.3</v>
      </c>
      <c r="G595" s="175">
        <v>6.4</v>
      </c>
      <c r="H595" s="407"/>
      <c r="I595" s="175">
        <v>6.4</v>
      </c>
      <c r="J595" s="175">
        <v>6.4</v>
      </c>
      <c r="K595" s="227"/>
    </row>
    <row r="596" spans="1:11" s="1" customFormat="1" ht="40.200000000000003" x14ac:dyDescent="0.3">
      <c r="A596" s="7" t="s">
        <v>618</v>
      </c>
      <c r="B596" s="7"/>
      <c r="C596" s="6" t="s">
        <v>632</v>
      </c>
      <c r="D596" s="175">
        <f t="shared" ref="D596:J596" si="149">D597</f>
        <v>433.4</v>
      </c>
      <c r="E596" s="407"/>
      <c r="F596" s="175">
        <f t="shared" si="149"/>
        <v>433.4</v>
      </c>
      <c r="G596" s="175">
        <f t="shared" si="149"/>
        <v>433.4</v>
      </c>
      <c r="H596" s="407"/>
      <c r="I596" s="175">
        <f t="shared" si="149"/>
        <v>433.4</v>
      </c>
      <c r="J596" s="175">
        <f t="shared" si="149"/>
        <v>433.4</v>
      </c>
      <c r="K596" s="227"/>
    </row>
    <row r="597" spans="1:11" s="1" customFormat="1" ht="27" x14ac:dyDescent="0.3">
      <c r="A597" s="7"/>
      <c r="B597" s="7" t="s">
        <v>57</v>
      </c>
      <c r="C597" s="6" t="s">
        <v>56</v>
      </c>
      <c r="D597" s="175">
        <v>433.4</v>
      </c>
      <c r="E597" s="407"/>
      <c r="F597" s="175">
        <v>433.4</v>
      </c>
      <c r="G597" s="175">
        <v>433.4</v>
      </c>
      <c r="H597" s="407"/>
      <c r="I597" s="175">
        <v>433.4</v>
      </c>
      <c r="J597" s="175">
        <v>433.4</v>
      </c>
      <c r="K597" s="227"/>
    </row>
    <row r="598" spans="1:11" s="1" customFormat="1" ht="40.200000000000003" x14ac:dyDescent="0.3">
      <c r="A598" s="7" t="s">
        <v>556</v>
      </c>
      <c r="B598" s="7"/>
      <c r="C598" s="109" t="s">
        <v>481</v>
      </c>
      <c r="D598" s="175">
        <f t="shared" ref="D598:J598" si="150">D599</f>
        <v>300</v>
      </c>
      <c r="E598" s="407"/>
      <c r="F598" s="175">
        <f t="shared" si="150"/>
        <v>300</v>
      </c>
      <c r="G598" s="175">
        <f t="shared" si="150"/>
        <v>0</v>
      </c>
      <c r="H598" s="407"/>
      <c r="I598" s="175">
        <f t="shared" si="150"/>
        <v>0</v>
      </c>
      <c r="J598" s="175">
        <f t="shared" si="150"/>
        <v>300</v>
      </c>
      <c r="K598" s="227"/>
    </row>
    <row r="599" spans="1:11" s="1" customFormat="1" ht="27" x14ac:dyDescent="0.3">
      <c r="A599" s="7"/>
      <c r="B599" s="7" t="s">
        <v>57</v>
      </c>
      <c r="C599" s="6" t="s">
        <v>56</v>
      </c>
      <c r="D599" s="175">
        <v>300</v>
      </c>
      <c r="E599" s="407"/>
      <c r="F599" s="175">
        <v>300</v>
      </c>
      <c r="G599" s="175">
        <v>0</v>
      </c>
      <c r="H599" s="407"/>
      <c r="I599" s="175">
        <v>0</v>
      </c>
      <c r="J599" s="175">
        <v>300</v>
      </c>
      <c r="K599" s="227"/>
    </row>
    <row r="600" spans="1:11" s="1" customFormat="1" ht="14.4" x14ac:dyDescent="0.3">
      <c r="A600" s="4"/>
      <c r="B600" s="4"/>
      <c r="C600" s="3" t="s">
        <v>0</v>
      </c>
      <c r="D600" s="254">
        <f t="shared" ref="D600:J600" si="151">D532+D10</f>
        <v>1451721.9516100003</v>
      </c>
      <c r="E600" s="254">
        <f t="shared" si="151"/>
        <v>5763.9041500000003</v>
      </c>
      <c r="F600" s="254">
        <f t="shared" si="151"/>
        <v>1457485.8557600002</v>
      </c>
      <c r="G600" s="254">
        <f t="shared" si="151"/>
        <v>1067444.3052399997</v>
      </c>
      <c r="H600" s="254">
        <f t="shared" si="151"/>
        <v>1398.43055</v>
      </c>
      <c r="I600" s="254">
        <f t="shared" si="151"/>
        <v>1068842.7357899998</v>
      </c>
      <c r="J600" s="254">
        <f t="shared" si="151"/>
        <v>1030631.3610700002</v>
      </c>
      <c r="K600" s="227"/>
    </row>
    <row r="601" spans="1:11" ht="12.75" x14ac:dyDescent="0.2">
      <c r="D601" s="258"/>
      <c r="E601" s="258"/>
      <c r="F601" s="258"/>
      <c r="G601" s="258"/>
      <c r="H601" s="258"/>
      <c r="I601" s="258"/>
      <c r="J601" s="258"/>
    </row>
    <row r="602" spans="1:11" ht="12.75" x14ac:dyDescent="0.2">
      <c r="D602" s="375"/>
      <c r="E602" s="375"/>
      <c r="F602" s="375"/>
    </row>
  </sheetData>
  <autoFilter ref="A8:G601"/>
  <mergeCells count="14">
    <mergeCell ref="I1:J1"/>
    <mergeCell ref="I2:J2"/>
    <mergeCell ref="I3:J3"/>
    <mergeCell ref="I4:J4"/>
    <mergeCell ref="I5:J5"/>
    <mergeCell ref="J8:J9"/>
    <mergeCell ref="A6:J6"/>
    <mergeCell ref="A8:A9"/>
    <mergeCell ref="B8:B9"/>
    <mergeCell ref="C8:C9"/>
    <mergeCell ref="F8:F9"/>
    <mergeCell ref="D8:D9"/>
    <mergeCell ref="G8:G9"/>
    <mergeCell ref="I8:I9"/>
  </mergeCells>
  <pageMargins left="1.1023622047244095" right="0.51181102362204722" top="0.59055118110236227" bottom="0.39370078740157483" header="0" footer="0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86"/>
  <sheetViews>
    <sheetView view="pageBreakPreview" zoomScale="84" zoomScaleNormal="63" zoomScaleSheetLayoutView="84" workbookViewId="0">
      <selection activeCell="H14" sqref="H14"/>
    </sheetView>
  </sheetViews>
  <sheetFormatPr defaultColWidth="9.109375" defaultRowHeight="14.4" x14ac:dyDescent="0.3"/>
  <cols>
    <col min="1" max="2" width="9.109375" style="1"/>
    <col min="3" max="3" width="14.44140625" style="1" customWidth="1"/>
    <col min="4" max="4" width="7.5546875" style="1" customWidth="1"/>
    <col min="5" max="5" width="103.44140625" style="1" customWidth="1"/>
    <col min="6" max="6" width="0.21875" style="252" customWidth="1"/>
    <col min="7" max="7" width="15.44140625" style="252" hidden="1" customWidth="1"/>
    <col min="8" max="8" width="15.44140625" style="252" customWidth="1"/>
    <col min="9" max="9" width="0.109375" style="252" customWidth="1"/>
    <col min="10" max="10" width="15.44140625" style="252" hidden="1" customWidth="1"/>
    <col min="11" max="12" width="15.44140625" style="252" customWidth="1"/>
    <col min="13" max="14" width="15.44140625" style="252" hidden="1" customWidth="1"/>
    <col min="15" max="15" width="0" style="1" hidden="1" customWidth="1"/>
    <col min="16" max="16384" width="9.109375" style="1"/>
  </cols>
  <sheetData>
    <row r="1" spans="1:15" ht="15" customHeight="1" x14ac:dyDescent="0.3">
      <c r="C1" s="122"/>
      <c r="D1" s="122"/>
      <c r="E1" s="122"/>
      <c r="F1" s="253"/>
      <c r="G1" s="253"/>
      <c r="H1" s="253"/>
      <c r="I1" s="253"/>
      <c r="J1" s="253"/>
      <c r="K1" s="528" t="s">
        <v>916</v>
      </c>
      <c r="L1" s="528"/>
      <c r="O1" s="267"/>
    </row>
    <row r="2" spans="1:15" ht="15" customHeight="1" x14ac:dyDescent="0.3">
      <c r="C2" s="122"/>
      <c r="D2" s="122"/>
      <c r="E2" s="125"/>
      <c r="F2" s="245"/>
      <c r="G2" s="245"/>
      <c r="H2" s="245"/>
      <c r="I2" s="245"/>
      <c r="J2" s="245"/>
      <c r="K2" s="528" t="s">
        <v>534</v>
      </c>
      <c r="L2" s="528"/>
      <c r="O2" s="267"/>
    </row>
    <row r="3" spans="1:15" ht="15.75" customHeight="1" x14ac:dyDescent="0.3">
      <c r="C3" s="124"/>
      <c r="D3" s="124"/>
      <c r="E3" s="123"/>
      <c r="F3" s="244"/>
      <c r="G3" s="244"/>
      <c r="H3" s="244"/>
      <c r="I3" s="244"/>
      <c r="J3" s="244"/>
      <c r="K3" s="528" t="s">
        <v>533</v>
      </c>
      <c r="L3" s="528"/>
      <c r="O3" s="267"/>
    </row>
    <row r="4" spans="1:15" ht="15.75" customHeight="1" x14ac:dyDescent="0.3">
      <c r="C4" s="122"/>
      <c r="D4" s="122"/>
      <c r="E4" s="122"/>
      <c r="F4" s="245"/>
      <c r="G4" s="245"/>
      <c r="H4" s="245"/>
      <c r="I4" s="245"/>
      <c r="J4" s="245"/>
      <c r="K4" s="528" t="s">
        <v>532</v>
      </c>
      <c r="L4" s="528"/>
      <c r="O4" s="267"/>
    </row>
    <row r="5" spans="1:15" ht="15" customHeight="1" x14ac:dyDescent="0.3">
      <c r="C5" s="122"/>
      <c r="D5" s="122"/>
      <c r="E5" s="122"/>
      <c r="F5" s="253"/>
      <c r="G5" s="253"/>
      <c r="H5" s="253"/>
      <c r="I5" s="253"/>
      <c r="J5" s="253"/>
      <c r="K5" s="528" t="s">
        <v>947</v>
      </c>
      <c r="L5" s="528"/>
      <c r="M5" s="416"/>
      <c r="N5" s="416"/>
    </row>
    <row r="6" spans="1:15" ht="15" customHeight="1" x14ac:dyDescent="0.3">
      <c r="C6" s="122"/>
      <c r="D6" s="122"/>
      <c r="E6" s="122"/>
      <c r="F6" s="253"/>
      <c r="G6" s="253"/>
      <c r="H6" s="253"/>
      <c r="I6" s="253"/>
      <c r="J6" s="253"/>
      <c r="K6" s="253"/>
      <c r="L6" s="253"/>
      <c r="M6" s="253"/>
      <c r="N6" s="253"/>
    </row>
    <row r="7" spans="1:15" ht="15" customHeight="1" x14ac:dyDescent="0.3">
      <c r="A7" s="512" t="s">
        <v>724</v>
      </c>
      <c r="B7" s="512"/>
      <c r="C7" s="512"/>
      <c r="D7" s="512"/>
      <c r="E7" s="512"/>
      <c r="F7" s="512"/>
      <c r="G7" s="512"/>
      <c r="H7" s="512"/>
      <c r="I7" s="512"/>
      <c r="J7" s="512"/>
      <c r="K7" s="512"/>
      <c r="L7" s="512"/>
      <c r="M7" s="415"/>
      <c r="N7" s="415"/>
    </row>
    <row r="8" spans="1:15" ht="15" x14ac:dyDescent="0.25">
      <c r="A8" s="121"/>
      <c r="B8" s="121"/>
      <c r="C8" s="121"/>
      <c r="D8" s="121"/>
      <c r="E8" s="121"/>
      <c r="F8" s="120"/>
      <c r="G8" s="120"/>
      <c r="H8" s="120"/>
      <c r="I8" s="120"/>
      <c r="J8" s="120"/>
      <c r="K8" s="120"/>
      <c r="L8" s="120"/>
      <c r="M8" s="120"/>
      <c r="N8" s="120"/>
    </row>
    <row r="9" spans="1:15" ht="39.6" x14ac:dyDescent="0.3">
      <c r="A9" s="119" t="s">
        <v>530</v>
      </c>
      <c r="B9" s="119" t="s">
        <v>529</v>
      </c>
      <c r="C9" s="118" t="s">
        <v>528</v>
      </c>
      <c r="D9" s="118" t="s">
        <v>527</v>
      </c>
      <c r="E9" s="118" t="s">
        <v>726</v>
      </c>
      <c r="F9" s="117" t="s">
        <v>719</v>
      </c>
      <c r="G9" s="420"/>
      <c r="H9" s="117" t="s">
        <v>719</v>
      </c>
      <c r="I9" s="117" t="s">
        <v>525</v>
      </c>
      <c r="J9" s="420"/>
      <c r="K9" s="117" t="s">
        <v>525</v>
      </c>
      <c r="L9" s="117" t="s">
        <v>720</v>
      </c>
      <c r="M9" s="420"/>
      <c r="N9" s="117" t="s">
        <v>720</v>
      </c>
    </row>
    <row r="10" spans="1:15" ht="20.399999999999999" customHeight="1" x14ac:dyDescent="0.3">
      <c r="A10" s="186"/>
      <c r="B10" s="186"/>
      <c r="C10" s="178"/>
      <c r="D10" s="178"/>
      <c r="E10" s="178"/>
      <c r="F10" s="184" t="s">
        <v>633</v>
      </c>
      <c r="G10" s="420"/>
      <c r="H10" s="184" t="s">
        <v>633</v>
      </c>
      <c r="I10" s="184" t="s">
        <v>633</v>
      </c>
      <c r="J10" s="420"/>
      <c r="K10" s="184" t="s">
        <v>633</v>
      </c>
      <c r="L10" s="184" t="s">
        <v>633</v>
      </c>
      <c r="M10" s="420"/>
      <c r="N10" s="184" t="s">
        <v>778</v>
      </c>
    </row>
    <row r="11" spans="1:15" x14ac:dyDescent="0.3">
      <c r="A11" s="39">
        <v>601</v>
      </c>
      <c r="B11" s="39"/>
      <c r="C11" s="39"/>
      <c r="D11" s="39"/>
      <c r="E11" s="38" t="s">
        <v>524</v>
      </c>
      <c r="F11" s="37">
        <f t="shared" ref="F11:L11" si="0">F12+F107+F116+F171+F295+F451+F467+F441+F519</f>
        <v>689234.56417000003</v>
      </c>
      <c r="G11" s="37">
        <f t="shared" si="0"/>
        <v>3634.20415</v>
      </c>
      <c r="H11" s="37">
        <f>H12+H107+H116+H171+H295+H451+H467+H441+H519</f>
        <v>692868.76832000003</v>
      </c>
      <c r="I11" s="37">
        <f t="shared" si="0"/>
        <v>295082.90128000005</v>
      </c>
      <c r="J11" s="37">
        <f t="shared" si="0"/>
        <v>1150.93055</v>
      </c>
      <c r="K11" s="37">
        <f>K12+K107+K116+K171+K295+K451+K467+K441+K519</f>
        <v>296233.83183000004</v>
      </c>
      <c r="L11" s="37">
        <f t="shared" si="0"/>
        <v>301550.06226999999</v>
      </c>
      <c r="M11" s="421"/>
      <c r="N11" s="37">
        <f>N12+N107+N116+N171+N295+N451+N467+N441+N519</f>
        <v>301550.06226999999</v>
      </c>
    </row>
    <row r="12" spans="1:15" x14ac:dyDescent="0.3">
      <c r="A12" s="20"/>
      <c r="B12" s="22" t="s">
        <v>40</v>
      </c>
      <c r="C12" s="21"/>
      <c r="D12" s="20"/>
      <c r="E12" s="19" t="s">
        <v>39</v>
      </c>
      <c r="F12" s="81">
        <f t="shared" ref="F12:L12" si="1">F13+F20+F54+F61</f>
        <v>125647.66227</v>
      </c>
      <c r="G12" s="81">
        <f t="shared" si="1"/>
        <v>384.7</v>
      </c>
      <c r="H12" s="81">
        <f>H13+H20+H54+H61</f>
        <v>126032.36227</v>
      </c>
      <c r="I12" s="81">
        <f t="shared" si="1"/>
        <v>113064.70778</v>
      </c>
      <c r="J12" s="81">
        <f t="shared" si="1"/>
        <v>844.3</v>
      </c>
      <c r="K12" s="81">
        <f>K13+K20+K54+K61</f>
        <v>113909.00777999999</v>
      </c>
      <c r="L12" s="81">
        <f t="shared" si="1"/>
        <v>115835</v>
      </c>
      <c r="M12" s="422"/>
      <c r="N12" s="81">
        <f>N13+N20+N54+N61</f>
        <v>115835</v>
      </c>
    </row>
    <row r="13" spans="1:15" ht="26.4" x14ac:dyDescent="0.3">
      <c r="A13" s="20"/>
      <c r="B13" s="22" t="s">
        <v>523</v>
      </c>
      <c r="C13" s="21"/>
      <c r="D13" s="20"/>
      <c r="E13" s="19" t="s">
        <v>522</v>
      </c>
      <c r="F13" s="81">
        <f t="shared" ref="F13:N18" si="2">F14</f>
        <v>4063.9</v>
      </c>
      <c r="G13" s="422"/>
      <c r="H13" s="81">
        <f t="shared" si="2"/>
        <v>4063.9</v>
      </c>
      <c r="I13" s="81">
        <f t="shared" si="2"/>
        <v>4238.1000000000004</v>
      </c>
      <c r="J13" s="422"/>
      <c r="K13" s="81">
        <f t="shared" si="2"/>
        <v>4238.1000000000004</v>
      </c>
      <c r="L13" s="81">
        <f t="shared" si="2"/>
        <v>4238.1000000000004</v>
      </c>
      <c r="M13" s="422"/>
      <c r="N13" s="81">
        <f t="shared" si="2"/>
        <v>4238.1000000000004</v>
      </c>
    </row>
    <row r="14" spans="1:15" x14ac:dyDescent="0.3">
      <c r="A14" s="20"/>
      <c r="B14" s="22"/>
      <c r="C14" s="112" t="s">
        <v>36</v>
      </c>
      <c r="D14" s="116"/>
      <c r="E14" s="115" t="s">
        <v>35</v>
      </c>
      <c r="F14" s="81">
        <f t="shared" si="2"/>
        <v>4063.9</v>
      </c>
      <c r="G14" s="422"/>
      <c r="H14" s="81">
        <f t="shared" si="2"/>
        <v>4063.9</v>
      </c>
      <c r="I14" s="81">
        <f t="shared" si="2"/>
        <v>4238.1000000000004</v>
      </c>
      <c r="J14" s="422"/>
      <c r="K14" s="81">
        <f t="shared" si="2"/>
        <v>4238.1000000000004</v>
      </c>
      <c r="L14" s="81">
        <f t="shared" si="2"/>
        <v>4238.1000000000004</v>
      </c>
      <c r="M14" s="422"/>
      <c r="N14" s="81">
        <f t="shared" si="2"/>
        <v>4238.1000000000004</v>
      </c>
    </row>
    <row r="15" spans="1:15" ht="26.4" x14ac:dyDescent="0.3">
      <c r="A15" s="53"/>
      <c r="B15" s="33"/>
      <c r="C15" s="34" t="s">
        <v>34</v>
      </c>
      <c r="D15" s="33"/>
      <c r="E15" s="32" t="s">
        <v>33</v>
      </c>
      <c r="F15" s="31">
        <f t="shared" si="2"/>
        <v>4063.9</v>
      </c>
      <c r="G15" s="423"/>
      <c r="H15" s="31">
        <f t="shared" si="2"/>
        <v>4063.9</v>
      </c>
      <c r="I15" s="31">
        <f t="shared" si="2"/>
        <v>4238.1000000000004</v>
      </c>
      <c r="J15" s="423"/>
      <c r="K15" s="31">
        <f t="shared" si="2"/>
        <v>4238.1000000000004</v>
      </c>
      <c r="L15" s="31">
        <f t="shared" si="2"/>
        <v>4238.1000000000004</v>
      </c>
      <c r="M15" s="423"/>
      <c r="N15" s="31">
        <f t="shared" si="2"/>
        <v>4238.1000000000004</v>
      </c>
    </row>
    <row r="16" spans="1:15" ht="27" x14ac:dyDescent="0.3">
      <c r="A16" s="30"/>
      <c r="B16" s="30"/>
      <c r="C16" s="30" t="s">
        <v>32</v>
      </c>
      <c r="D16" s="30"/>
      <c r="E16" s="29" t="s">
        <v>31</v>
      </c>
      <c r="F16" s="28">
        <f t="shared" si="2"/>
        <v>4063.9</v>
      </c>
      <c r="G16" s="410"/>
      <c r="H16" s="28">
        <f t="shared" si="2"/>
        <v>4063.9</v>
      </c>
      <c r="I16" s="28">
        <f t="shared" si="2"/>
        <v>4238.1000000000004</v>
      </c>
      <c r="J16" s="410"/>
      <c r="K16" s="28">
        <f t="shared" si="2"/>
        <v>4238.1000000000004</v>
      </c>
      <c r="L16" s="28">
        <f t="shared" si="2"/>
        <v>4238.1000000000004</v>
      </c>
      <c r="M16" s="410"/>
      <c r="N16" s="28">
        <f t="shared" si="2"/>
        <v>4238.1000000000004</v>
      </c>
    </row>
    <row r="17" spans="1:14" ht="40.200000000000003" x14ac:dyDescent="0.3">
      <c r="A17" s="153"/>
      <c r="B17" s="153"/>
      <c r="C17" s="153" t="s">
        <v>30</v>
      </c>
      <c r="D17" s="153"/>
      <c r="E17" s="154" t="s">
        <v>29</v>
      </c>
      <c r="F17" s="155">
        <f t="shared" si="2"/>
        <v>4063.9</v>
      </c>
      <c r="G17" s="411"/>
      <c r="H17" s="155">
        <f t="shared" si="2"/>
        <v>4063.9</v>
      </c>
      <c r="I17" s="155">
        <f t="shared" si="2"/>
        <v>4238.1000000000004</v>
      </c>
      <c r="J17" s="411"/>
      <c r="K17" s="155">
        <f t="shared" si="2"/>
        <v>4238.1000000000004</v>
      </c>
      <c r="L17" s="155">
        <f t="shared" si="2"/>
        <v>4238.1000000000004</v>
      </c>
      <c r="M17" s="411"/>
      <c r="N17" s="155">
        <f t="shared" si="2"/>
        <v>4238.1000000000004</v>
      </c>
    </row>
    <row r="18" spans="1:14" ht="27" x14ac:dyDescent="0.3">
      <c r="A18" s="8"/>
      <c r="B18" s="8"/>
      <c r="C18" s="7" t="s">
        <v>521</v>
      </c>
      <c r="D18" s="7"/>
      <c r="E18" s="6" t="s">
        <v>520</v>
      </c>
      <c r="F18" s="9">
        <f t="shared" si="2"/>
        <v>4063.9</v>
      </c>
      <c r="G18" s="412"/>
      <c r="H18" s="9">
        <f t="shared" si="2"/>
        <v>4063.9</v>
      </c>
      <c r="I18" s="9">
        <f t="shared" si="2"/>
        <v>4238.1000000000004</v>
      </c>
      <c r="J18" s="412"/>
      <c r="K18" s="9">
        <f t="shared" si="2"/>
        <v>4238.1000000000004</v>
      </c>
      <c r="L18" s="9">
        <f t="shared" si="2"/>
        <v>4238.1000000000004</v>
      </c>
      <c r="M18" s="412"/>
      <c r="N18" s="9">
        <f t="shared" si="2"/>
        <v>4238.1000000000004</v>
      </c>
    </row>
    <row r="19" spans="1:14" ht="40.200000000000003" x14ac:dyDescent="0.3">
      <c r="A19" s="8"/>
      <c r="B19" s="8"/>
      <c r="C19" s="7"/>
      <c r="D19" s="7" t="s">
        <v>2</v>
      </c>
      <c r="E19" s="6" t="s">
        <v>1</v>
      </c>
      <c r="F19" s="175">
        <v>4063.9</v>
      </c>
      <c r="G19" s="407"/>
      <c r="H19" s="175">
        <v>4063.9</v>
      </c>
      <c r="I19" s="175">
        <v>4238.1000000000004</v>
      </c>
      <c r="J19" s="407"/>
      <c r="K19" s="175">
        <v>4238.1000000000004</v>
      </c>
      <c r="L19" s="175">
        <v>4238.1000000000004</v>
      </c>
      <c r="M19" s="407"/>
      <c r="N19" s="175">
        <v>4238.1000000000004</v>
      </c>
    </row>
    <row r="20" spans="1:14" s="74" customFormat="1" ht="40.200000000000003" x14ac:dyDescent="0.3">
      <c r="A20" s="113"/>
      <c r="B20" s="22" t="s">
        <v>519</v>
      </c>
      <c r="C20" s="60"/>
      <c r="D20" s="60"/>
      <c r="E20" s="111" t="s">
        <v>518</v>
      </c>
      <c r="F20" s="26">
        <f t="shared" ref="F20:L20" si="3">F21+F48</f>
        <v>62251.1</v>
      </c>
      <c r="G20" s="424"/>
      <c r="H20" s="26">
        <f>H21+H48</f>
        <v>62251.1</v>
      </c>
      <c r="I20" s="26">
        <f t="shared" si="3"/>
        <v>64207.500000000007</v>
      </c>
      <c r="J20" s="424"/>
      <c r="K20" s="26">
        <f>K21+K48</f>
        <v>64207.500000000007</v>
      </c>
      <c r="L20" s="26">
        <f t="shared" si="3"/>
        <v>64334.30000000001</v>
      </c>
      <c r="M20" s="424"/>
      <c r="N20" s="26">
        <f>N21+N48</f>
        <v>64334.30000000001</v>
      </c>
    </row>
    <row r="21" spans="1:14" s="74" customFormat="1" x14ac:dyDescent="0.3">
      <c r="A21" s="113"/>
      <c r="B21" s="22"/>
      <c r="C21" s="112" t="s">
        <v>36</v>
      </c>
      <c r="D21" s="116"/>
      <c r="E21" s="115" t="s">
        <v>35</v>
      </c>
      <c r="F21" s="26">
        <f t="shared" ref="F21:L21" si="4">F22+F43</f>
        <v>62108.799999999996</v>
      </c>
      <c r="G21" s="424"/>
      <c r="H21" s="26">
        <f>H22+H43</f>
        <v>62108.799999999996</v>
      </c>
      <c r="I21" s="26">
        <f t="shared" si="4"/>
        <v>64201.100000000006</v>
      </c>
      <c r="J21" s="424"/>
      <c r="K21" s="26">
        <f>K22+K43</f>
        <v>64201.100000000006</v>
      </c>
      <c r="L21" s="26">
        <f t="shared" si="4"/>
        <v>64327.900000000009</v>
      </c>
      <c r="M21" s="424"/>
      <c r="N21" s="26">
        <f>N22+N43</f>
        <v>64327.900000000009</v>
      </c>
    </row>
    <row r="22" spans="1:14" ht="26.4" x14ac:dyDescent="0.3">
      <c r="A22" s="53"/>
      <c r="B22" s="33"/>
      <c r="C22" s="34" t="s">
        <v>34</v>
      </c>
      <c r="D22" s="33"/>
      <c r="E22" s="32" t="s">
        <v>657</v>
      </c>
      <c r="F22" s="31">
        <f>F23+F28</f>
        <v>62009.599999999999</v>
      </c>
      <c r="G22" s="423"/>
      <c r="H22" s="31">
        <f>H23+H28</f>
        <v>62009.599999999999</v>
      </c>
      <c r="I22" s="31">
        <f>I23+I28</f>
        <v>64099.200000000004</v>
      </c>
      <c r="J22" s="423"/>
      <c r="K22" s="31">
        <f>K23+K28</f>
        <v>64099.200000000004</v>
      </c>
      <c r="L22" s="31">
        <f>L23+L28</f>
        <v>64226.000000000007</v>
      </c>
      <c r="M22" s="423"/>
      <c r="N22" s="31">
        <f>N23+N28</f>
        <v>64226.000000000007</v>
      </c>
    </row>
    <row r="23" spans="1:14" ht="27" x14ac:dyDescent="0.3">
      <c r="A23" s="30"/>
      <c r="B23" s="30"/>
      <c r="C23" s="30" t="s">
        <v>32</v>
      </c>
      <c r="D23" s="30"/>
      <c r="E23" s="29" t="s">
        <v>31</v>
      </c>
      <c r="F23" s="28">
        <f t="shared" ref="F23:K24" si="5">F24</f>
        <v>59720.6</v>
      </c>
      <c r="G23" s="410"/>
      <c r="H23" s="28">
        <f t="shared" si="5"/>
        <v>59720.6</v>
      </c>
      <c r="I23" s="28">
        <f t="shared" si="5"/>
        <v>61750.9</v>
      </c>
      <c r="J23" s="410"/>
      <c r="K23" s="28">
        <f t="shared" si="5"/>
        <v>61750.9</v>
      </c>
      <c r="L23" s="28">
        <f>L24</f>
        <v>61877.700000000004</v>
      </c>
      <c r="M23" s="410"/>
      <c r="N23" s="28">
        <f>N24</f>
        <v>61877.700000000004</v>
      </c>
    </row>
    <row r="24" spans="1:14" ht="40.200000000000003" x14ac:dyDescent="0.3">
      <c r="A24" s="153"/>
      <c r="B24" s="153"/>
      <c r="C24" s="153" t="s">
        <v>30</v>
      </c>
      <c r="D24" s="153"/>
      <c r="E24" s="154" t="s">
        <v>29</v>
      </c>
      <c r="F24" s="155">
        <f t="shared" si="5"/>
        <v>59720.6</v>
      </c>
      <c r="G24" s="411"/>
      <c r="H24" s="155">
        <f t="shared" si="5"/>
        <v>59720.6</v>
      </c>
      <c r="I24" s="155">
        <f t="shared" si="5"/>
        <v>61750.9</v>
      </c>
      <c r="J24" s="411"/>
      <c r="K24" s="155">
        <f t="shared" si="5"/>
        <v>61750.9</v>
      </c>
      <c r="L24" s="155">
        <f>L25</f>
        <v>61877.700000000004</v>
      </c>
      <c r="M24" s="411"/>
      <c r="N24" s="155">
        <f>N25</f>
        <v>61877.700000000004</v>
      </c>
    </row>
    <row r="25" spans="1:14" ht="26.4" x14ac:dyDescent="0.3">
      <c r="A25" s="8"/>
      <c r="B25" s="8"/>
      <c r="C25" s="7" t="s">
        <v>28</v>
      </c>
      <c r="D25" s="7"/>
      <c r="E25" s="10" t="s">
        <v>27</v>
      </c>
      <c r="F25" s="5">
        <f>F26+F27</f>
        <v>59720.6</v>
      </c>
      <c r="G25" s="425"/>
      <c r="H25" s="5">
        <f>H26+H27</f>
        <v>59720.6</v>
      </c>
      <c r="I25" s="5">
        <f>I26+I27</f>
        <v>61750.9</v>
      </c>
      <c r="J25" s="425"/>
      <c r="K25" s="5">
        <f>K26+K27</f>
        <v>61750.9</v>
      </c>
      <c r="L25" s="5">
        <f>L26+L27</f>
        <v>61877.700000000004</v>
      </c>
      <c r="M25" s="425"/>
      <c r="N25" s="5">
        <f>N26+N27</f>
        <v>61877.700000000004</v>
      </c>
    </row>
    <row r="26" spans="1:14" ht="40.200000000000003" x14ac:dyDescent="0.3">
      <c r="A26" s="8"/>
      <c r="B26" s="8"/>
      <c r="C26" s="7"/>
      <c r="D26" s="7" t="s">
        <v>2</v>
      </c>
      <c r="E26" s="6" t="s">
        <v>1</v>
      </c>
      <c r="F26" s="5">
        <v>56891.199999999997</v>
      </c>
      <c r="G26" s="425"/>
      <c r="H26" s="5">
        <v>56891.199999999997</v>
      </c>
      <c r="I26" s="5">
        <v>59392.4</v>
      </c>
      <c r="J26" s="425"/>
      <c r="K26" s="5">
        <v>59392.4</v>
      </c>
      <c r="L26" s="5">
        <v>59392.4</v>
      </c>
      <c r="M26" s="425"/>
      <c r="N26" s="5">
        <v>59392.4</v>
      </c>
    </row>
    <row r="27" spans="1:14" x14ac:dyDescent="0.3">
      <c r="A27" s="8"/>
      <c r="B27" s="8"/>
      <c r="C27" s="7"/>
      <c r="D27" s="7" t="s">
        <v>12</v>
      </c>
      <c r="E27" s="6" t="s">
        <v>11</v>
      </c>
      <c r="F27" s="5">
        <f>2450.2+350+29.2</f>
        <v>2829.3999999999996</v>
      </c>
      <c r="G27" s="425"/>
      <c r="H27" s="5">
        <f>2450.2+350+29.2</f>
        <v>2829.3999999999996</v>
      </c>
      <c r="I27" s="5">
        <v>2358.5</v>
      </c>
      <c r="J27" s="425"/>
      <c r="K27" s="5">
        <v>2358.5</v>
      </c>
      <c r="L27" s="5">
        <v>2485.2999999999997</v>
      </c>
      <c r="M27" s="425"/>
      <c r="N27" s="5">
        <v>2485.2999999999997</v>
      </c>
    </row>
    <row r="28" spans="1:14" ht="40.200000000000003" x14ac:dyDescent="0.3">
      <c r="A28" s="30"/>
      <c r="B28" s="30"/>
      <c r="C28" s="30" t="s">
        <v>470</v>
      </c>
      <c r="D28" s="30"/>
      <c r="E28" s="51" t="s">
        <v>492</v>
      </c>
      <c r="F28" s="28">
        <f>F29</f>
        <v>2289.0000000000005</v>
      </c>
      <c r="G28" s="410"/>
      <c r="H28" s="28">
        <f>H29</f>
        <v>2289.0000000000005</v>
      </c>
      <c r="I28" s="28">
        <f>I29</f>
        <v>2348.3000000000002</v>
      </c>
      <c r="J28" s="410"/>
      <c r="K28" s="28">
        <f>K29</f>
        <v>2348.3000000000002</v>
      </c>
      <c r="L28" s="28">
        <f>L29</f>
        <v>2348.3000000000002</v>
      </c>
      <c r="M28" s="410"/>
      <c r="N28" s="28">
        <f>N29</f>
        <v>2348.3000000000002</v>
      </c>
    </row>
    <row r="29" spans="1:14" ht="27" x14ac:dyDescent="0.3">
      <c r="A29" s="153"/>
      <c r="B29" s="153"/>
      <c r="C29" s="153" t="s">
        <v>468</v>
      </c>
      <c r="D29" s="160"/>
      <c r="E29" s="154" t="s">
        <v>491</v>
      </c>
      <c r="F29" s="155">
        <f>F30+F33+F36+F38+F41</f>
        <v>2289.0000000000005</v>
      </c>
      <c r="G29" s="411"/>
      <c r="H29" s="155">
        <f>H30+H33+H36+H38+H41</f>
        <v>2289.0000000000005</v>
      </c>
      <c r="I29" s="155">
        <f>I30+I33+I36+I38+I41</f>
        <v>2348.3000000000002</v>
      </c>
      <c r="J29" s="411"/>
      <c r="K29" s="155">
        <f>K30+K33+K36+K38+K41</f>
        <v>2348.3000000000002</v>
      </c>
      <c r="L29" s="155">
        <f>L30+L33+L36+L38+L41</f>
        <v>2348.3000000000002</v>
      </c>
      <c r="M29" s="411"/>
      <c r="N29" s="155">
        <f>N30+N33+N36+N38+N41</f>
        <v>2348.3000000000002</v>
      </c>
    </row>
    <row r="30" spans="1:14" ht="27" x14ac:dyDescent="0.3">
      <c r="A30" s="8"/>
      <c r="B30" s="8"/>
      <c r="C30" s="7" t="s">
        <v>517</v>
      </c>
      <c r="D30" s="7"/>
      <c r="E30" s="63" t="s">
        <v>516</v>
      </c>
      <c r="F30" s="75">
        <f>SUM(F31:F32)</f>
        <v>1474.7</v>
      </c>
      <c r="G30" s="426"/>
      <c r="H30" s="75">
        <f>SUM(H31:H32)</f>
        <v>1474.7</v>
      </c>
      <c r="I30" s="75">
        <f>SUM(I31:I32)</f>
        <v>1513.6000000000001</v>
      </c>
      <c r="J30" s="426"/>
      <c r="K30" s="75">
        <f>SUM(K31:K32)</f>
        <v>1513.6000000000001</v>
      </c>
      <c r="L30" s="75">
        <f>SUM(L31:L32)</f>
        <v>1513.6000000000001</v>
      </c>
      <c r="M30" s="426"/>
      <c r="N30" s="75">
        <f>SUM(N31:N32)</f>
        <v>1513.6000000000001</v>
      </c>
    </row>
    <row r="31" spans="1:14" ht="40.200000000000003" x14ac:dyDescent="0.3">
      <c r="A31" s="8"/>
      <c r="B31" s="8"/>
      <c r="C31" s="7"/>
      <c r="D31" s="7" t="s">
        <v>2</v>
      </c>
      <c r="E31" s="6" t="s">
        <v>1</v>
      </c>
      <c r="F31" s="246">
        <v>1344.2</v>
      </c>
      <c r="G31" s="409"/>
      <c r="H31" s="246">
        <v>1344.2</v>
      </c>
      <c r="I31" s="246">
        <v>1401.9</v>
      </c>
      <c r="J31" s="409"/>
      <c r="K31" s="246">
        <v>1401.9</v>
      </c>
      <c r="L31" s="246">
        <v>1401.9</v>
      </c>
      <c r="M31" s="409"/>
      <c r="N31" s="246">
        <v>1401.9</v>
      </c>
    </row>
    <row r="32" spans="1:14" x14ac:dyDescent="0.3">
      <c r="A32" s="8"/>
      <c r="B32" s="8"/>
      <c r="C32" s="7"/>
      <c r="D32" s="7" t="s">
        <v>12</v>
      </c>
      <c r="E32" s="6" t="s">
        <v>11</v>
      </c>
      <c r="F32" s="246">
        <v>130.5</v>
      </c>
      <c r="G32" s="409"/>
      <c r="H32" s="246">
        <v>130.5</v>
      </c>
      <c r="I32" s="246">
        <v>111.7</v>
      </c>
      <c r="J32" s="409"/>
      <c r="K32" s="246">
        <v>111.7</v>
      </c>
      <c r="L32" s="246">
        <v>111.7</v>
      </c>
      <c r="M32" s="409"/>
      <c r="N32" s="246">
        <v>111.7</v>
      </c>
    </row>
    <row r="33" spans="1:14" ht="27" x14ac:dyDescent="0.3">
      <c r="A33" s="8"/>
      <c r="B33" s="8"/>
      <c r="C33" s="7" t="s">
        <v>619</v>
      </c>
      <c r="D33" s="7"/>
      <c r="E33" s="63" t="s">
        <v>515</v>
      </c>
      <c r="F33" s="75">
        <f>SUM(F34:F35)</f>
        <v>696.6</v>
      </c>
      <c r="G33" s="426"/>
      <c r="H33" s="75">
        <f>SUM(H34:H35)</f>
        <v>696.6</v>
      </c>
      <c r="I33" s="75">
        <f>SUM(I34:I35)</f>
        <v>714.4</v>
      </c>
      <c r="J33" s="426"/>
      <c r="K33" s="75">
        <f>SUM(K34:K35)</f>
        <v>714.4</v>
      </c>
      <c r="L33" s="75">
        <f>SUM(L34:L35)</f>
        <v>714.4</v>
      </c>
      <c r="M33" s="426"/>
      <c r="N33" s="75">
        <f>SUM(N34:N35)</f>
        <v>714.4</v>
      </c>
    </row>
    <row r="34" spans="1:14" ht="40.200000000000003" x14ac:dyDescent="0.3">
      <c r="A34" s="8"/>
      <c r="B34" s="8"/>
      <c r="C34" s="7"/>
      <c r="D34" s="7" t="s">
        <v>2</v>
      </c>
      <c r="E34" s="6" t="s">
        <v>1</v>
      </c>
      <c r="F34" s="175">
        <v>660.5</v>
      </c>
      <c r="G34" s="407"/>
      <c r="H34" s="175">
        <v>660.5</v>
      </c>
      <c r="I34" s="175">
        <v>688.9</v>
      </c>
      <c r="J34" s="407"/>
      <c r="K34" s="175">
        <v>688.9</v>
      </c>
      <c r="L34" s="175">
        <v>688.9</v>
      </c>
      <c r="M34" s="407"/>
      <c r="N34" s="175">
        <v>688.9</v>
      </c>
    </row>
    <row r="35" spans="1:14" x14ac:dyDescent="0.3">
      <c r="A35" s="8"/>
      <c r="B35" s="8"/>
      <c r="C35" s="7"/>
      <c r="D35" s="7" t="s">
        <v>12</v>
      </c>
      <c r="E35" s="6" t="s">
        <v>11</v>
      </c>
      <c r="F35" s="175">
        <v>36.1</v>
      </c>
      <c r="G35" s="407"/>
      <c r="H35" s="175">
        <v>36.1</v>
      </c>
      <c r="I35" s="175">
        <v>25.5</v>
      </c>
      <c r="J35" s="407"/>
      <c r="K35" s="175">
        <v>25.5</v>
      </c>
      <c r="L35" s="175">
        <v>25.5</v>
      </c>
      <c r="M35" s="407"/>
      <c r="N35" s="175">
        <v>25.5</v>
      </c>
    </row>
    <row r="36" spans="1:14" x14ac:dyDescent="0.3">
      <c r="A36" s="8"/>
      <c r="B36" s="8"/>
      <c r="C36" s="7" t="s">
        <v>514</v>
      </c>
      <c r="D36" s="7"/>
      <c r="E36" s="63" t="s">
        <v>513</v>
      </c>
      <c r="F36" s="75">
        <f>F37</f>
        <v>20.9</v>
      </c>
      <c r="G36" s="426"/>
      <c r="H36" s="75">
        <f>H37</f>
        <v>20.9</v>
      </c>
      <c r="I36" s="75">
        <f>I37</f>
        <v>20.9</v>
      </c>
      <c r="J36" s="426"/>
      <c r="K36" s="75">
        <f>K37</f>
        <v>20.9</v>
      </c>
      <c r="L36" s="75">
        <f>L37</f>
        <v>20.9</v>
      </c>
      <c r="M36" s="426"/>
      <c r="N36" s="75">
        <f>N37</f>
        <v>20.9</v>
      </c>
    </row>
    <row r="37" spans="1:14" x14ac:dyDescent="0.3">
      <c r="A37" s="8"/>
      <c r="B37" s="8"/>
      <c r="C37" s="7"/>
      <c r="D37" s="7" t="s">
        <v>12</v>
      </c>
      <c r="E37" s="6" t="s">
        <v>11</v>
      </c>
      <c r="F37" s="75">
        <v>20.9</v>
      </c>
      <c r="G37" s="426"/>
      <c r="H37" s="75">
        <v>20.9</v>
      </c>
      <c r="I37" s="75">
        <v>20.9</v>
      </c>
      <c r="J37" s="426"/>
      <c r="K37" s="75">
        <v>20.9</v>
      </c>
      <c r="L37" s="75">
        <v>20.9</v>
      </c>
      <c r="M37" s="426"/>
      <c r="N37" s="75">
        <v>20.9</v>
      </c>
    </row>
    <row r="38" spans="1:14" ht="27" x14ac:dyDescent="0.3">
      <c r="A38" s="8"/>
      <c r="B38" s="8"/>
      <c r="C38" s="7" t="s">
        <v>512</v>
      </c>
      <c r="D38" s="7"/>
      <c r="E38" s="6" t="s">
        <v>511</v>
      </c>
      <c r="F38" s="75">
        <f>SUM(F39:F40)</f>
        <v>79.3</v>
      </c>
      <c r="G38" s="426"/>
      <c r="H38" s="75">
        <f>SUM(H39:H40)</f>
        <v>79.3</v>
      </c>
      <c r="I38" s="75">
        <f>SUM(I39:I40)</f>
        <v>81.400000000000006</v>
      </c>
      <c r="J38" s="426"/>
      <c r="K38" s="75">
        <f>SUM(K39:K40)</f>
        <v>81.400000000000006</v>
      </c>
      <c r="L38" s="75">
        <f>SUM(L39:L40)</f>
        <v>81.400000000000006</v>
      </c>
      <c r="M38" s="426"/>
      <c r="N38" s="75">
        <f>SUM(N39:N40)</f>
        <v>81.400000000000006</v>
      </c>
    </row>
    <row r="39" spans="1:14" ht="40.200000000000003" x14ac:dyDescent="0.3">
      <c r="A39" s="8"/>
      <c r="B39" s="8"/>
      <c r="C39" s="7"/>
      <c r="D39" s="7" t="s">
        <v>2</v>
      </c>
      <c r="E39" s="6" t="s">
        <v>1</v>
      </c>
      <c r="F39" s="175">
        <v>23</v>
      </c>
      <c r="G39" s="407"/>
      <c r="H39" s="175">
        <v>23</v>
      </c>
      <c r="I39" s="175">
        <v>24</v>
      </c>
      <c r="J39" s="407"/>
      <c r="K39" s="175">
        <v>24</v>
      </c>
      <c r="L39" s="175">
        <v>24</v>
      </c>
      <c r="M39" s="407"/>
      <c r="N39" s="175">
        <v>24</v>
      </c>
    </row>
    <row r="40" spans="1:14" x14ac:dyDescent="0.3">
      <c r="A40" s="8"/>
      <c r="B40" s="8"/>
      <c r="C40" s="7"/>
      <c r="D40" s="7" t="s">
        <v>12</v>
      </c>
      <c r="E40" s="6" t="s">
        <v>11</v>
      </c>
      <c r="F40" s="175">
        <v>56.3</v>
      </c>
      <c r="G40" s="407"/>
      <c r="H40" s="175">
        <v>56.3</v>
      </c>
      <c r="I40" s="175">
        <v>57.4</v>
      </c>
      <c r="J40" s="407"/>
      <c r="K40" s="175">
        <v>57.4</v>
      </c>
      <c r="L40" s="175">
        <v>57.4</v>
      </c>
      <c r="M40" s="407"/>
      <c r="N40" s="175">
        <v>57.4</v>
      </c>
    </row>
    <row r="41" spans="1:14" ht="40.200000000000003" x14ac:dyDescent="0.3">
      <c r="A41" s="8"/>
      <c r="B41" s="8"/>
      <c r="C41" s="7" t="s">
        <v>510</v>
      </c>
      <c r="D41" s="7"/>
      <c r="E41" s="63" t="s">
        <v>509</v>
      </c>
      <c r="F41" s="75">
        <f>F42</f>
        <v>17.5</v>
      </c>
      <c r="G41" s="426"/>
      <c r="H41" s="75">
        <f>H42</f>
        <v>17.5</v>
      </c>
      <c r="I41" s="75">
        <f>I42</f>
        <v>18</v>
      </c>
      <c r="J41" s="426"/>
      <c r="K41" s="75">
        <f>K42</f>
        <v>18</v>
      </c>
      <c r="L41" s="75">
        <f>L42</f>
        <v>18</v>
      </c>
      <c r="M41" s="426"/>
      <c r="N41" s="75">
        <f>N42</f>
        <v>18</v>
      </c>
    </row>
    <row r="42" spans="1:14" x14ac:dyDescent="0.3">
      <c r="A42" s="8"/>
      <c r="B42" s="8"/>
      <c r="C42" s="7"/>
      <c r="D42" s="7" t="s">
        <v>12</v>
      </c>
      <c r="E42" s="6" t="s">
        <v>11</v>
      </c>
      <c r="F42" s="246">
        <v>17.5</v>
      </c>
      <c r="G42" s="409"/>
      <c r="H42" s="246">
        <v>17.5</v>
      </c>
      <c r="I42" s="246">
        <v>18</v>
      </c>
      <c r="J42" s="409"/>
      <c r="K42" s="246">
        <v>18</v>
      </c>
      <c r="L42" s="246">
        <v>18</v>
      </c>
      <c r="M42" s="409"/>
      <c r="N42" s="246">
        <v>18</v>
      </c>
    </row>
    <row r="43" spans="1:14" ht="26.4" x14ac:dyDescent="0.3">
      <c r="A43" s="53"/>
      <c r="B43" s="33"/>
      <c r="C43" s="34" t="s">
        <v>244</v>
      </c>
      <c r="D43" s="33"/>
      <c r="E43" s="32" t="s">
        <v>243</v>
      </c>
      <c r="F43" s="31">
        <f t="shared" ref="F43:N44" si="6">F44</f>
        <v>99.2</v>
      </c>
      <c r="G43" s="423"/>
      <c r="H43" s="31">
        <f t="shared" si="6"/>
        <v>99.2</v>
      </c>
      <c r="I43" s="31">
        <f t="shared" si="6"/>
        <v>101.9</v>
      </c>
      <c r="J43" s="423"/>
      <c r="K43" s="31">
        <f t="shared" si="6"/>
        <v>101.9</v>
      </c>
      <c r="L43" s="31">
        <f t="shared" si="6"/>
        <v>101.9</v>
      </c>
      <c r="M43" s="423"/>
      <c r="N43" s="31">
        <f t="shared" si="6"/>
        <v>101.9</v>
      </c>
    </row>
    <row r="44" spans="1:14" ht="40.200000000000003" x14ac:dyDescent="0.3">
      <c r="A44" s="153"/>
      <c r="B44" s="153"/>
      <c r="C44" s="153" t="s">
        <v>242</v>
      </c>
      <c r="D44" s="153"/>
      <c r="E44" s="154" t="s">
        <v>241</v>
      </c>
      <c r="F44" s="155">
        <f t="shared" si="6"/>
        <v>99.2</v>
      </c>
      <c r="G44" s="411"/>
      <c r="H44" s="155">
        <f t="shared" si="6"/>
        <v>99.2</v>
      </c>
      <c r="I44" s="155">
        <f t="shared" si="6"/>
        <v>101.9</v>
      </c>
      <c r="J44" s="411"/>
      <c r="K44" s="155">
        <f t="shared" si="6"/>
        <v>101.9</v>
      </c>
      <c r="L44" s="155">
        <f t="shared" si="6"/>
        <v>101.9</v>
      </c>
      <c r="M44" s="411"/>
      <c r="N44" s="155">
        <f t="shared" si="6"/>
        <v>101.9</v>
      </c>
    </row>
    <row r="45" spans="1:14" ht="39.6" x14ac:dyDescent="0.3">
      <c r="A45" s="8"/>
      <c r="B45" s="8"/>
      <c r="C45" s="7" t="s">
        <v>508</v>
      </c>
      <c r="D45" s="7"/>
      <c r="E45" s="10" t="s">
        <v>507</v>
      </c>
      <c r="F45" s="9">
        <f>F46+F47</f>
        <v>99.2</v>
      </c>
      <c r="G45" s="412"/>
      <c r="H45" s="9">
        <f>H46+H47</f>
        <v>99.2</v>
      </c>
      <c r="I45" s="9">
        <f>I46+I47</f>
        <v>101.9</v>
      </c>
      <c r="J45" s="412"/>
      <c r="K45" s="9">
        <f>K46+K47</f>
        <v>101.9</v>
      </c>
      <c r="L45" s="9">
        <f>L46+L47</f>
        <v>101.9</v>
      </c>
      <c r="M45" s="412"/>
      <c r="N45" s="9">
        <f>N46+N47</f>
        <v>101.9</v>
      </c>
    </row>
    <row r="46" spans="1:14" ht="40.200000000000003" x14ac:dyDescent="0.3">
      <c r="A46" s="8"/>
      <c r="B46" s="8"/>
      <c r="C46" s="7"/>
      <c r="D46" s="7" t="s">
        <v>2</v>
      </c>
      <c r="E46" s="6" t="s">
        <v>1</v>
      </c>
      <c r="F46" s="175">
        <v>79.5</v>
      </c>
      <c r="G46" s="407"/>
      <c r="H46" s="175">
        <v>79.5</v>
      </c>
      <c r="I46" s="247">
        <v>82.9</v>
      </c>
      <c r="J46" s="413"/>
      <c r="K46" s="247">
        <v>82.9</v>
      </c>
      <c r="L46" s="247">
        <v>82.9</v>
      </c>
      <c r="M46" s="413"/>
      <c r="N46" s="247">
        <v>82.9</v>
      </c>
    </row>
    <row r="47" spans="1:14" x14ac:dyDescent="0.3">
      <c r="A47" s="8"/>
      <c r="B47" s="8"/>
      <c r="C47" s="7"/>
      <c r="D47" s="7" t="s">
        <v>12</v>
      </c>
      <c r="E47" s="6" t="s">
        <v>11</v>
      </c>
      <c r="F47" s="175">
        <v>19.7</v>
      </c>
      <c r="G47" s="407"/>
      <c r="H47" s="175">
        <v>19.7</v>
      </c>
      <c r="I47" s="247">
        <v>19</v>
      </c>
      <c r="J47" s="413"/>
      <c r="K47" s="247">
        <v>19</v>
      </c>
      <c r="L47" s="247">
        <v>19</v>
      </c>
      <c r="M47" s="413"/>
      <c r="N47" s="247">
        <v>19</v>
      </c>
    </row>
    <row r="48" spans="1:14" s="74" customFormat="1" x14ac:dyDescent="0.3">
      <c r="A48" s="107"/>
      <c r="B48" s="107"/>
      <c r="C48" s="48" t="s">
        <v>52</v>
      </c>
      <c r="D48" s="47"/>
      <c r="E48" s="46" t="s">
        <v>51</v>
      </c>
      <c r="F48" s="105">
        <f t="shared" ref="F48:N50" si="7">F49</f>
        <v>142.30000000000001</v>
      </c>
      <c r="G48" s="427"/>
      <c r="H48" s="105">
        <f t="shared" si="7"/>
        <v>142.30000000000001</v>
      </c>
      <c r="I48" s="105">
        <f t="shared" si="7"/>
        <v>6.4</v>
      </c>
      <c r="J48" s="427"/>
      <c r="K48" s="105">
        <f t="shared" si="7"/>
        <v>6.4</v>
      </c>
      <c r="L48" s="105">
        <f t="shared" si="7"/>
        <v>6.4</v>
      </c>
      <c r="M48" s="427"/>
      <c r="N48" s="105">
        <f t="shared" si="7"/>
        <v>6.4</v>
      </c>
    </row>
    <row r="49" spans="1:14" s="74" customFormat="1" ht="27" x14ac:dyDescent="0.3">
      <c r="A49" s="14"/>
      <c r="B49" s="14"/>
      <c r="C49" s="14" t="s">
        <v>16</v>
      </c>
      <c r="D49" s="14"/>
      <c r="E49" s="13" t="s">
        <v>44</v>
      </c>
      <c r="F49" s="12">
        <f>F50+F52</f>
        <v>142.30000000000001</v>
      </c>
      <c r="G49" s="428"/>
      <c r="H49" s="12">
        <f>H50+H52</f>
        <v>142.30000000000001</v>
      </c>
      <c r="I49" s="12">
        <f t="shared" si="7"/>
        <v>6.4</v>
      </c>
      <c r="J49" s="428"/>
      <c r="K49" s="12">
        <f t="shared" si="7"/>
        <v>6.4</v>
      </c>
      <c r="L49" s="12">
        <f t="shared" si="7"/>
        <v>6.4</v>
      </c>
      <c r="M49" s="428"/>
      <c r="N49" s="12">
        <f t="shared" si="7"/>
        <v>6.4</v>
      </c>
    </row>
    <row r="50" spans="1:14" ht="26.4" x14ac:dyDescent="0.3">
      <c r="A50" s="8"/>
      <c r="B50" s="8"/>
      <c r="C50" s="56" t="s">
        <v>506</v>
      </c>
      <c r="D50" s="54"/>
      <c r="E50" s="10" t="s">
        <v>505</v>
      </c>
      <c r="F50" s="75">
        <f t="shared" si="7"/>
        <v>6.3</v>
      </c>
      <c r="G50" s="426"/>
      <c r="H50" s="75">
        <f t="shared" si="7"/>
        <v>6.3</v>
      </c>
      <c r="I50" s="75">
        <f t="shared" si="7"/>
        <v>6.4</v>
      </c>
      <c r="J50" s="426"/>
      <c r="K50" s="75">
        <f t="shared" si="7"/>
        <v>6.4</v>
      </c>
      <c r="L50" s="75">
        <f t="shared" si="7"/>
        <v>6.4</v>
      </c>
      <c r="M50" s="426"/>
      <c r="N50" s="75">
        <f t="shared" si="7"/>
        <v>6.4</v>
      </c>
    </row>
    <row r="51" spans="1:14" x14ac:dyDescent="0.3">
      <c r="A51" s="8"/>
      <c r="B51" s="8"/>
      <c r="C51" s="56"/>
      <c r="D51" s="54" t="s">
        <v>12</v>
      </c>
      <c r="E51" s="10" t="s">
        <v>11</v>
      </c>
      <c r="F51" s="175">
        <v>6.3</v>
      </c>
      <c r="G51" s="407"/>
      <c r="H51" s="175">
        <v>6.3</v>
      </c>
      <c r="I51" s="175">
        <v>6.4</v>
      </c>
      <c r="J51" s="407"/>
      <c r="K51" s="175">
        <v>6.4</v>
      </c>
      <c r="L51" s="175">
        <v>6.4</v>
      </c>
      <c r="M51" s="407"/>
      <c r="N51" s="175">
        <v>6.4</v>
      </c>
    </row>
    <row r="52" spans="1:14" ht="27" x14ac:dyDescent="0.3">
      <c r="A52" s="280"/>
      <c r="B52" s="280"/>
      <c r="C52" s="7" t="s">
        <v>780</v>
      </c>
      <c r="D52" s="276"/>
      <c r="E52" s="277" t="s">
        <v>781</v>
      </c>
      <c r="F52" s="278">
        <v>136</v>
      </c>
      <c r="G52" s="407"/>
      <c r="H52" s="278">
        <v>136</v>
      </c>
      <c r="I52" s="278">
        <v>0</v>
      </c>
      <c r="J52" s="407"/>
      <c r="K52" s="278">
        <v>0</v>
      </c>
      <c r="L52" s="278">
        <v>0</v>
      </c>
      <c r="M52" s="407"/>
      <c r="N52" s="278">
        <v>0</v>
      </c>
    </row>
    <row r="53" spans="1:14" x14ac:dyDescent="0.3">
      <c r="A53" s="280"/>
      <c r="B53" s="280"/>
      <c r="C53" s="276"/>
      <c r="D53" s="7" t="s">
        <v>12</v>
      </c>
      <c r="E53" s="6" t="s">
        <v>11</v>
      </c>
      <c r="F53" s="278">
        <v>136</v>
      </c>
      <c r="G53" s="407"/>
      <c r="H53" s="278">
        <v>136</v>
      </c>
      <c r="I53" s="278">
        <v>0</v>
      </c>
      <c r="J53" s="407"/>
      <c r="K53" s="278">
        <v>0</v>
      </c>
      <c r="L53" s="278">
        <v>0</v>
      </c>
      <c r="M53" s="407"/>
      <c r="N53" s="278">
        <v>0</v>
      </c>
    </row>
    <row r="54" spans="1:14" x14ac:dyDescent="0.3">
      <c r="A54" s="20"/>
      <c r="B54" s="22" t="s">
        <v>504</v>
      </c>
      <c r="C54" s="21"/>
      <c r="D54" s="22"/>
      <c r="E54" s="27" t="s">
        <v>503</v>
      </c>
      <c r="F54" s="18">
        <f t="shared" ref="F54:N59" si="8">F55</f>
        <v>34.9</v>
      </c>
      <c r="G54" s="429"/>
      <c r="H54" s="18">
        <f t="shared" si="8"/>
        <v>34.9</v>
      </c>
      <c r="I54" s="18">
        <f t="shared" si="8"/>
        <v>1.7</v>
      </c>
      <c r="J54" s="429"/>
      <c r="K54" s="18">
        <f t="shared" si="8"/>
        <v>1.7</v>
      </c>
      <c r="L54" s="18">
        <f t="shared" si="8"/>
        <v>1.9</v>
      </c>
      <c r="M54" s="429"/>
      <c r="N54" s="18">
        <f t="shared" si="8"/>
        <v>1.9</v>
      </c>
    </row>
    <row r="55" spans="1:14" s="114" customFormat="1" ht="13.8" x14ac:dyDescent="0.3">
      <c r="A55" s="20"/>
      <c r="B55" s="22"/>
      <c r="C55" s="20" t="s">
        <v>36</v>
      </c>
      <c r="D55" s="112"/>
      <c r="E55" s="111" t="s">
        <v>35</v>
      </c>
      <c r="F55" s="18">
        <f t="shared" si="8"/>
        <v>34.9</v>
      </c>
      <c r="G55" s="429"/>
      <c r="H55" s="18">
        <f t="shared" si="8"/>
        <v>34.9</v>
      </c>
      <c r="I55" s="18">
        <f t="shared" si="8"/>
        <v>1.7</v>
      </c>
      <c r="J55" s="429"/>
      <c r="K55" s="18">
        <f t="shared" si="8"/>
        <v>1.7</v>
      </c>
      <c r="L55" s="18">
        <f t="shared" si="8"/>
        <v>1.9</v>
      </c>
      <c r="M55" s="429"/>
      <c r="N55" s="18">
        <f t="shared" si="8"/>
        <v>1.9</v>
      </c>
    </row>
    <row r="56" spans="1:14" ht="26.4" x14ac:dyDescent="0.3">
      <c r="A56" s="53"/>
      <c r="B56" s="33"/>
      <c r="C56" s="34" t="s">
        <v>34</v>
      </c>
      <c r="D56" s="33"/>
      <c r="E56" s="32" t="s">
        <v>33</v>
      </c>
      <c r="F56" s="31">
        <f t="shared" si="8"/>
        <v>34.9</v>
      </c>
      <c r="G56" s="423"/>
      <c r="H56" s="31">
        <f t="shared" si="8"/>
        <v>34.9</v>
      </c>
      <c r="I56" s="31">
        <f t="shared" si="8"/>
        <v>1.7</v>
      </c>
      <c r="J56" s="423"/>
      <c r="K56" s="31">
        <f t="shared" si="8"/>
        <v>1.7</v>
      </c>
      <c r="L56" s="31">
        <f t="shared" si="8"/>
        <v>1.9</v>
      </c>
      <c r="M56" s="423"/>
      <c r="N56" s="31">
        <f t="shared" si="8"/>
        <v>1.9</v>
      </c>
    </row>
    <row r="57" spans="1:14" ht="39.6" x14ac:dyDescent="0.3">
      <c r="A57" s="69"/>
      <c r="B57" s="67"/>
      <c r="C57" s="68" t="s">
        <v>470</v>
      </c>
      <c r="D57" s="67"/>
      <c r="E57" s="66" t="s">
        <v>502</v>
      </c>
      <c r="F57" s="65">
        <f t="shared" si="8"/>
        <v>34.9</v>
      </c>
      <c r="G57" s="430"/>
      <c r="H57" s="65">
        <f t="shared" si="8"/>
        <v>34.9</v>
      </c>
      <c r="I57" s="65">
        <f t="shared" si="8"/>
        <v>1.7</v>
      </c>
      <c r="J57" s="430"/>
      <c r="K57" s="65">
        <f t="shared" si="8"/>
        <v>1.7</v>
      </c>
      <c r="L57" s="65">
        <f t="shared" si="8"/>
        <v>1.9</v>
      </c>
      <c r="M57" s="430"/>
      <c r="N57" s="65">
        <f t="shared" si="8"/>
        <v>1.9</v>
      </c>
    </row>
    <row r="58" spans="1:14" ht="26.4" x14ac:dyDescent="0.3">
      <c r="A58" s="168"/>
      <c r="B58" s="158"/>
      <c r="C58" s="162" t="s">
        <v>468</v>
      </c>
      <c r="D58" s="158"/>
      <c r="E58" s="169" t="s">
        <v>501</v>
      </c>
      <c r="F58" s="159">
        <f t="shared" si="8"/>
        <v>34.9</v>
      </c>
      <c r="G58" s="431"/>
      <c r="H58" s="159">
        <f t="shared" si="8"/>
        <v>34.9</v>
      </c>
      <c r="I58" s="159">
        <f t="shared" si="8"/>
        <v>1.7</v>
      </c>
      <c r="J58" s="431"/>
      <c r="K58" s="159">
        <f t="shared" si="8"/>
        <v>1.7</v>
      </c>
      <c r="L58" s="159">
        <f t="shared" si="8"/>
        <v>1.9</v>
      </c>
      <c r="M58" s="431"/>
      <c r="N58" s="159">
        <f t="shared" si="8"/>
        <v>1.9</v>
      </c>
    </row>
    <row r="59" spans="1:14" ht="27" x14ac:dyDescent="0.3">
      <c r="A59" s="8"/>
      <c r="B59" s="8"/>
      <c r="C59" s="7" t="s">
        <v>500</v>
      </c>
      <c r="D59" s="7"/>
      <c r="E59" s="6" t="s">
        <v>499</v>
      </c>
      <c r="F59" s="75">
        <f t="shared" si="8"/>
        <v>34.9</v>
      </c>
      <c r="G59" s="426"/>
      <c r="H59" s="75">
        <f t="shared" si="8"/>
        <v>34.9</v>
      </c>
      <c r="I59" s="75">
        <f t="shared" si="8"/>
        <v>1.7</v>
      </c>
      <c r="J59" s="426"/>
      <c r="K59" s="75">
        <f t="shared" si="8"/>
        <v>1.7</v>
      </c>
      <c r="L59" s="75">
        <f t="shared" si="8"/>
        <v>1.9</v>
      </c>
      <c r="M59" s="426"/>
      <c r="N59" s="75">
        <f t="shared" si="8"/>
        <v>1.9</v>
      </c>
    </row>
    <row r="60" spans="1:14" x14ac:dyDescent="0.3">
      <c r="A60" s="8"/>
      <c r="B60" s="8"/>
      <c r="C60" s="7"/>
      <c r="D60" s="7" t="s">
        <v>12</v>
      </c>
      <c r="E60" s="6" t="s">
        <v>11</v>
      </c>
      <c r="F60" s="246">
        <v>34.9</v>
      </c>
      <c r="G60" s="409"/>
      <c r="H60" s="246">
        <v>34.9</v>
      </c>
      <c r="I60" s="246">
        <v>1.7</v>
      </c>
      <c r="J60" s="409"/>
      <c r="K60" s="246">
        <v>1.7</v>
      </c>
      <c r="L60" s="246">
        <v>1.9</v>
      </c>
      <c r="M60" s="409"/>
      <c r="N60" s="246">
        <v>1.9</v>
      </c>
    </row>
    <row r="61" spans="1:14" x14ac:dyDescent="0.3">
      <c r="A61" s="20"/>
      <c r="B61" s="22" t="s">
        <v>20</v>
      </c>
      <c r="C61" s="21"/>
      <c r="D61" s="20"/>
      <c r="E61" s="19" t="s">
        <v>19</v>
      </c>
      <c r="F61" s="18">
        <f t="shared" ref="F61:L61" si="9">F62+F87</f>
        <v>59297.762270000007</v>
      </c>
      <c r="G61" s="18">
        <f t="shared" si="9"/>
        <v>384.7</v>
      </c>
      <c r="H61" s="18">
        <f t="shared" si="9"/>
        <v>59682.462270000004</v>
      </c>
      <c r="I61" s="18">
        <f t="shared" si="9"/>
        <v>44617.407779999994</v>
      </c>
      <c r="J61" s="18">
        <f t="shared" si="9"/>
        <v>844.3</v>
      </c>
      <c r="K61" s="18">
        <f t="shared" si="9"/>
        <v>45461.70777999999</v>
      </c>
      <c r="L61" s="18">
        <f t="shared" si="9"/>
        <v>47260.700000000004</v>
      </c>
      <c r="M61" s="429"/>
      <c r="N61" s="18">
        <f>N62+N87</f>
        <v>47260.700000000004</v>
      </c>
    </row>
    <row r="62" spans="1:14" x14ac:dyDescent="0.3">
      <c r="A62" s="20"/>
      <c r="B62" s="22"/>
      <c r="C62" s="21" t="s">
        <v>36</v>
      </c>
      <c r="D62" s="20"/>
      <c r="E62" s="27" t="s">
        <v>35</v>
      </c>
      <c r="F62" s="18">
        <f>F63+F81</f>
        <v>9502.46227</v>
      </c>
      <c r="G62" s="429"/>
      <c r="H62" s="18">
        <f>H63+H81</f>
        <v>9502.46227</v>
      </c>
      <c r="I62" s="18">
        <f>I63+I81</f>
        <v>1383.2077800000002</v>
      </c>
      <c r="J62" s="18">
        <f>J63+J81</f>
        <v>0</v>
      </c>
      <c r="K62" s="18">
        <f>K63+K81</f>
        <v>1383.2077800000002</v>
      </c>
      <c r="L62" s="18">
        <f>L63+L81</f>
        <v>2102.3000000000002</v>
      </c>
      <c r="M62" s="429"/>
      <c r="N62" s="18">
        <f>N63+N81</f>
        <v>2102.3000000000002</v>
      </c>
    </row>
    <row r="63" spans="1:14" ht="26.4" x14ac:dyDescent="0.3">
      <c r="A63" s="53"/>
      <c r="B63" s="33"/>
      <c r="C63" s="34" t="s">
        <v>34</v>
      </c>
      <c r="D63" s="33"/>
      <c r="E63" s="32" t="s">
        <v>33</v>
      </c>
      <c r="F63" s="31">
        <f>F64+F70+F75</f>
        <v>2138.8000000000002</v>
      </c>
      <c r="G63" s="423"/>
      <c r="H63" s="31">
        <f>H64+H70+H75</f>
        <v>2138.8000000000002</v>
      </c>
      <c r="I63" s="31">
        <f>I64+I70+I75</f>
        <v>1336.4</v>
      </c>
      <c r="J63" s="423"/>
      <c r="K63" s="31">
        <f>K64+K70+K75</f>
        <v>1336.4</v>
      </c>
      <c r="L63" s="31">
        <f>L64+L70+L75</f>
        <v>2102.3000000000002</v>
      </c>
      <c r="M63" s="423"/>
      <c r="N63" s="31">
        <f>N64+N70+N75</f>
        <v>2102.3000000000002</v>
      </c>
    </row>
    <row r="64" spans="1:14" ht="27" x14ac:dyDescent="0.3">
      <c r="A64" s="30"/>
      <c r="B64" s="30"/>
      <c r="C64" s="30" t="s">
        <v>498</v>
      </c>
      <c r="D64" s="30"/>
      <c r="E64" s="51" t="s">
        <v>497</v>
      </c>
      <c r="F64" s="28">
        <f>F65</f>
        <v>687.2</v>
      </c>
      <c r="G64" s="410"/>
      <c r="H64" s="28">
        <f>H65</f>
        <v>687.2</v>
      </c>
      <c r="I64" s="28">
        <f>I65</f>
        <v>69.400000000000006</v>
      </c>
      <c r="J64" s="410"/>
      <c r="K64" s="28">
        <f>K65</f>
        <v>69.400000000000006</v>
      </c>
      <c r="L64" s="28">
        <f>L65</f>
        <v>615.9</v>
      </c>
      <c r="M64" s="410"/>
      <c r="N64" s="28">
        <f>N65</f>
        <v>615.9</v>
      </c>
    </row>
    <row r="65" spans="1:14" x14ac:dyDescent="0.3">
      <c r="A65" s="153"/>
      <c r="B65" s="153"/>
      <c r="C65" s="153" t="s">
        <v>496</v>
      </c>
      <c r="D65" s="153"/>
      <c r="E65" s="154" t="s">
        <v>495</v>
      </c>
      <c r="F65" s="155">
        <f>F66+F68</f>
        <v>687.2</v>
      </c>
      <c r="G65" s="411"/>
      <c r="H65" s="155">
        <f>H66+H68</f>
        <v>687.2</v>
      </c>
      <c r="I65" s="155">
        <f>I66+I68</f>
        <v>69.400000000000006</v>
      </c>
      <c r="J65" s="411"/>
      <c r="K65" s="155">
        <f>K66+K68</f>
        <v>69.400000000000006</v>
      </c>
      <c r="L65" s="155">
        <f>L66+L68</f>
        <v>615.9</v>
      </c>
      <c r="M65" s="411"/>
      <c r="N65" s="155">
        <f>N66+N68</f>
        <v>615.9</v>
      </c>
    </row>
    <row r="66" spans="1:14" ht="40.200000000000003" x14ac:dyDescent="0.3">
      <c r="A66" s="7"/>
      <c r="B66" s="7"/>
      <c r="C66" s="7" t="s">
        <v>494</v>
      </c>
      <c r="D66" s="60"/>
      <c r="E66" s="6" t="s">
        <v>557</v>
      </c>
      <c r="F66" s="9">
        <f>F67</f>
        <v>610.70000000000005</v>
      </c>
      <c r="G66" s="412"/>
      <c r="H66" s="9">
        <f>H67</f>
        <v>610.70000000000005</v>
      </c>
      <c r="I66" s="9">
        <f>I67</f>
        <v>0</v>
      </c>
      <c r="J66" s="412"/>
      <c r="K66" s="9">
        <f>K67</f>
        <v>0</v>
      </c>
      <c r="L66" s="9">
        <f>L67</f>
        <v>539.4</v>
      </c>
      <c r="M66" s="412"/>
      <c r="N66" s="9">
        <f>N67</f>
        <v>539.4</v>
      </c>
    </row>
    <row r="67" spans="1:14" x14ac:dyDescent="0.3">
      <c r="A67" s="7"/>
      <c r="B67" s="7"/>
      <c r="C67" s="7"/>
      <c r="D67" s="7" t="s">
        <v>12</v>
      </c>
      <c r="E67" s="6" t="s">
        <v>11</v>
      </c>
      <c r="F67" s="175">
        <v>610.70000000000005</v>
      </c>
      <c r="G67" s="407"/>
      <c r="H67" s="175">
        <v>610.70000000000005</v>
      </c>
      <c r="I67" s="175">
        <v>0</v>
      </c>
      <c r="J67" s="407"/>
      <c r="K67" s="175">
        <v>0</v>
      </c>
      <c r="L67" s="175">
        <v>539.4</v>
      </c>
      <c r="M67" s="407"/>
      <c r="N67" s="175">
        <v>539.4</v>
      </c>
    </row>
    <row r="68" spans="1:14" ht="27" x14ac:dyDescent="0.3">
      <c r="A68" s="8"/>
      <c r="B68" s="8"/>
      <c r="C68" s="7" t="s">
        <v>613</v>
      </c>
      <c r="D68" s="7"/>
      <c r="E68" s="6" t="s">
        <v>493</v>
      </c>
      <c r="F68" s="9">
        <f>F69</f>
        <v>76.5</v>
      </c>
      <c r="G68" s="412"/>
      <c r="H68" s="9">
        <f>H69</f>
        <v>76.5</v>
      </c>
      <c r="I68" s="9">
        <f>I69</f>
        <v>69.400000000000006</v>
      </c>
      <c r="J68" s="412"/>
      <c r="K68" s="9">
        <f>K69</f>
        <v>69.400000000000006</v>
      </c>
      <c r="L68" s="9">
        <f>L69</f>
        <v>76.5</v>
      </c>
      <c r="M68" s="412"/>
      <c r="N68" s="9">
        <f>N69</f>
        <v>76.5</v>
      </c>
    </row>
    <row r="69" spans="1:14" x14ac:dyDescent="0.3">
      <c r="A69" s="8"/>
      <c r="B69" s="8"/>
      <c r="C69" s="7"/>
      <c r="D69" s="7" t="s">
        <v>12</v>
      </c>
      <c r="E69" s="6" t="s">
        <v>11</v>
      </c>
      <c r="F69" s="175">
        <v>76.5</v>
      </c>
      <c r="G69" s="407"/>
      <c r="H69" s="175">
        <v>76.5</v>
      </c>
      <c r="I69" s="175">
        <v>69.400000000000006</v>
      </c>
      <c r="J69" s="407"/>
      <c r="K69" s="175">
        <v>69.400000000000006</v>
      </c>
      <c r="L69" s="175">
        <v>76.5</v>
      </c>
      <c r="M69" s="407"/>
      <c r="N69" s="175">
        <v>76.5</v>
      </c>
    </row>
    <row r="70" spans="1:14" ht="40.200000000000003" x14ac:dyDescent="0.3">
      <c r="A70" s="30"/>
      <c r="B70" s="30"/>
      <c r="C70" s="30" t="s">
        <v>470</v>
      </c>
      <c r="D70" s="30"/>
      <c r="E70" s="51" t="s">
        <v>492</v>
      </c>
      <c r="F70" s="28">
        <f t="shared" ref="F70:N71" si="10">F71</f>
        <v>1232.2</v>
      </c>
      <c r="G70" s="410"/>
      <c r="H70" s="28">
        <f t="shared" si="10"/>
        <v>1232.2</v>
      </c>
      <c r="I70" s="28">
        <f t="shared" si="10"/>
        <v>1267</v>
      </c>
      <c r="J70" s="410"/>
      <c r="K70" s="28">
        <f t="shared" si="10"/>
        <v>1267</v>
      </c>
      <c r="L70" s="28">
        <f t="shared" si="10"/>
        <v>1267</v>
      </c>
      <c r="M70" s="410"/>
      <c r="N70" s="28">
        <f t="shared" si="10"/>
        <v>1267</v>
      </c>
    </row>
    <row r="71" spans="1:14" ht="27" x14ac:dyDescent="0.3">
      <c r="A71" s="153"/>
      <c r="B71" s="153"/>
      <c r="C71" s="153" t="s">
        <v>468</v>
      </c>
      <c r="D71" s="160"/>
      <c r="E71" s="154" t="s">
        <v>491</v>
      </c>
      <c r="F71" s="155">
        <f t="shared" si="10"/>
        <v>1232.2</v>
      </c>
      <c r="G71" s="411"/>
      <c r="H71" s="155">
        <f t="shared" si="10"/>
        <v>1232.2</v>
      </c>
      <c r="I71" s="155">
        <f t="shared" si="10"/>
        <v>1267</v>
      </c>
      <c r="J71" s="411"/>
      <c r="K71" s="155">
        <f t="shared" si="10"/>
        <v>1267</v>
      </c>
      <c r="L71" s="155">
        <f t="shared" si="10"/>
        <v>1267</v>
      </c>
      <c r="M71" s="411"/>
      <c r="N71" s="155">
        <f t="shared" si="10"/>
        <v>1267</v>
      </c>
    </row>
    <row r="72" spans="1:14" x14ac:dyDescent="0.3">
      <c r="A72" s="7"/>
      <c r="B72" s="7"/>
      <c r="C72" s="7" t="s">
        <v>490</v>
      </c>
      <c r="D72" s="7"/>
      <c r="E72" s="6" t="s">
        <v>489</v>
      </c>
      <c r="F72" s="75">
        <f>SUM(F73+F74)</f>
        <v>1232.2</v>
      </c>
      <c r="G72" s="426"/>
      <c r="H72" s="75">
        <f>SUM(H73+H74)</f>
        <v>1232.2</v>
      </c>
      <c r="I72" s="75">
        <f>SUM(I73+I74)</f>
        <v>1267</v>
      </c>
      <c r="J72" s="426"/>
      <c r="K72" s="75">
        <f>SUM(K73+K74)</f>
        <v>1267</v>
      </c>
      <c r="L72" s="75">
        <f>SUM(L73+L74)</f>
        <v>1267</v>
      </c>
      <c r="M72" s="426"/>
      <c r="N72" s="75">
        <f>SUM(N73+N74)</f>
        <v>1267</v>
      </c>
    </row>
    <row r="73" spans="1:14" ht="40.200000000000003" x14ac:dyDescent="0.3">
      <c r="A73" s="7"/>
      <c r="B73" s="7"/>
      <c r="C73" s="7"/>
      <c r="D73" s="7" t="s">
        <v>2</v>
      </c>
      <c r="E73" s="6" t="s">
        <v>1</v>
      </c>
      <c r="F73" s="175">
        <v>1148.2</v>
      </c>
      <c r="G73" s="407"/>
      <c r="H73" s="175">
        <v>1148.2</v>
      </c>
      <c r="I73" s="175">
        <v>1197.5</v>
      </c>
      <c r="J73" s="407"/>
      <c r="K73" s="175">
        <v>1197.5</v>
      </c>
      <c r="L73" s="175">
        <v>1197.5</v>
      </c>
      <c r="M73" s="407"/>
      <c r="N73" s="175">
        <v>1197.5</v>
      </c>
    </row>
    <row r="74" spans="1:14" x14ac:dyDescent="0.3">
      <c r="A74" s="7"/>
      <c r="B74" s="7"/>
      <c r="C74" s="7"/>
      <c r="D74" s="7" t="s">
        <v>12</v>
      </c>
      <c r="E74" s="6" t="s">
        <v>11</v>
      </c>
      <c r="F74" s="175">
        <v>84</v>
      </c>
      <c r="G74" s="407"/>
      <c r="H74" s="175">
        <v>84</v>
      </c>
      <c r="I74" s="175">
        <v>69.5</v>
      </c>
      <c r="J74" s="407"/>
      <c r="K74" s="175">
        <v>69.5</v>
      </c>
      <c r="L74" s="175">
        <v>69.5</v>
      </c>
      <c r="M74" s="407"/>
      <c r="N74" s="175">
        <v>69.5</v>
      </c>
    </row>
    <row r="75" spans="1:14" ht="27" x14ac:dyDescent="0.3">
      <c r="A75" s="30"/>
      <c r="B75" s="30"/>
      <c r="C75" s="30" t="s">
        <v>488</v>
      </c>
      <c r="D75" s="30"/>
      <c r="E75" s="51" t="s">
        <v>487</v>
      </c>
      <c r="F75" s="28">
        <f>F76</f>
        <v>219.39999999999998</v>
      </c>
      <c r="G75" s="410"/>
      <c r="H75" s="28">
        <f>H76</f>
        <v>219.39999999999998</v>
      </c>
      <c r="I75" s="28">
        <f>I76</f>
        <v>0</v>
      </c>
      <c r="J75" s="410"/>
      <c r="K75" s="28">
        <f>K76</f>
        <v>0</v>
      </c>
      <c r="L75" s="28">
        <f>L76</f>
        <v>219.39999999999998</v>
      </c>
      <c r="M75" s="410"/>
      <c r="N75" s="28">
        <f>N76</f>
        <v>219.39999999999998</v>
      </c>
    </row>
    <row r="76" spans="1:14" ht="27" x14ac:dyDescent="0.3">
      <c r="A76" s="153"/>
      <c r="B76" s="153"/>
      <c r="C76" s="153" t="s">
        <v>486</v>
      </c>
      <c r="D76" s="160"/>
      <c r="E76" s="154" t="s">
        <v>485</v>
      </c>
      <c r="F76" s="155">
        <f>F77+F79</f>
        <v>219.39999999999998</v>
      </c>
      <c r="G76" s="411"/>
      <c r="H76" s="155">
        <f>H77+H79</f>
        <v>219.39999999999998</v>
      </c>
      <c r="I76" s="155">
        <f>I77+I79</f>
        <v>0</v>
      </c>
      <c r="J76" s="411"/>
      <c r="K76" s="155">
        <f>K77+K79</f>
        <v>0</v>
      </c>
      <c r="L76" s="155">
        <f>L77+L79</f>
        <v>219.39999999999998</v>
      </c>
      <c r="M76" s="411"/>
      <c r="N76" s="155">
        <f>N77+N79</f>
        <v>219.39999999999998</v>
      </c>
    </row>
    <row r="77" spans="1:14" x14ac:dyDescent="0.3">
      <c r="A77" s="8"/>
      <c r="B77" s="8"/>
      <c r="C77" s="7" t="s">
        <v>484</v>
      </c>
      <c r="D77" s="7"/>
      <c r="E77" s="63" t="s">
        <v>483</v>
      </c>
      <c r="F77" s="75">
        <f>F78</f>
        <v>97.8</v>
      </c>
      <c r="G77" s="426"/>
      <c r="H77" s="75">
        <f>H78</f>
        <v>97.8</v>
      </c>
      <c r="I77" s="75">
        <f>I78</f>
        <v>0</v>
      </c>
      <c r="J77" s="426"/>
      <c r="K77" s="75">
        <f>K78</f>
        <v>0</v>
      </c>
      <c r="L77" s="75">
        <f>L78</f>
        <v>97.8</v>
      </c>
      <c r="M77" s="426"/>
      <c r="N77" s="75">
        <f>N78</f>
        <v>97.8</v>
      </c>
    </row>
    <row r="78" spans="1:14" x14ac:dyDescent="0.3">
      <c r="A78" s="8"/>
      <c r="B78" s="8"/>
      <c r="C78" s="7"/>
      <c r="D78" s="7" t="s">
        <v>12</v>
      </c>
      <c r="E78" s="6" t="s">
        <v>11</v>
      </c>
      <c r="F78" s="175">
        <v>97.8</v>
      </c>
      <c r="G78" s="407"/>
      <c r="H78" s="175">
        <v>97.8</v>
      </c>
      <c r="I78" s="175">
        <v>0</v>
      </c>
      <c r="J78" s="407"/>
      <c r="K78" s="175">
        <v>0</v>
      </c>
      <c r="L78" s="175">
        <v>97.8</v>
      </c>
      <c r="M78" s="407"/>
      <c r="N78" s="175">
        <v>97.8</v>
      </c>
    </row>
    <row r="79" spans="1:14" ht="40.200000000000003" x14ac:dyDescent="0.3">
      <c r="A79" s="8"/>
      <c r="B79" s="8"/>
      <c r="C79" s="7" t="s">
        <v>482</v>
      </c>
      <c r="D79" s="7"/>
      <c r="E79" s="63" t="s">
        <v>558</v>
      </c>
      <c r="F79" s="75">
        <f>F80</f>
        <v>121.6</v>
      </c>
      <c r="G79" s="426"/>
      <c r="H79" s="75">
        <f>H80</f>
        <v>121.6</v>
      </c>
      <c r="I79" s="75">
        <f>I80</f>
        <v>0</v>
      </c>
      <c r="J79" s="426"/>
      <c r="K79" s="75">
        <f>K80</f>
        <v>0</v>
      </c>
      <c r="L79" s="75">
        <f>L80</f>
        <v>121.6</v>
      </c>
      <c r="M79" s="426"/>
      <c r="N79" s="75">
        <f>N80</f>
        <v>121.6</v>
      </c>
    </row>
    <row r="80" spans="1:14" x14ac:dyDescent="0.3">
      <c r="A80" s="8"/>
      <c r="B80" s="8"/>
      <c r="C80" s="7"/>
      <c r="D80" s="7" t="s">
        <v>12</v>
      </c>
      <c r="E80" s="6" t="s">
        <v>11</v>
      </c>
      <c r="F80" s="75">
        <v>121.6</v>
      </c>
      <c r="G80" s="426"/>
      <c r="H80" s="75">
        <v>121.6</v>
      </c>
      <c r="I80" s="75">
        <v>0</v>
      </c>
      <c r="J80" s="426"/>
      <c r="K80" s="75">
        <v>0</v>
      </c>
      <c r="L80" s="75">
        <v>121.6</v>
      </c>
      <c r="M80" s="426"/>
      <c r="N80" s="75">
        <v>121.6</v>
      </c>
    </row>
    <row r="81" spans="1:14" ht="26.4" x14ac:dyDescent="0.3">
      <c r="A81" s="53"/>
      <c r="B81" s="33"/>
      <c r="C81" s="34" t="s">
        <v>261</v>
      </c>
      <c r="D81" s="33"/>
      <c r="E81" s="32" t="s">
        <v>260</v>
      </c>
      <c r="F81" s="31">
        <f t="shared" ref="F81:N83" si="11">F82</f>
        <v>7363.6622699999998</v>
      </c>
      <c r="G81" s="423"/>
      <c r="H81" s="31">
        <f t="shared" si="11"/>
        <v>7363.6622699999998</v>
      </c>
      <c r="I81" s="31">
        <f t="shared" si="11"/>
        <v>46.807780000000001</v>
      </c>
      <c r="J81" s="423"/>
      <c r="K81" s="31">
        <f t="shared" si="11"/>
        <v>46.807780000000001</v>
      </c>
      <c r="L81" s="31">
        <f t="shared" si="11"/>
        <v>0</v>
      </c>
      <c r="M81" s="423"/>
      <c r="N81" s="31">
        <f t="shared" si="11"/>
        <v>0</v>
      </c>
    </row>
    <row r="82" spans="1:14" ht="27" x14ac:dyDescent="0.3">
      <c r="A82" s="153"/>
      <c r="B82" s="153"/>
      <c r="C82" s="153" t="s">
        <v>259</v>
      </c>
      <c r="D82" s="153"/>
      <c r="E82" s="154" t="s">
        <v>258</v>
      </c>
      <c r="F82" s="155">
        <f t="shared" si="11"/>
        <v>7363.6622699999998</v>
      </c>
      <c r="G82" s="411"/>
      <c r="H82" s="155">
        <f t="shared" si="11"/>
        <v>7363.6622699999998</v>
      </c>
      <c r="I82" s="155">
        <f t="shared" si="11"/>
        <v>46.807780000000001</v>
      </c>
      <c r="J82" s="411"/>
      <c r="K82" s="155">
        <f t="shared" si="11"/>
        <v>46.807780000000001</v>
      </c>
      <c r="L82" s="155">
        <f t="shared" si="11"/>
        <v>0</v>
      </c>
      <c r="M82" s="411"/>
      <c r="N82" s="155">
        <f t="shared" si="11"/>
        <v>0</v>
      </c>
    </row>
    <row r="83" spans="1:14" ht="27" x14ac:dyDescent="0.3">
      <c r="A83" s="7"/>
      <c r="B83" s="7"/>
      <c r="C83" s="7" t="s">
        <v>333</v>
      </c>
      <c r="D83" s="7"/>
      <c r="E83" s="6" t="s">
        <v>332</v>
      </c>
      <c r="F83" s="9">
        <f t="shared" si="11"/>
        <v>7363.6622699999998</v>
      </c>
      <c r="G83" s="412"/>
      <c r="H83" s="9">
        <f t="shared" si="11"/>
        <v>7363.6622699999998</v>
      </c>
      <c r="I83" s="9">
        <f t="shared" si="11"/>
        <v>46.807780000000001</v>
      </c>
      <c r="J83" s="412"/>
      <c r="K83" s="9">
        <f t="shared" si="11"/>
        <v>46.807780000000001</v>
      </c>
      <c r="L83" s="9">
        <f t="shared" si="11"/>
        <v>0</v>
      </c>
      <c r="M83" s="412"/>
      <c r="N83" s="9">
        <f t="shared" si="11"/>
        <v>0</v>
      </c>
    </row>
    <row r="84" spans="1:14" x14ac:dyDescent="0.3">
      <c r="A84" s="7"/>
      <c r="B84" s="7"/>
      <c r="C84" s="7"/>
      <c r="D84" s="7" t="s">
        <v>12</v>
      </c>
      <c r="E84" s="6" t="s">
        <v>11</v>
      </c>
      <c r="F84" s="9">
        <f>F86+F85</f>
        <v>7363.6622699999998</v>
      </c>
      <c r="G84" s="412"/>
      <c r="H84" s="9">
        <f>H86+H85</f>
        <v>7363.6622699999998</v>
      </c>
      <c r="I84" s="9">
        <f>I86</f>
        <v>46.807780000000001</v>
      </c>
      <c r="J84" s="412"/>
      <c r="K84" s="9">
        <f>K86</f>
        <v>46.807780000000001</v>
      </c>
      <c r="L84" s="9">
        <f>L86</f>
        <v>0</v>
      </c>
      <c r="M84" s="412"/>
      <c r="N84" s="9">
        <f>N86</f>
        <v>0</v>
      </c>
    </row>
    <row r="85" spans="1:14" x14ac:dyDescent="0.3">
      <c r="A85" s="7"/>
      <c r="B85" s="7"/>
      <c r="C85" s="7"/>
      <c r="D85" s="7"/>
      <c r="E85" s="10" t="s">
        <v>100</v>
      </c>
      <c r="F85" s="175">
        <v>7216.3890000000001</v>
      </c>
      <c r="G85" s="407"/>
      <c r="H85" s="175">
        <v>7216.3890000000001</v>
      </c>
      <c r="I85" s="9">
        <v>0</v>
      </c>
      <c r="J85" s="412"/>
      <c r="K85" s="9">
        <v>0</v>
      </c>
      <c r="L85" s="9">
        <v>0</v>
      </c>
      <c r="M85" s="412"/>
      <c r="N85" s="9">
        <v>0</v>
      </c>
    </row>
    <row r="86" spans="1:14" x14ac:dyDescent="0.3">
      <c r="A86" s="7"/>
      <c r="B86" s="7"/>
      <c r="C86" s="7"/>
      <c r="D86" s="7"/>
      <c r="E86" s="6" t="s">
        <v>97</v>
      </c>
      <c r="F86" s="175">
        <v>147.27327</v>
      </c>
      <c r="G86" s="407"/>
      <c r="H86" s="175">
        <v>147.27327</v>
      </c>
      <c r="I86" s="175">
        <v>46.807780000000001</v>
      </c>
      <c r="J86" s="407"/>
      <c r="K86" s="175">
        <v>46.807780000000001</v>
      </c>
      <c r="L86" s="9">
        <v>0</v>
      </c>
      <c r="M86" s="412"/>
      <c r="N86" s="9">
        <v>0</v>
      </c>
    </row>
    <row r="87" spans="1:14" x14ac:dyDescent="0.3">
      <c r="A87" s="17"/>
      <c r="B87" s="17"/>
      <c r="C87" s="17" t="s">
        <v>18</v>
      </c>
      <c r="D87" s="17"/>
      <c r="E87" s="16" t="s">
        <v>17</v>
      </c>
      <c r="F87" s="15">
        <f>F88</f>
        <v>49795.3</v>
      </c>
      <c r="G87" s="15">
        <f>G88</f>
        <v>384.7</v>
      </c>
      <c r="H87" s="15">
        <f>H88</f>
        <v>50180</v>
      </c>
      <c r="I87" s="15">
        <f t="shared" ref="I87:N87" si="12">I88</f>
        <v>43234.2</v>
      </c>
      <c r="J87" s="15">
        <f t="shared" si="12"/>
        <v>844.3</v>
      </c>
      <c r="K87" s="15">
        <f t="shared" si="12"/>
        <v>44078.499999999993</v>
      </c>
      <c r="L87" s="15">
        <f t="shared" si="12"/>
        <v>45158.400000000001</v>
      </c>
      <c r="M87" s="432"/>
      <c r="N87" s="15">
        <f t="shared" si="12"/>
        <v>45158.400000000001</v>
      </c>
    </row>
    <row r="88" spans="1:14" ht="27" x14ac:dyDescent="0.3">
      <c r="A88" s="14"/>
      <c r="B88" s="14"/>
      <c r="C88" s="14" t="s">
        <v>16</v>
      </c>
      <c r="D88" s="14"/>
      <c r="E88" s="13" t="s">
        <v>15</v>
      </c>
      <c r="F88" s="12">
        <f>F89+F91+F99+F101+F95+F105+F103+F97</f>
        <v>49795.3</v>
      </c>
      <c r="G88" s="12">
        <f>G89+G91+G99+G101+G95+G105+G103+G97</f>
        <v>384.7</v>
      </c>
      <c r="H88" s="12">
        <f>H89+H91+H99+H101+H95+H105+H103+H97</f>
        <v>50180</v>
      </c>
      <c r="I88" s="12">
        <f>I91+I99+I101+I95+I105</f>
        <v>43234.2</v>
      </c>
      <c r="J88" s="12">
        <f>J91+J99+J101+J95+J105</f>
        <v>844.3</v>
      </c>
      <c r="K88" s="12">
        <f>K91+K99+K101+K95+K105</f>
        <v>44078.499999999993</v>
      </c>
      <c r="L88" s="12">
        <f>L91+L99+L101+L95+L105</f>
        <v>45158.400000000001</v>
      </c>
      <c r="M88" s="428"/>
      <c r="N88" s="12">
        <f>N91+N99+N101+N95+N105</f>
        <v>45158.400000000001</v>
      </c>
    </row>
    <row r="89" spans="1:14" x14ac:dyDescent="0.3">
      <c r="A89" s="490"/>
      <c r="B89" s="490"/>
      <c r="C89" s="7" t="s">
        <v>941</v>
      </c>
      <c r="D89" s="7"/>
      <c r="E89" s="6" t="s">
        <v>942</v>
      </c>
      <c r="F89" s="481">
        <f>F90</f>
        <v>0</v>
      </c>
      <c r="G89" s="481">
        <f>G90</f>
        <v>133.5</v>
      </c>
      <c r="H89" s="481">
        <f>H90</f>
        <v>133.5</v>
      </c>
      <c r="I89" s="481">
        <v>0</v>
      </c>
      <c r="J89" s="481"/>
      <c r="K89" s="481">
        <v>0</v>
      </c>
      <c r="L89" s="481">
        <v>0</v>
      </c>
      <c r="M89" s="489"/>
      <c r="N89" s="489"/>
    </row>
    <row r="90" spans="1:14" x14ac:dyDescent="0.3">
      <c r="A90" s="490"/>
      <c r="B90" s="490"/>
      <c r="C90" s="490"/>
      <c r="D90" s="473" t="s">
        <v>12</v>
      </c>
      <c r="E90" s="6" t="s">
        <v>11</v>
      </c>
      <c r="F90" s="481">
        <v>0</v>
      </c>
      <c r="G90" s="481">
        <v>133.5</v>
      </c>
      <c r="H90" s="481">
        <v>133.5</v>
      </c>
      <c r="I90" s="481">
        <v>0</v>
      </c>
      <c r="J90" s="481"/>
      <c r="K90" s="481">
        <v>0</v>
      </c>
      <c r="L90" s="481">
        <v>0</v>
      </c>
      <c r="M90" s="489"/>
      <c r="N90" s="489"/>
    </row>
    <row r="91" spans="1:14" ht="27" x14ac:dyDescent="0.3">
      <c r="A91" s="8"/>
      <c r="B91" s="8"/>
      <c r="C91" s="7" t="s">
        <v>480</v>
      </c>
      <c r="D91" s="7"/>
      <c r="E91" s="63" t="s">
        <v>479</v>
      </c>
      <c r="F91" s="9">
        <f t="shared" ref="F91:L91" si="13">F92+F93+F94</f>
        <v>46886.3</v>
      </c>
      <c r="G91" s="9">
        <f t="shared" si="13"/>
        <v>226.2</v>
      </c>
      <c r="H91" s="9">
        <f t="shared" si="13"/>
        <v>47112.5</v>
      </c>
      <c r="I91" s="9">
        <f t="shared" si="13"/>
        <v>43234.2</v>
      </c>
      <c r="J91" s="9">
        <f t="shared" si="13"/>
        <v>844.3</v>
      </c>
      <c r="K91" s="9">
        <f t="shared" si="13"/>
        <v>44078.499999999993</v>
      </c>
      <c r="L91" s="9">
        <f t="shared" si="13"/>
        <v>44558.400000000001</v>
      </c>
      <c r="M91" s="412"/>
      <c r="N91" s="9">
        <f>N92+N93+N94</f>
        <v>44558.400000000001</v>
      </c>
    </row>
    <row r="92" spans="1:14" ht="40.200000000000003" x14ac:dyDescent="0.3">
      <c r="A92" s="8"/>
      <c r="B92" s="8"/>
      <c r="C92" s="7"/>
      <c r="D92" s="7" t="s">
        <v>2</v>
      </c>
      <c r="E92" s="6" t="s">
        <v>1</v>
      </c>
      <c r="F92" s="175">
        <v>22909.4</v>
      </c>
      <c r="G92" s="407"/>
      <c r="H92" s="175">
        <v>22909.4</v>
      </c>
      <c r="I92" s="175">
        <v>22967.1</v>
      </c>
      <c r="J92" s="407"/>
      <c r="K92" s="175">
        <v>22967.1</v>
      </c>
      <c r="L92" s="175">
        <v>22967.1</v>
      </c>
      <c r="M92" s="407"/>
      <c r="N92" s="175">
        <v>22967.1</v>
      </c>
    </row>
    <row r="93" spans="1:14" x14ac:dyDescent="0.3">
      <c r="A93" s="8"/>
      <c r="B93" s="8"/>
      <c r="C93" s="7"/>
      <c r="D93" s="7" t="s">
        <v>12</v>
      </c>
      <c r="E93" s="6" t="s">
        <v>11</v>
      </c>
      <c r="F93" s="175">
        <v>23564.800000000003</v>
      </c>
      <c r="G93" s="407">
        <f>68.2+158</f>
        <v>226.2</v>
      </c>
      <c r="H93" s="175">
        <v>23791</v>
      </c>
      <c r="I93" s="175">
        <v>19855</v>
      </c>
      <c r="J93" s="407">
        <v>844.3</v>
      </c>
      <c r="K93" s="175">
        <v>20699.3</v>
      </c>
      <c r="L93" s="175">
        <v>21179.200000000001</v>
      </c>
      <c r="M93" s="407"/>
      <c r="N93" s="175">
        <v>21179.200000000001</v>
      </c>
    </row>
    <row r="94" spans="1:14" x14ac:dyDescent="0.3">
      <c r="A94" s="8"/>
      <c r="B94" s="8"/>
      <c r="C94" s="7"/>
      <c r="D94" s="7" t="s">
        <v>22</v>
      </c>
      <c r="E94" s="6" t="s">
        <v>21</v>
      </c>
      <c r="F94" s="175">
        <v>412.1</v>
      </c>
      <c r="G94" s="407"/>
      <c r="H94" s="175">
        <v>412.1</v>
      </c>
      <c r="I94" s="175">
        <v>412.1</v>
      </c>
      <c r="J94" s="407"/>
      <c r="K94" s="175">
        <v>412.1</v>
      </c>
      <c r="L94" s="175">
        <v>412.1</v>
      </c>
      <c r="M94" s="407"/>
      <c r="N94" s="175">
        <v>412.1</v>
      </c>
    </row>
    <row r="95" spans="1:14" x14ac:dyDescent="0.3">
      <c r="A95" s="8"/>
      <c r="B95" s="8"/>
      <c r="C95" s="54" t="s">
        <v>478</v>
      </c>
      <c r="D95" s="54"/>
      <c r="E95" s="10" t="s">
        <v>477</v>
      </c>
      <c r="F95" s="9">
        <f>F96</f>
        <v>1105.5999999999999</v>
      </c>
      <c r="G95" s="412"/>
      <c r="H95" s="9">
        <f>H96</f>
        <v>1105.5999999999999</v>
      </c>
      <c r="I95" s="9">
        <v>0</v>
      </c>
      <c r="J95" s="412"/>
      <c r="K95" s="9">
        <v>0</v>
      </c>
      <c r="L95" s="9">
        <v>0</v>
      </c>
      <c r="M95" s="412"/>
      <c r="N95" s="9">
        <v>0</v>
      </c>
    </row>
    <row r="96" spans="1:14" x14ac:dyDescent="0.3">
      <c r="A96" s="8"/>
      <c r="B96" s="8"/>
      <c r="C96" s="54"/>
      <c r="D96" s="54" t="s">
        <v>12</v>
      </c>
      <c r="E96" s="10" t="s">
        <v>11</v>
      </c>
      <c r="F96" s="175">
        <v>1105.5999999999999</v>
      </c>
      <c r="G96" s="407"/>
      <c r="H96" s="175">
        <v>1105.5999999999999</v>
      </c>
      <c r="I96" s="9">
        <f>1243.6-1243.6</f>
        <v>0</v>
      </c>
      <c r="J96" s="412"/>
      <c r="K96" s="9">
        <f>1243.6-1243.6</f>
        <v>0</v>
      </c>
      <c r="L96" s="9">
        <f>1243.6-1243.6</f>
        <v>0</v>
      </c>
      <c r="M96" s="412"/>
      <c r="N96" s="9">
        <f>1243.6-1243.6</f>
        <v>0</v>
      </c>
    </row>
    <row r="97" spans="1:14" ht="28.2" x14ac:dyDescent="0.3">
      <c r="A97" s="373"/>
      <c r="B97" s="373"/>
      <c r="C97" s="366" t="s">
        <v>882</v>
      </c>
      <c r="D97" s="366"/>
      <c r="E97" s="367" t="s">
        <v>883</v>
      </c>
      <c r="F97" s="372">
        <f>F98</f>
        <v>228.4</v>
      </c>
      <c r="G97" s="372">
        <f>G98</f>
        <v>25</v>
      </c>
      <c r="H97" s="372">
        <f>H98</f>
        <v>253.4</v>
      </c>
      <c r="I97" s="371">
        <v>0</v>
      </c>
      <c r="J97" s="412"/>
      <c r="K97" s="371">
        <v>0</v>
      </c>
      <c r="L97" s="371">
        <v>0</v>
      </c>
      <c r="M97" s="412"/>
      <c r="N97" s="371">
        <v>0</v>
      </c>
    </row>
    <row r="98" spans="1:14" x14ac:dyDescent="0.3">
      <c r="A98" s="373"/>
      <c r="B98" s="373"/>
      <c r="C98" s="374"/>
      <c r="D98" s="361" t="s">
        <v>22</v>
      </c>
      <c r="E98" s="365" t="s">
        <v>21</v>
      </c>
      <c r="F98" s="372">
        <v>228.4</v>
      </c>
      <c r="G98" s="407">
        <f>25</f>
        <v>25</v>
      </c>
      <c r="H98" s="372">
        <v>253.4</v>
      </c>
      <c r="I98" s="371">
        <v>0</v>
      </c>
      <c r="J98" s="412"/>
      <c r="K98" s="371">
        <v>0</v>
      </c>
      <c r="L98" s="371">
        <v>0</v>
      </c>
      <c r="M98" s="412"/>
      <c r="N98" s="371">
        <v>0</v>
      </c>
    </row>
    <row r="99" spans="1:14" ht="27" x14ac:dyDescent="0.3">
      <c r="A99" s="8"/>
      <c r="B99" s="8"/>
      <c r="C99" s="7" t="s">
        <v>43</v>
      </c>
      <c r="D99" s="7"/>
      <c r="E99" s="6" t="s">
        <v>42</v>
      </c>
      <c r="F99" s="9">
        <f>F100</f>
        <v>300</v>
      </c>
      <c r="G99" s="412"/>
      <c r="H99" s="9">
        <f>H100</f>
        <v>300</v>
      </c>
      <c r="I99" s="9">
        <f>I100</f>
        <v>0</v>
      </c>
      <c r="J99" s="412"/>
      <c r="K99" s="9">
        <f>K100</f>
        <v>0</v>
      </c>
      <c r="L99" s="9">
        <f>L100</f>
        <v>300</v>
      </c>
      <c r="M99" s="412"/>
      <c r="N99" s="9">
        <f>N100</f>
        <v>300</v>
      </c>
    </row>
    <row r="100" spans="1:14" x14ac:dyDescent="0.3">
      <c r="A100" s="8"/>
      <c r="B100" s="8"/>
      <c r="C100" s="7"/>
      <c r="D100" s="7" t="s">
        <v>12</v>
      </c>
      <c r="E100" s="6" t="s">
        <v>11</v>
      </c>
      <c r="F100" s="9">
        <v>300</v>
      </c>
      <c r="G100" s="412"/>
      <c r="H100" s="9">
        <v>300</v>
      </c>
      <c r="I100" s="9">
        <v>0</v>
      </c>
      <c r="J100" s="412"/>
      <c r="K100" s="9">
        <v>0</v>
      </c>
      <c r="L100" s="9">
        <v>300</v>
      </c>
      <c r="M100" s="412"/>
      <c r="N100" s="9">
        <v>300</v>
      </c>
    </row>
    <row r="101" spans="1:14" x14ac:dyDescent="0.3">
      <c r="A101" s="8"/>
      <c r="B101" s="8"/>
      <c r="C101" s="7" t="s">
        <v>476</v>
      </c>
      <c r="D101" s="7"/>
      <c r="E101" s="6" t="s">
        <v>475</v>
      </c>
      <c r="F101" s="5">
        <f>F102</f>
        <v>375</v>
      </c>
      <c r="G101" s="425"/>
      <c r="H101" s="5">
        <f>H102</f>
        <v>375</v>
      </c>
      <c r="I101" s="5">
        <f>I102</f>
        <v>0</v>
      </c>
      <c r="J101" s="425"/>
      <c r="K101" s="5">
        <f>K102</f>
        <v>0</v>
      </c>
      <c r="L101" s="5">
        <f>L102</f>
        <v>0</v>
      </c>
      <c r="M101" s="425"/>
      <c r="N101" s="5">
        <f>N102</f>
        <v>0</v>
      </c>
    </row>
    <row r="102" spans="1:14" x14ac:dyDescent="0.3">
      <c r="A102" s="8"/>
      <c r="B102" s="8"/>
      <c r="C102" s="7"/>
      <c r="D102" s="7" t="s">
        <v>22</v>
      </c>
      <c r="E102" s="6" t="s">
        <v>21</v>
      </c>
      <c r="F102" s="5">
        <v>375</v>
      </c>
      <c r="G102" s="425"/>
      <c r="H102" s="5">
        <v>375</v>
      </c>
      <c r="I102" s="5">
        <v>0</v>
      </c>
      <c r="J102" s="425"/>
      <c r="K102" s="5">
        <v>0</v>
      </c>
      <c r="L102" s="5">
        <v>0</v>
      </c>
      <c r="M102" s="425"/>
      <c r="N102" s="5">
        <v>0</v>
      </c>
    </row>
    <row r="103" spans="1:14" x14ac:dyDescent="0.3">
      <c r="A103" s="228"/>
      <c r="B103" s="228"/>
      <c r="C103" s="7" t="s">
        <v>772</v>
      </c>
      <c r="D103" s="226"/>
      <c r="E103" s="261" t="s">
        <v>773</v>
      </c>
      <c r="F103" s="248">
        <v>600</v>
      </c>
      <c r="G103" s="407"/>
      <c r="H103" s="248">
        <v>600</v>
      </c>
      <c r="I103" s="229">
        <v>0</v>
      </c>
      <c r="J103" s="425"/>
      <c r="K103" s="229">
        <v>0</v>
      </c>
      <c r="L103" s="229">
        <v>0</v>
      </c>
      <c r="M103" s="425"/>
      <c r="N103" s="229">
        <v>0</v>
      </c>
    </row>
    <row r="104" spans="1:14" x14ac:dyDescent="0.3">
      <c r="A104" s="228"/>
      <c r="B104" s="228"/>
      <c r="C104" s="226"/>
      <c r="D104" s="7" t="s">
        <v>12</v>
      </c>
      <c r="E104" s="6" t="s">
        <v>11</v>
      </c>
      <c r="F104" s="248">
        <v>600</v>
      </c>
      <c r="G104" s="407"/>
      <c r="H104" s="248">
        <v>600</v>
      </c>
      <c r="I104" s="229">
        <v>0</v>
      </c>
      <c r="J104" s="425"/>
      <c r="K104" s="229">
        <v>0</v>
      </c>
      <c r="L104" s="229">
        <v>0</v>
      </c>
      <c r="M104" s="425"/>
      <c r="N104" s="229">
        <v>0</v>
      </c>
    </row>
    <row r="105" spans="1:14" ht="27" x14ac:dyDescent="0.3">
      <c r="A105" s="8"/>
      <c r="B105" s="8"/>
      <c r="C105" s="7" t="s">
        <v>556</v>
      </c>
      <c r="D105" s="7"/>
      <c r="E105" s="109" t="s">
        <v>481</v>
      </c>
      <c r="F105" s="5">
        <f>F106</f>
        <v>300</v>
      </c>
      <c r="G105" s="425"/>
      <c r="H105" s="5">
        <f>H106</f>
        <v>300</v>
      </c>
      <c r="I105" s="5">
        <f>I106</f>
        <v>0</v>
      </c>
      <c r="J105" s="425"/>
      <c r="K105" s="5">
        <f>K106</f>
        <v>0</v>
      </c>
      <c r="L105" s="5">
        <f>L106</f>
        <v>300</v>
      </c>
      <c r="M105" s="425"/>
      <c r="N105" s="5">
        <f>N106</f>
        <v>300</v>
      </c>
    </row>
    <row r="106" spans="1:14" ht="27" x14ac:dyDescent="0.3">
      <c r="A106" s="8"/>
      <c r="B106" s="8"/>
      <c r="C106" s="7"/>
      <c r="D106" s="7" t="s">
        <v>57</v>
      </c>
      <c r="E106" s="6" t="s">
        <v>56</v>
      </c>
      <c r="F106" s="5">
        <v>300</v>
      </c>
      <c r="G106" s="425"/>
      <c r="H106" s="5">
        <v>300</v>
      </c>
      <c r="I106" s="5">
        <v>0</v>
      </c>
      <c r="J106" s="425"/>
      <c r="K106" s="5">
        <v>0</v>
      </c>
      <c r="L106" s="5">
        <v>300</v>
      </c>
      <c r="M106" s="425"/>
      <c r="N106" s="5">
        <v>300</v>
      </c>
    </row>
    <row r="107" spans="1:14" x14ac:dyDescent="0.3">
      <c r="A107" s="20"/>
      <c r="B107" s="22" t="s">
        <v>474</v>
      </c>
      <c r="C107" s="21"/>
      <c r="D107" s="22"/>
      <c r="E107" s="19" t="s">
        <v>473</v>
      </c>
      <c r="F107" s="18">
        <f t="shared" ref="F107:N112" si="14">F108</f>
        <v>2614.4</v>
      </c>
      <c r="G107" s="429"/>
      <c r="H107" s="18">
        <f t="shared" si="14"/>
        <v>2614.4</v>
      </c>
      <c r="I107" s="18">
        <f t="shared" si="14"/>
        <v>2911.5</v>
      </c>
      <c r="J107" s="429"/>
      <c r="K107" s="18">
        <f t="shared" si="14"/>
        <v>2911.5</v>
      </c>
      <c r="L107" s="18">
        <f t="shared" si="14"/>
        <v>3695.2</v>
      </c>
      <c r="M107" s="429"/>
      <c r="N107" s="18">
        <f t="shared" si="14"/>
        <v>3695.2</v>
      </c>
    </row>
    <row r="108" spans="1:14" x14ac:dyDescent="0.3">
      <c r="A108" s="20"/>
      <c r="B108" s="22" t="s">
        <v>472</v>
      </c>
      <c r="C108" s="21"/>
      <c r="D108" s="22"/>
      <c r="E108" s="19" t="s">
        <v>471</v>
      </c>
      <c r="F108" s="18">
        <f t="shared" si="14"/>
        <v>2614.4</v>
      </c>
      <c r="G108" s="429"/>
      <c r="H108" s="18">
        <f t="shared" si="14"/>
        <v>2614.4</v>
      </c>
      <c r="I108" s="18">
        <f t="shared" si="14"/>
        <v>2911.5</v>
      </c>
      <c r="J108" s="429"/>
      <c r="K108" s="18">
        <f t="shared" si="14"/>
        <v>2911.5</v>
      </c>
      <c r="L108" s="18">
        <f t="shared" si="14"/>
        <v>3695.2</v>
      </c>
      <c r="M108" s="429"/>
      <c r="N108" s="18">
        <f t="shared" si="14"/>
        <v>3695.2</v>
      </c>
    </row>
    <row r="109" spans="1:14" x14ac:dyDescent="0.3">
      <c r="A109" s="20"/>
      <c r="B109" s="22"/>
      <c r="C109" s="112" t="s">
        <v>36</v>
      </c>
      <c r="D109" s="112"/>
      <c r="E109" s="111" t="s">
        <v>35</v>
      </c>
      <c r="F109" s="18">
        <f t="shared" si="14"/>
        <v>2614.4</v>
      </c>
      <c r="G109" s="429"/>
      <c r="H109" s="18">
        <f t="shared" si="14"/>
        <v>2614.4</v>
      </c>
      <c r="I109" s="18">
        <f t="shared" si="14"/>
        <v>2911.5</v>
      </c>
      <c r="J109" s="429"/>
      <c r="K109" s="18">
        <f t="shared" si="14"/>
        <v>2911.5</v>
      </c>
      <c r="L109" s="18">
        <f t="shared" si="14"/>
        <v>3695.2</v>
      </c>
      <c r="M109" s="429"/>
      <c r="N109" s="18">
        <f t="shared" si="14"/>
        <v>3695.2</v>
      </c>
    </row>
    <row r="110" spans="1:14" ht="26.4" x14ac:dyDescent="0.3">
      <c r="A110" s="53"/>
      <c r="B110" s="33"/>
      <c r="C110" s="34" t="s">
        <v>34</v>
      </c>
      <c r="D110" s="33"/>
      <c r="E110" s="32" t="s">
        <v>33</v>
      </c>
      <c r="F110" s="31">
        <f t="shared" si="14"/>
        <v>2614.4</v>
      </c>
      <c r="G110" s="423"/>
      <c r="H110" s="31">
        <f t="shared" si="14"/>
        <v>2614.4</v>
      </c>
      <c r="I110" s="31">
        <f t="shared" si="14"/>
        <v>2911.5</v>
      </c>
      <c r="J110" s="423"/>
      <c r="K110" s="31">
        <f t="shared" si="14"/>
        <v>2911.5</v>
      </c>
      <c r="L110" s="31">
        <f t="shared" si="14"/>
        <v>3695.2</v>
      </c>
      <c r="M110" s="423"/>
      <c r="N110" s="31">
        <f t="shared" si="14"/>
        <v>3695.2</v>
      </c>
    </row>
    <row r="111" spans="1:14" ht="39.6" x14ac:dyDescent="0.3">
      <c r="A111" s="69"/>
      <c r="B111" s="67"/>
      <c r="C111" s="68" t="s">
        <v>470</v>
      </c>
      <c r="D111" s="67"/>
      <c r="E111" s="66" t="s">
        <v>469</v>
      </c>
      <c r="F111" s="65">
        <f t="shared" si="14"/>
        <v>2614.4</v>
      </c>
      <c r="G111" s="430"/>
      <c r="H111" s="65">
        <f t="shared" si="14"/>
        <v>2614.4</v>
      </c>
      <c r="I111" s="65">
        <f t="shared" si="14"/>
        <v>2911.5</v>
      </c>
      <c r="J111" s="430"/>
      <c r="K111" s="65">
        <f t="shared" si="14"/>
        <v>2911.5</v>
      </c>
      <c r="L111" s="65">
        <f t="shared" si="14"/>
        <v>3695.2</v>
      </c>
      <c r="M111" s="430"/>
      <c r="N111" s="65">
        <f t="shared" si="14"/>
        <v>3695.2</v>
      </c>
    </row>
    <row r="112" spans="1:14" ht="26.4" x14ac:dyDescent="0.3">
      <c r="A112" s="168"/>
      <c r="B112" s="158"/>
      <c r="C112" s="162" t="s">
        <v>468</v>
      </c>
      <c r="D112" s="158"/>
      <c r="E112" s="169" t="s">
        <v>467</v>
      </c>
      <c r="F112" s="159">
        <f t="shared" si="14"/>
        <v>2614.4</v>
      </c>
      <c r="G112" s="431"/>
      <c r="H112" s="159">
        <f t="shared" si="14"/>
        <v>2614.4</v>
      </c>
      <c r="I112" s="159">
        <f t="shared" si="14"/>
        <v>2911.5</v>
      </c>
      <c r="J112" s="431"/>
      <c r="K112" s="159">
        <f t="shared" si="14"/>
        <v>2911.5</v>
      </c>
      <c r="L112" s="159">
        <f t="shared" si="14"/>
        <v>3695.2</v>
      </c>
      <c r="M112" s="431"/>
      <c r="N112" s="159">
        <f t="shared" si="14"/>
        <v>3695.2</v>
      </c>
    </row>
    <row r="113" spans="1:14" ht="27" x14ac:dyDescent="0.3">
      <c r="A113" s="7"/>
      <c r="B113" s="7"/>
      <c r="C113" s="7" t="s">
        <v>466</v>
      </c>
      <c r="D113" s="7"/>
      <c r="E113" s="6" t="s">
        <v>663</v>
      </c>
      <c r="F113" s="75">
        <f>SUM(F114+F115)</f>
        <v>2614.4</v>
      </c>
      <c r="G113" s="426"/>
      <c r="H113" s="75">
        <f>SUM(H114+H115)</f>
        <v>2614.4</v>
      </c>
      <c r="I113" s="75">
        <f>SUM(I114+I115)</f>
        <v>2911.5</v>
      </c>
      <c r="J113" s="426"/>
      <c r="K113" s="75">
        <f>SUM(K114+K115)</f>
        <v>2911.5</v>
      </c>
      <c r="L113" s="75">
        <f>SUM(L114+L115)</f>
        <v>3695.2</v>
      </c>
      <c r="M113" s="426"/>
      <c r="N113" s="75">
        <f>SUM(N114+N115)</f>
        <v>3695.2</v>
      </c>
    </row>
    <row r="114" spans="1:14" ht="40.200000000000003" x14ac:dyDescent="0.3">
      <c r="A114" s="7"/>
      <c r="B114" s="7"/>
      <c r="C114" s="7"/>
      <c r="D114" s="7" t="s">
        <v>2</v>
      </c>
      <c r="E114" s="6" t="s">
        <v>1</v>
      </c>
      <c r="F114" s="246">
        <v>1812</v>
      </c>
      <c r="G114" s="409"/>
      <c r="H114" s="246">
        <v>1812</v>
      </c>
      <c r="I114" s="246">
        <v>1889.7</v>
      </c>
      <c r="J114" s="409"/>
      <c r="K114" s="246">
        <v>1889.7</v>
      </c>
      <c r="L114" s="246">
        <v>1889.7</v>
      </c>
      <c r="M114" s="409"/>
      <c r="N114" s="246">
        <v>1889.7</v>
      </c>
    </row>
    <row r="115" spans="1:14" x14ac:dyDescent="0.3">
      <c r="A115" s="7"/>
      <c r="B115" s="7"/>
      <c r="C115" s="7"/>
      <c r="D115" s="7" t="s">
        <v>12</v>
      </c>
      <c r="E115" s="6" t="s">
        <v>11</v>
      </c>
      <c r="F115" s="246">
        <f>287.3+515.1</f>
        <v>802.40000000000009</v>
      </c>
      <c r="G115" s="409"/>
      <c r="H115" s="246">
        <f>287.3+515.1</f>
        <v>802.40000000000009</v>
      </c>
      <c r="I115" s="246">
        <f>283.2+738.6</f>
        <v>1021.8</v>
      </c>
      <c r="J115" s="409"/>
      <c r="K115" s="246">
        <f>283.2+738.6</f>
        <v>1021.8</v>
      </c>
      <c r="L115" s="246">
        <f>283.2+1522.3</f>
        <v>1805.5</v>
      </c>
      <c r="M115" s="409"/>
      <c r="N115" s="246">
        <f>283.2+1522.3</f>
        <v>1805.5</v>
      </c>
    </row>
    <row r="116" spans="1:14" x14ac:dyDescent="0.3">
      <c r="A116" s="20"/>
      <c r="B116" s="22" t="s">
        <v>465</v>
      </c>
      <c r="C116" s="21"/>
      <c r="D116" s="20"/>
      <c r="E116" s="19" t="s">
        <v>464</v>
      </c>
      <c r="F116" s="18">
        <f>F117+F130+F146</f>
        <v>33970.400000000001</v>
      </c>
      <c r="G116" s="18">
        <f>G117+G130+G146</f>
        <v>-1.1546319456101628E-14</v>
      </c>
      <c r="H116" s="18">
        <f>H117+H130+H146</f>
        <v>33970.400000000001</v>
      </c>
      <c r="I116" s="18">
        <f>I117+I130+I146</f>
        <v>28966.2</v>
      </c>
      <c r="J116" s="429"/>
      <c r="K116" s="18">
        <f>K117+K130+K146</f>
        <v>28966.2</v>
      </c>
      <c r="L116" s="18">
        <f>L117+L130+L146</f>
        <v>32918.400000000001</v>
      </c>
      <c r="M116" s="429"/>
      <c r="N116" s="18">
        <f>N117+N130+N146</f>
        <v>32918.400000000001</v>
      </c>
    </row>
    <row r="117" spans="1:14" ht="26.4" x14ac:dyDescent="0.3">
      <c r="A117" s="20"/>
      <c r="B117" s="22" t="s">
        <v>463</v>
      </c>
      <c r="C117" s="21"/>
      <c r="D117" s="22"/>
      <c r="E117" s="27" t="s">
        <v>462</v>
      </c>
      <c r="F117" s="18">
        <f t="shared" ref="F117:N119" si="15">F118</f>
        <v>28040.6</v>
      </c>
      <c r="G117" s="18">
        <f t="shared" si="15"/>
        <v>-301.3</v>
      </c>
      <c r="H117" s="18">
        <f t="shared" si="15"/>
        <v>27739.3</v>
      </c>
      <c r="I117" s="18">
        <f t="shared" si="15"/>
        <v>28255.4</v>
      </c>
      <c r="J117" s="429"/>
      <c r="K117" s="18">
        <f t="shared" si="15"/>
        <v>28255.4</v>
      </c>
      <c r="L117" s="18">
        <f t="shared" si="15"/>
        <v>29113.9</v>
      </c>
      <c r="M117" s="429"/>
      <c r="N117" s="18">
        <f t="shared" si="15"/>
        <v>29113.9</v>
      </c>
    </row>
    <row r="118" spans="1:14" x14ac:dyDescent="0.3">
      <c r="A118" s="20"/>
      <c r="B118" s="22"/>
      <c r="C118" s="21" t="s">
        <v>36</v>
      </c>
      <c r="D118" s="20"/>
      <c r="E118" s="27" t="s">
        <v>35</v>
      </c>
      <c r="F118" s="18">
        <f t="shared" si="15"/>
        <v>28040.6</v>
      </c>
      <c r="G118" s="18">
        <f t="shared" si="15"/>
        <v>-301.3</v>
      </c>
      <c r="H118" s="18">
        <f t="shared" si="15"/>
        <v>27739.3</v>
      </c>
      <c r="I118" s="18">
        <f t="shared" si="15"/>
        <v>28255.4</v>
      </c>
      <c r="J118" s="429"/>
      <c r="K118" s="18">
        <f t="shared" si="15"/>
        <v>28255.4</v>
      </c>
      <c r="L118" s="18">
        <f t="shared" si="15"/>
        <v>29113.9</v>
      </c>
      <c r="M118" s="429"/>
      <c r="N118" s="18">
        <f t="shared" si="15"/>
        <v>29113.9</v>
      </c>
    </row>
    <row r="119" spans="1:14" ht="39.6" x14ac:dyDescent="0.3">
      <c r="A119" s="53"/>
      <c r="B119" s="33"/>
      <c r="C119" s="34" t="s">
        <v>425</v>
      </c>
      <c r="D119" s="33"/>
      <c r="E119" s="32" t="s">
        <v>461</v>
      </c>
      <c r="F119" s="31">
        <f t="shared" si="15"/>
        <v>28040.6</v>
      </c>
      <c r="G119" s="31">
        <f t="shared" si="15"/>
        <v>-301.3</v>
      </c>
      <c r="H119" s="31">
        <f t="shared" si="15"/>
        <v>27739.3</v>
      </c>
      <c r="I119" s="31">
        <f t="shared" si="15"/>
        <v>28255.4</v>
      </c>
      <c r="J119" s="423"/>
      <c r="K119" s="31">
        <f t="shared" si="15"/>
        <v>28255.4</v>
      </c>
      <c r="L119" s="31">
        <f t="shared" si="15"/>
        <v>29113.9</v>
      </c>
      <c r="M119" s="423"/>
      <c r="N119" s="31">
        <f t="shared" si="15"/>
        <v>29113.9</v>
      </c>
    </row>
    <row r="120" spans="1:14" ht="27" x14ac:dyDescent="0.3">
      <c r="A120" s="153"/>
      <c r="B120" s="153"/>
      <c r="C120" s="153" t="s">
        <v>460</v>
      </c>
      <c r="D120" s="153"/>
      <c r="E120" s="164" t="s">
        <v>459</v>
      </c>
      <c r="F120" s="155">
        <f>F121+F123+F127+F125</f>
        <v>28040.6</v>
      </c>
      <c r="G120" s="155">
        <f>G121+G123+G127+G125</f>
        <v>-301.3</v>
      </c>
      <c r="H120" s="155">
        <f>H121+H123+H127+H125</f>
        <v>27739.3</v>
      </c>
      <c r="I120" s="155">
        <f>I121+I123+I127+I125</f>
        <v>28255.4</v>
      </c>
      <c r="J120" s="411"/>
      <c r="K120" s="155">
        <f>K121+K123+K127+K125</f>
        <v>28255.4</v>
      </c>
      <c r="L120" s="155">
        <f>L121+L123+L127+L125</f>
        <v>29113.9</v>
      </c>
      <c r="M120" s="411"/>
      <c r="N120" s="155">
        <f>N121+N123+N127+N125</f>
        <v>29113.9</v>
      </c>
    </row>
    <row r="121" spans="1:14" x14ac:dyDescent="0.3">
      <c r="A121" s="7"/>
      <c r="B121" s="7"/>
      <c r="C121" s="7" t="s">
        <v>458</v>
      </c>
      <c r="D121" s="7"/>
      <c r="E121" s="10" t="s">
        <v>457</v>
      </c>
      <c r="F121" s="9">
        <f>SUM(F122)</f>
        <v>52.4</v>
      </c>
      <c r="G121" s="412"/>
      <c r="H121" s="9">
        <f>SUM(H122)</f>
        <v>52.4</v>
      </c>
      <c r="I121" s="9">
        <f>SUM(I122)</f>
        <v>0</v>
      </c>
      <c r="J121" s="412"/>
      <c r="K121" s="9">
        <f>SUM(K122)</f>
        <v>0</v>
      </c>
      <c r="L121" s="9">
        <f>SUM(L122)</f>
        <v>52.4</v>
      </c>
      <c r="M121" s="412"/>
      <c r="N121" s="9">
        <f>SUM(N122)</f>
        <v>52.4</v>
      </c>
    </row>
    <row r="122" spans="1:14" x14ac:dyDescent="0.3">
      <c r="A122" s="7"/>
      <c r="B122" s="7"/>
      <c r="C122" s="7"/>
      <c r="D122" s="7" t="s">
        <v>12</v>
      </c>
      <c r="E122" s="6" t="s">
        <v>11</v>
      </c>
      <c r="F122" s="175">
        <v>52.4</v>
      </c>
      <c r="G122" s="407"/>
      <c r="H122" s="175">
        <v>52.4</v>
      </c>
      <c r="I122" s="175">
        <v>0</v>
      </c>
      <c r="J122" s="407"/>
      <c r="K122" s="175">
        <v>0</v>
      </c>
      <c r="L122" s="175">
        <v>52.4</v>
      </c>
      <c r="M122" s="407"/>
      <c r="N122" s="175">
        <v>52.4</v>
      </c>
    </row>
    <row r="123" spans="1:14" ht="40.200000000000003" x14ac:dyDescent="0.3">
      <c r="A123" s="7"/>
      <c r="B123" s="7"/>
      <c r="C123" s="7" t="s">
        <v>456</v>
      </c>
      <c r="D123" s="7"/>
      <c r="E123" s="6" t="s">
        <v>537</v>
      </c>
      <c r="F123" s="9">
        <f>F124</f>
        <v>270.2</v>
      </c>
      <c r="G123" s="412"/>
      <c r="H123" s="9">
        <f>H124</f>
        <v>270.2</v>
      </c>
      <c r="I123" s="9">
        <f>I124</f>
        <v>0</v>
      </c>
      <c r="J123" s="412"/>
      <c r="K123" s="9">
        <f>K124</f>
        <v>0</v>
      </c>
      <c r="L123" s="9">
        <f>L124</f>
        <v>126.8</v>
      </c>
      <c r="M123" s="412"/>
      <c r="N123" s="9">
        <f>N124</f>
        <v>126.8</v>
      </c>
    </row>
    <row r="124" spans="1:14" x14ac:dyDescent="0.3">
      <c r="A124" s="7"/>
      <c r="B124" s="7"/>
      <c r="C124" s="7"/>
      <c r="D124" s="7" t="s">
        <v>12</v>
      </c>
      <c r="E124" s="6" t="s">
        <v>11</v>
      </c>
      <c r="F124" s="175">
        <v>270.2</v>
      </c>
      <c r="G124" s="407"/>
      <c r="H124" s="175">
        <v>270.2</v>
      </c>
      <c r="I124" s="175">
        <v>0</v>
      </c>
      <c r="J124" s="407"/>
      <c r="K124" s="175">
        <v>0</v>
      </c>
      <c r="L124" s="175">
        <v>126.8</v>
      </c>
      <c r="M124" s="407"/>
      <c r="N124" s="175">
        <v>126.8</v>
      </c>
    </row>
    <row r="125" spans="1:14" ht="27" x14ac:dyDescent="0.3">
      <c r="A125" s="7"/>
      <c r="B125" s="7"/>
      <c r="C125" s="7" t="s">
        <v>538</v>
      </c>
      <c r="D125" s="7"/>
      <c r="E125" s="6" t="s">
        <v>539</v>
      </c>
      <c r="F125" s="9">
        <f>F126</f>
        <v>578</v>
      </c>
      <c r="G125" s="9">
        <f>G126</f>
        <v>-301.3</v>
      </c>
      <c r="H125" s="9">
        <f>H126</f>
        <v>276.7</v>
      </c>
      <c r="I125" s="9">
        <f>I126</f>
        <v>0</v>
      </c>
      <c r="J125" s="412"/>
      <c r="K125" s="9">
        <f>K126</f>
        <v>0</v>
      </c>
      <c r="L125" s="9">
        <f>L126</f>
        <v>578</v>
      </c>
      <c r="M125" s="412"/>
      <c r="N125" s="9">
        <f>N126</f>
        <v>578</v>
      </c>
    </row>
    <row r="126" spans="1:14" x14ac:dyDescent="0.3">
      <c r="A126" s="7"/>
      <c r="B126" s="7"/>
      <c r="C126" s="7"/>
      <c r="D126" s="7" t="s">
        <v>12</v>
      </c>
      <c r="E126" s="6" t="s">
        <v>11</v>
      </c>
      <c r="F126" s="175">
        <v>578</v>
      </c>
      <c r="G126" s="407">
        <v>-301.3</v>
      </c>
      <c r="H126" s="175">
        <v>276.7</v>
      </c>
      <c r="I126" s="175">
        <v>0</v>
      </c>
      <c r="J126" s="407"/>
      <c r="K126" s="175">
        <v>0</v>
      </c>
      <c r="L126" s="175">
        <v>578</v>
      </c>
      <c r="M126" s="407"/>
      <c r="N126" s="175">
        <v>578</v>
      </c>
    </row>
    <row r="127" spans="1:14" x14ac:dyDescent="0.3">
      <c r="A127" s="7"/>
      <c r="B127" s="7"/>
      <c r="C127" s="7" t="s">
        <v>455</v>
      </c>
      <c r="D127" s="7"/>
      <c r="E127" s="108" t="s">
        <v>454</v>
      </c>
      <c r="F127" s="9">
        <f>F128+F129</f>
        <v>27140</v>
      </c>
      <c r="G127" s="412"/>
      <c r="H127" s="9">
        <f>H128+H129</f>
        <v>27140</v>
      </c>
      <c r="I127" s="9">
        <f>I128+I129</f>
        <v>28255.4</v>
      </c>
      <c r="J127" s="412"/>
      <c r="K127" s="9">
        <f>K128+K129</f>
        <v>28255.4</v>
      </c>
      <c r="L127" s="9">
        <f>L128+L129</f>
        <v>28356.7</v>
      </c>
      <c r="M127" s="412"/>
      <c r="N127" s="9">
        <f>N128+N129</f>
        <v>28356.7</v>
      </c>
    </row>
    <row r="128" spans="1:14" ht="40.200000000000003" x14ac:dyDescent="0.3">
      <c r="A128" s="7"/>
      <c r="B128" s="7"/>
      <c r="C128" s="7"/>
      <c r="D128" s="7" t="s">
        <v>2</v>
      </c>
      <c r="E128" s="6" t="s">
        <v>1</v>
      </c>
      <c r="F128" s="175">
        <v>25436.7</v>
      </c>
      <c r="G128" s="407"/>
      <c r="H128" s="175">
        <v>25436.7</v>
      </c>
      <c r="I128" s="175">
        <v>26653.4</v>
      </c>
      <c r="J128" s="407"/>
      <c r="K128" s="175">
        <v>26653.4</v>
      </c>
      <c r="L128" s="175">
        <v>26653.4</v>
      </c>
      <c r="M128" s="407"/>
      <c r="N128" s="175">
        <v>26653.4</v>
      </c>
    </row>
    <row r="129" spans="1:14" x14ac:dyDescent="0.3">
      <c r="A129" s="7"/>
      <c r="B129" s="7"/>
      <c r="C129" s="7"/>
      <c r="D129" s="7" t="s">
        <v>12</v>
      </c>
      <c r="E129" s="6" t="s">
        <v>11</v>
      </c>
      <c r="F129" s="175">
        <v>1703.3</v>
      </c>
      <c r="G129" s="407"/>
      <c r="H129" s="175">
        <v>1703.3</v>
      </c>
      <c r="I129" s="175">
        <v>1602</v>
      </c>
      <c r="J129" s="407"/>
      <c r="K129" s="175">
        <v>1602</v>
      </c>
      <c r="L129" s="175">
        <v>1703.3</v>
      </c>
      <c r="M129" s="407"/>
      <c r="N129" s="175">
        <v>1703.3</v>
      </c>
    </row>
    <row r="130" spans="1:14" x14ac:dyDescent="0.3">
      <c r="A130" s="7"/>
      <c r="B130" s="22" t="s">
        <v>453</v>
      </c>
      <c r="C130" s="21"/>
      <c r="D130" s="22"/>
      <c r="E130" s="19" t="s">
        <v>452</v>
      </c>
      <c r="F130" s="26">
        <f>F131+F142</f>
        <v>4855</v>
      </c>
      <c r="G130" s="26">
        <f t="shared" ref="G130:L130" si="16">G131+G142</f>
        <v>299</v>
      </c>
      <c r="H130" s="26">
        <f t="shared" si="16"/>
        <v>5154</v>
      </c>
      <c r="I130" s="26">
        <f t="shared" si="16"/>
        <v>407.6</v>
      </c>
      <c r="J130" s="26"/>
      <c r="K130" s="26">
        <f t="shared" si="16"/>
        <v>407.6</v>
      </c>
      <c r="L130" s="26">
        <f t="shared" si="16"/>
        <v>3015.4</v>
      </c>
      <c r="M130" s="424"/>
      <c r="N130" s="26">
        <f t="shared" ref="F130:N132" si="17">N131</f>
        <v>3015.4</v>
      </c>
    </row>
    <row r="131" spans="1:14" x14ac:dyDescent="0.3">
      <c r="A131" s="7"/>
      <c r="B131" s="54"/>
      <c r="C131" s="21" t="s">
        <v>36</v>
      </c>
      <c r="D131" s="20"/>
      <c r="E131" s="27" t="s">
        <v>162</v>
      </c>
      <c r="F131" s="26">
        <f t="shared" si="17"/>
        <v>4855</v>
      </c>
      <c r="G131" s="26">
        <f t="shared" si="17"/>
        <v>-1</v>
      </c>
      <c r="H131" s="26">
        <f t="shared" si="17"/>
        <v>4854</v>
      </c>
      <c r="I131" s="26">
        <f t="shared" si="17"/>
        <v>407.6</v>
      </c>
      <c r="J131" s="424"/>
      <c r="K131" s="26">
        <f t="shared" si="17"/>
        <v>407.6</v>
      </c>
      <c r="L131" s="26">
        <f t="shared" si="17"/>
        <v>3015.4</v>
      </c>
      <c r="M131" s="424"/>
      <c r="N131" s="26">
        <f t="shared" si="17"/>
        <v>3015.4</v>
      </c>
    </row>
    <row r="132" spans="1:14" ht="39.6" x14ac:dyDescent="0.3">
      <c r="A132" s="33"/>
      <c r="B132" s="33"/>
      <c r="C132" s="34" t="s">
        <v>425</v>
      </c>
      <c r="D132" s="33"/>
      <c r="E132" s="32" t="s">
        <v>424</v>
      </c>
      <c r="F132" s="31">
        <f t="shared" si="17"/>
        <v>4855</v>
      </c>
      <c r="G132" s="31">
        <f t="shared" si="17"/>
        <v>-1</v>
      </c>
      <c r="H132" s="31">
        <f t="shared" si="17"/>
        <v>4854</v>
      </c>
      <c r="I132" s="31">
        <f t="shared" si="17"/>
        <v>407.6</v>
      </c>
      <c r="J132" s="423"/>
      <c r="K132" s="31">
        <f t="shared" si="17"/>
        <v>407.6</v>
      </c>
      <c r="L132" s="31">
        <f t="shared" si="17"/>
        <v>3015.4</v>
      </c>
      <c r="M132" s="423"/>
      <c r="N132" s="31">
        <f t="shared" si="17"/>
        <v>3015.4</v>
      </c>
    </row>
    <row r="133" spans="1:14" ht="27" x14ac:dyDescent="0.3">
      <c r="A133" s="153"/>
      <c r="B133" s="153"/>
      <c r="C133" s="153" t="s">
        <v>451</v>
      </c>
      <c r="D133" s="153"/>
      <c r="E133" s="164" t="s">
        <v>450</v>
      </c>
      <c r="F133" s="155">
        <f>F134+F136+F140</f>
        <v>4855</v>
      </c>
      <c r="G133" s="155">
        <f>G134+G136+G140</f>
        <v>-1</v>
      </c>
      <c r="H133" s="155">
        <f>H134+H136+H140</f>
        <v>4854</v>
      </c>
      <c r="I133" s="155">
        <f>I134+I136+I140</f>
        <v>407.6</v>
      </c>
      <c r="J133" s="411"/>
      <c r="K133" s="155">
        <f>K134+K136+K140</f>
        <v>407.6</v>
      </c>
      <c r="L133" s="155">
        <f>L134+L136+L140</f>
        <v>3015.4</v>
      </c>
      <c r="M133" s="411"/>
      <c r="N133" s="155">
        <f>N134+N136+N140</f>
        <v>3015.4</v>
      </c>
    </row>
    <row r="134" spans="1:14" x14ac:dyDescent="0.3">
      <c r="A134" s="7"/>
      <c r="B134" s="7"/>
      <c r="C134" s="7" t="s">
        <v>449</v>
      </c>
      <c r="D134" s="7"/>
      <c r="E134" s="96" t="s">
        <v>448</v>
      </c>
      <c r="F134" s="9">
        <f>F135</f>
        <v>121.9</v>
      </c>
      <c r="G134" s="412"/>
      <c r="H134" s="9">
        <f>H135</f>
        <v>121.9</v>
      </c>
      <c r="I134" s="9">
        <f>I135</f>
        <v>121.9</v>
      </c>
      <c r="J134" s="412"/>
      <c r="K134" s="9">
        <f>K135</f>
        <v>121.9</v>
      </c>
      <c r="L134" s="9">
        <f>L135</f>
        <v>121.9</v>
      </c>
      <c r="M134" s="412"/>
      <c r="N134" s="9">
        <f>N135</f>
        <v>121.9</v>
      </c>
    </row>
    <row r="135" spans="1:14" x14ac:dyDescent="0.3">
      <c r="A135" s="7"/>
      <c r="B135" s="7"/>
      <c r="C135" s="7"/>
      <c r="D135" s="7" t="s">
        <v>12</v>
      </c>
      <c r="E135" s="6" t="s">
        <v>11</v>
      </c>
      <c r="F135" s="175">
        <v>121.9</v>
      </c>
      <c r="G135" s="407"/>
      <c r="H135" s="175">
        <v>121.9</v>
      </c>
      <c r="I135" s="175">
        <v>121.9</v>
      </c>
      <c r="J135" s="407"/>
      <c r="K135" s="175">
        <v>121.9</v>
      </c>
      <c r="L135" s="175">
        <v>121.9</v>
      </c>
      <c r="M135" s="407"/>
      <c r="N135" s="175">
        <v>121.9</v>
      </c>
    </row>
    <row r="136" spans="1:14" x14ac:dyDescent="0.3">
      <c r="A136" s="7"/>
      <c r="B136" s="7"/>
      <c r="C136" s="7" t="s">
        <v>447</v>
      </c>
      <c r="D136" s="7"/>
      <c r="E136" s="11" t="s">
        <v>446</v>
      </c>
      <c r="F136" s="9">
        <f>F137+F138</f>
        <v>4115.6000000000004</v>
      </c>
      <c r="G136" s="9">
        <f>G137+G138+G139</f>
        <v>-1</v>
      </c>
      <c r="H136" s="9">
        <f>H137+H138+H139</f>
        <v>4114.6000000000004</v>
      </c>
      <c r="I136" s="9">
        <f>I137+I138</f>
        <v>285.7</v>
      </c>
      <c r="J136" s="412"/>
      <c r="K136" s="9">
        <f>K137+K138</f>
        <v>285.7</v>
      </c>
      <c r="L136" s="9">
        <f>L137+L138</f>
        <v>2276</v>
      </c>
      <c r="M136" s="412"/>
      <c r="N136" s="9">
        <f>N137+N138</f>
        <v>2276</v>
      </c>
    </row>
    <row r="137" spans="1:14" x14ac:dyDescent="0.3">
      <c r="A137" s="7"/>
      <c r="B137" s="7"/>
      <c r="C137" s="7"/>
      <c r="D137" s="7" t="s">
        <v>12</v>
      </c>
      <c r="E137" s="6" t="s">
        <v>11</v>
      </c>
      <c r="F137" s="9">
        <v>3976.1</v>
      </c>
      <c r="G137" s="412">
        <v>-1</v>
      </c>
      <c r="H137" s="9">
        <v>3975.1</v>
      </c>
      <c r="I137" s="9">
        <v>146.19999999999999</v>
      </c>
      <c r="J137" s="412"/>
      <c r="K137" s="9">
        <v>146.19999999999999</v>
      </c>
      <c r="L137" s="9">
        <v>2136.5</v>
      </c>
      <c r="M137" s="412"/>
      <c r="N137" s="9">
        <v>2136.5</v>
      </c>
    </row>
    <row r="138" spans="1:14" ht="27" x14ac:dyDescent="0.3">
      <c r="A138" s="7"/>
      <c r="B138" s="7"/>
      <c r="C138" s="7"/>
      <c r="D138" s="7" t="s">
        <v>57</v>
      </c>
      <c r="E138" s="6" t="s">
        <v>56</v>
      </c>
      <c r="F138" s="9">
        <v>139.5</v>
      </c>
      <c r="G138" s="412"/>
      <c r="H138" s="9">
        <v>139.5</v>
      </c>
      <c r="I138" s="9">
        <v>139.5</v>
      </c>
      <c r="J138" s="412"/>
      <c r="K138" s="9">
        <v>139.5</v>
      </c>
      <c r="L138" s="9">
        <v>139.5</v>
      </c>
      <c r="M138" s="412"/>
      <c r="N138" s="9">
        <v>139.5</v>
      </c>
    </row>
    <row r="139" spans="1:14" x14ac:dyDescent="0.3">
      <c r="A139" s="417"/>
      <c r="B139" s="417"/>
      <c r="C139" s="417"/>
      <c r="D139" s="417" t="s">
        <v>22</v>
      </c>
      <c r="E139" s="6" t="s">
        <v>21</v>
      </c>
      <c r="F139" s="412">
        <v>0</v>
      </c>
      <c r="G139" s="412"/>
      <c r="H139" s="412">
        <v>0</v>
      </c>
      <c r="I139" s="412">
        <v>0</v>
      </c>
      <c r="J139" s="412"/>
      <c r="K139" s="412">
        <v>0</v>
      </c>
      <c r="L139" s="412">
        <v>0</v>
      </c>
      <c r="M139" s="412"/>
      <c r="N139" s="412"/>
    </row>
    <row r="140" spans="1:14" x14ac:dyDescent="0.3">
      <c r="A140" s="7"/>
      <c r="B140" s="7"/>
      <c r="C140" s="7" t="s">
        <v>445</v>
      </c>
      <c r="D140" s="7"/>
      <c r="E140" s="110" t="s">
        <v>444</v>
      </c>
      <c r="F140" s="9">
        <f>SUM(F141)</f>
        <v>617.5</v>
      </c>
      <c r="G140" s="412"/>
      <c r="H140" s="9">
        <f>SUM(H141)</f>
        <v>617.5</v>
      </c>
      <c r="I140" s="9">
        <f>SUM(I141)</f>
        <v>0</v>
      </c>
      <c r="J140" s="412"/>
      <c r="K140" s="9">
        <f>SUM(K141)</f>
        <v>0</v>
      </c>
      <c r="L140" s="9">
        <f>SUM(L141)</f>
        <v>617.5</v>
      </c>
      <c r="M140" s="412"/>
      <c r="N140" s="9">
        <f>SUM(N141)</f>
        <v>617.5</v>
      </c>
    </row>
    <row r="141" spans="1:14" ht="40.200000000000003" x14ac:dyDescent="0.3">
      <c r="A141" s="7"/>
      <c r="B141" s="7"/>
      <c r="C141" s="7"/>
      <c r="D141" s="7" t="s">
        <v>2</v>
      </c>
      <c r="E141" s="6" t="s">
        <v>1</v>
      </c>
      <c r="F141" s="175">
        <v>617.5</v>
      </c>
      <c r="G141" s="407"/>
      <c r="H141" s="175">
        <v>617.5</v>
      </c>
      <c r="I141" s="175">
        <v>0</v>
      </c>
      <c r="J141" s="407"/>
      <c r="K141" s="175">
        <v>0</v>
      </c>
      <c r="L141" s="175">
        <v>617.5</v>
      </c>
      <c r="M141" s="407"/>
      <c r="N141" s="175">
        <v>617.5</v>
      </c>
    </row>
    <row r="142" spans="1:14" x14ac:dyDescent="0.3">
      <c r="A142" s="17"/>
      <c r="B142" s="17"/>
      <c r="C142" s="17" t="s">
        <v>18</v>
      </c>
      <c r="D142" s="17"/>
      <c r="E142" s="16" t="s">
        <v>17</v>
      </c>
      <c r="F142" s="15">
        <f>F143</f>
        <v>0</v>
      </c>
      <c r="G142" s="15">
        <f>G143</f>
        <v>300</v>
      </c>
      <c r="H142" s="15">
        <f>H143</f>
        <v>300</v>
      </c>
      <c r="I142" s="15">
        <f t="shared" ref="I142:N143" si="18">I143</f>
        <v>0</v>
      </c>
      <c r="J142" s="15">
        <f t="shared" si="18"/>
        <v>0</v>
      </c>
      <c r="K142" s="15">
        <f t="shared" si="18"/>
        <v>0</v>
      </c>
      <c r="L142" s="15">
        <f t="shared" si="18"/>
        <v>0</v>
      </c>
      <c r="M142" s="432"/>
      <c r="N142" s="15">
        <f t="shared" si="18"/>
        <v>2116.5</v>
      </c>
    </row>
    <row r="143" spans="1:14" ht="27" x14ac:dyDescent="0.3">
      <c r="A143" s="14"/>
      <c r="B143" s="14"/>
      <c r="C143" s="14" t="s">
        <v>16</v>
      </c>
      <c r="D143" s="14"/>
      <c r="E143" s="13" t="s">
        <v>15</v>
      </c>
      <c r="F143" s="12">
        <f>F144</f>
        <v>0</v>
      </c>
      <c r="G143" s="12">
        <f t="shared" ref="G143:H143" si="19">G144</f>
        <v>300</v>
      </c>
      <c r="H143" s="12">
        <f t="shared" si="19"/>
        <v>300</v>
      </c>
      <c r="I143" s="12">
        <f t="shared" si="18"/>
        <v>0</v>
      </c>
      <c r="J143" s="12">
        <f t="shared" si="18"/>
        <v>0</v>
      </c>
      <c r="K143" s="12">
        <f t="shared" si="18"/>
        <v>0</v>
      </c>
      <c r="L143" s="12">
        <f t="shared" si="18"/>
        <v>0</v>
      </c>
      <c r="M143" s="428"/>
      <c r="N143" s="12">
        <f>N146+N154+N156+N150+N160</f>
        <v>2116.5</v>
      </c>
    </row>
    <row r="144" spans="1:14" x14ac:dyDescent="0.3">
      <c r="A144" s="490"/>
      <c r="B144" s="490"/>
      <c r="C144" s="361" t="s">
        <v>945</v>
      </c>
      <c r="D144" s="361"/>
      <c r="E144" s="506" t="s">
        <v>946</v>
      </c>
      <c r="F144" s="481">
        <f>F145</f>
        <v>0</v>
      </c>
      <c r="G144" s="481">
        <f>G145</f>
        <v>300</v>
      </c>
      <c r="H144" s="481">
        <f>H145</f>
        <v>300</v>
      </c>
      <c r="I144" s="481">
        <v>0</v>
      </c>
      <c r="J144" s="481"/>
      <c r="K144" s="481">
        <v>0</v>
      </c>
      <c r="L144" s="481">
        <v>0</v>
      </c>
      <c r="M144" s="489"/>
      <c r="N144" s="489"/>
    </row>
    <row r="145" spans="1:14" x14ac:dyDescent="0.3">
      <c r="A145" s="490"/>
      <c r="B145" s="490"/>
      <c r="C145" s="364"/>
      <c r="D145" s="361" t="s">
        <v>22</v>
      </c>
      <c r="E145" s="365" t="s">
        <v>21</v>
      </c>
      <c r="F145" s="481">
        <v>0</v>
      </c>
      <c r="G145" s="481">
        <v>300</v>
      </c>
      <c r="H145" s="481">
        <v>300</v>
      </c>
      <c r="I145" s="481">
        <v>0</v>
      </c>
      <c r="J145" s="481"/>
      <c r="K145" s="481">
        <v>0</v>
      </c>
      <c r="L145" s="481">
        <v>0</v>
      </c>
      <c r="M145" s="489"/>
      <c r="N145" s="489"/>
    </row>
    <row r="146" spans="1:14" ht="26.4" x14ac:dyDescent="0.3">
      <c r="A146" s="7"/>
      <c r="B146" s="22" t="s">
        <v>443</v>
      </c>
      <c r="C146" s="21"/>
      <c r="D146" s="22"/>
      <c r="E146" s="27" t="s">
        <v>442</v>
      </c>
      <c r="F146" s="26">
        <f>F147</f>
        <v>1074.8</v>
      </c>
      <c r="G146" s="26">
        <f>G147</f>
        <v>2.2999999999999998</v>
      </c>
      <c r="H146" s="26">
        <f>H147</f>
        <v>1077.0999999999999</v>
      </c>
      <c r="I146" s="26">
        <f>I147</f>
        <v>303.2</v>
      </c>
      <c r="J146" s="424"/>
      <c r="K146" s="26">
        <f>K147</f>
        <v>303.2</v>
      </c>
      <c r="L146" s="26">
        <f>L147</f>
        <v>789.09999999999991</v>
      </c>
      <c r="M146" s="424"/>
      <c r="N146" s="26">
        <f>N147</f>
        <v>789.09999999999991</v>
      </c>
    </row>
    <row r="147" spans="1:14" x14ac:dyDescent="0.3">
      <c r="A147" s="7"/>
      <c r="B147" s="22"/>
      <c r="C147" s="21" t="s">
        <v>36</v>
      </c>
      <c r="D147" s="20"/>
      <c r="E147" s="27" t="s">
        <v>35</v>
      </c>
      <c r="F147" s="26">
        <f>F148+F167</f>
        <v>1074.8</v>
      </c>
      <c r="G147" s="26">
        <f>G148+G167</f>
        <v>2.2999999999999998</v>
      </c>
      <c r="H147" s="26">
        <f>H148+H167</f>
        <v>1077.0999999999999</v>
      </c>
      <c r="I147" s="26">
        <f>I148+I167</f>
        <v>303.2</v>
      </c>
      <c r="J147" s="424"/>
      <c r="K147" s="26">
        <f>K148+K167</f>
        <v>303.2</v>
      </c>
      <c r="L147" s="26">
        <f>L148+L167</f>
        <v>789.09999999999991</v>
      </c>
      <c r="M147" s="424"/>
      <c r="N147" s="26">
        <f>N148+N167</f>
        <v>789.09999999999991</v>
      </c>
    </row>
    <row r="148" spans="1:14" ht="26.4" x14ac:dyDescent="0.3">
      <c r="A148" s="33"/>
      <c r="B148" s="33"/>
      <c r="C148" s="34" t="s">
        <v>441</v>
      </c>
      <c r="D148" s="33"/>
      <c r="E148" s="32" t="s">
        <v>440</v>
      </c>
      <c r="F148" s="31">
        <f>F149+F155</f>
        <v>1054.8</v>
      </c>
      <c r="G148" s="423"/>
      <c r="H148" s="31">
        <f>H149+H155</f>
        <v>1054.8</v>
      </c>
      <c r="I148" s="31">
        <f>I149+I155</f>
        <v>283.2</v>
      </c>
      <c r="J148" s="423"/>
      <c r="K148" s="31">
        <f>K149+K155</f>
        <v>283.2</v>
      </c>
      <c r="L148" s="31">
        <f>L149+L155</f>
        <v>769.09999999999991</v>
      </c>
      <c r="M148" s="423"/>
      <c r="N148" s="31">
        <f>N149+N155</f>
        <v>769.09999999999991</v>
      </c>
    </row>
    <row r="149" spans="1:14" ht="40.200000000000003" x14ac:dyDescent="0.3">
      <c r="A149" s="30"/>
      <c r="B149" s="30"/>
      <c r="C149" s="30" t="s">
        <v>439</v>
      </c>
      <c r="D149" s="30"/>
      <c r="E149" s="51" t="s">
        <v>604</v>
      </c>
      <c r="F149" s="28">
        <f>F150</f>
        <v>697.5</v>
      </c>
      <c r="G149" s="410"/>
      <c r="H149" s="28">
        <f>H150</f>
        <v>697.5</v>
      </c>
      <c r="I149" s="28">
        <f>I150</f>
        <v>0</v>
      </c>
      <c r="J149" s="410"/>
      <c r="K149" s="28">
        <f>K150</f>
        <v>0</v>
      </c>
      <c r="L149" s="28">
        <f>L150</f>
        <v>411.79999999999995</v>
      </c>
      <c r="M149" s="410"/>
      <c r="N149" s="28">
        <f>N150</f>
        <v>411.79999999999995</v>
      </c>
    </row>
    <row r="150" spans="1:14" ht="40.200000000000003" x14ac:dyDescent="0.3">
      <c r="A150" s="153"/>
      <c r="B150" s="153"/>
      <c r="C150" s="153" t="s">
        <v>438</v>
      </c>
      <c r="D150" s="160"/>
      <c r="E150" s="154" t="s">
        <v>605</v>
      </c>
      <c r="F150" s="155">
        <f>F151+F153</f>
        <v>697.5</v>
      </c>
      <c r="G150" s="411"/>
      <c r="H150" s="155">
        <f>H151+H153</f>
        <v>697.5</v>
      </c>
      <c r="I150" s="155">
        <f>I151+I153</f>
        <v>0</v>
      </c>
      <c r="J150" s="411"/>
      <c r="K150" s="155">
        <f>K151+K153</f>
        <v>0</v>
      </c>
      <c r="L150" s="155">
        <f>L151+L153</f>
        <v>411.79999999999995</v>
      </c>
      <c r="M150" s="411"/>
      <c r="N150" s="155">
        <f>N151+N153</f>
        <v>411.79999999999995</v>
      </c>
    </row>
    <row r="151" spans="1:14" ht="40.200000000000003" x14ac:dyDescent="0.3">
      <c r="A151" s="7"/>
      <c r="B151" s="7"/>
      <c r="C151" s="7" t="s">
        <v>437</v>
      </c>
      <c r="D151" s="7"/>
      <c r="E151" s="6" t="s">
        <v>436</v>
      </c>
      <c r="F151" s="9">
        <f>F152</f>
        <v>15.9</v>
      </c>
      <c r="G151" s="412"/>
      <c r="H151" s="9">
        <f>H152</f>
        <v>15.9</v>
      </c>
      <c r="I151" s="9">
        <f>I152</f>
        <v>0</v>
      </c>
      <c r="J151" s="412"/>
      <c r="K151" s="9">
        <f>K152</f>
        <v>0</v>
      </c>
      <c r="L151" s="9">
        <f>L152</f>
        <v>15.9</v>
      </c>
      <c r="M151" s="412"/>
      <c r="N151" s="9">
        <f>N152</f>
        <v>15.9</v>
      </c>
    </row>
    <row r="152" spans="1:14" x14ac:dyDescent="0.3">
      <c r="A152" s="7"/>
      <c r="B152" s="7"/>
      <c r="C152" s="7"/>
      <c r="D152" s="7" t="s">
        <v>12</v>
      </c>
      <c r="E152" s="6" t="s">
        <v>11</v>
      </c>
      <c r="F152" s="175">
        <v>15.9</v>
      </c>
      <c r="G152" s="407"/>
      <c r="H152" s="175">
        <v>15.9</v>
      </c>
      <c r="I152" s="175">
        <v>0</v>
      </c>
      <c r="J152" s="407"/>
      <c r="K152" s="175">
        <v>0</v>
      </c>
      <c r="L152" s="175">
        <v>15.9</v>
      </c>
      <c r="M152" s="407"/>
      <c r="N152" s="175">
        <v>15.9</v>
      </c>
    </row>
    <row r="153" spans="1:14" ht="40.200000000000003" x14ac:dyDescent="0.3">
      <c r="A153" s="7"/>
      <c r="B153" s="7"/>
      <c r="C153" s="7" t="s">
        <v>435</v>
      </c>
      <c r="D153" s="7"/>
      <c r="E153" s="6" t="s">
        <v>434</v>
      </c>
      <c r="F153" s="9">
        <f>F154</f>
        <v>681.6</v>
      </c>
      <c r="G153" s="412"/>
      <c r="H153" s="9">
        <f>H154</f>
        <v>681.6</v>
      </c>
      <c r="I153" s="9">
        <f>I154</f>
        <v>0</v>
      </c>
      <c r="J153" s="412"/>
      <c r="K153" s="9">
        <f>K154</f>
        <v>0</v>
      </c>
      <c r="L153" s="9">
        <f>L154</f>
        <v>395.9</v>
      </c>
      <c r="M153" s="412"/>
      <c r="N153" s="9">
        <f>N154</f>
        <v>395.9</v>
      </c>
    </row>
    <row r="154" spans="1:14" x14ac:dyDescent="0.3">
      <c r="A154" s="7"/>
      <c r="B154" s="7"/>
      <c r="C154" s="7"/>
      <c r="D154" s="7" t="s">
        <v>12</v>
      </c>
      <c r="E154" s="6" t="s">
        <v>11</v>
      </c>
      <c r="F154" s="175">
        <v>681.6</v>
      </c>
      <c r="G154" s="407"/>
      <c r="H154" s="175">
        <v>681.6</v>
      </c>
      <c r="I154" s="175">
        <v>0</v>
      </c>
      <c r="J154" s="407"/>
      <c r="K154" s="175">
        <v>0</v>
      </c>
      <c r="L154" s="175">
        <v>395.9</v>
      </c>
      <c r="M154" s="407"/>
      <c r="N154" s="175">
        <v>395.9</v>
      </c>
    </row>
    <row r="155" spans="1:14" ht="27" x14ac:dyDescent="0.3">
      <c r="A155" s="30"/>
      <c r="B155" s="30"/>
      <c r="C155" s="30" t="s">
        <v>433</v>
      </c>
      <c r="D155" s="30"/>
      <c r="E155" s="51" t="s">
        <v>432</v>
      </c>
      <c r="F155" s="28">
        <f>F156</f>
        <v>357.3</v>
      </c>
      <c r="G155" s="410"/>
      <c r="H155" s="28">
        <f>H156</f>
        <v>357.3</v>
      </c>
      <c r="I155" s="28">
        <f>I156</f>
        <v>283.2</v>
      </c>
      <c r="J155" s="410"/>
      <c r="K155" s="28">
        <f>K156</f>
        <v>283.2</v>
      </c>
      <c r="L155" s="28">
        <f>L156</f>
        <v>357.3</v>
      </c>
      <c r="M155" s="410"/>
      <c r="N155" s="28">
        <f>N156</f>
        <v>357.3</v>
      </c>
    </row>
    <row r="156" spans="1:14" ht="27" x14ac:dyDescent="0.3">
      <c r="A156" s="153"/>
      <c r="B156" s="153"/>
      <c r="C156" s="153" t="s">
        <v>431</v>
      </c>
      <c r="D156" s="160"/>
      <c r="E156" s="154" t="s">
        <v>430</v>
      </c>
      <c r="F156" s="155">
        <f>F157+F165+F163</f>
        <v>357.3</v>
      </c>
      <c r="G156" s="411"/>
      <c r="H156" s="155">
        <f>H157+H165+H163</f>
        <v>357.3</v>
      </c>
      <c r="I156" s="155">
        <f>I157+I165+I163</f>
        <v>283.2</v>
      </c>
      <c r="J156" s="411"/>
      <c r="K156" s="155">
        <f>K157+K165+K163</f>
        <v>283.2</v>
      </c>
      <c r="L156" s="155">
        <f>L157+L165+L163</f>
        <v>357.3</v>
      </c>
      <c r="M156" s="411"/>
      <c r="N156" s="155">
        <f>N157+N165+N163</f>
        <v>357.3</v>
      </c>
    </row>
    <row r="157" spans="1:14" x14ac:dyDescent="0.3">
      <c r="A157" s="8"/>
      <c r="B157" s="8"/>
      <c r="C157" s="7" t="s">
        <v>429</v>
      </c>
      <c r="D157" s="7"/>
      <c r="E157" s="109" t="s">
        <v>614</v>
      </c>
      <c r="F157" s="9">
        <f>F158+F161</f>
        <v>283.2</v>
      </c>
      <c r="G157" s="412"/>
      <c r="H157" s="9">
        <f>H158+H161</f>
        <v>283.2</v>
      </c>
      <c r="I157" s="9">
        <f>I158+I161</f>
        <v>283.2</v>
      </c>
      <c r="J157" s="412"/>
      <c r="K157" s="9">
        <f>K158+K161</f>
        <v>283.2</v>
      </c>
      <c r="L157" s="9">
        <f>L158+L161</f>
        <v>283.2</v>
      </c>
      <c r="M157" s="412"/>
      <c r="N157" s="9">
        <f>N158+N161</f>
        <v>283.2</v>
      </c>
    </row>
    <row r="158" spans="1:14" x14ac:dyDescent="0.3">
      <c r="A158" s="8"/>
      <c r="B158" s="8"/>
      <c r="C158" s="7"/>
      <c r="D158" s="7" t="s">
        <v>2</v>
      </c>
      <c r="E158" s="6" t="s">
        <v>11</v>
      </c>
      <c r="F158" s="9">
        <f>SUM(F159:F160)</f>
        <v>262.5</v>
      </c>
      <c r="G158" s="412"/>
      <c r="H158" s="9">
        <f>SUM(H159:H160)</f>
        <v>262.5</v>
      </c>
      <c r="I158" s="9">
        <f>SUM(I159:I160)</f>
        <v>262.5</v>
      </c>
      <c r="J158" s="412"/>
      <c r="K158" s="9">
        <f>SUM(K159:K160)</f>
        <v>262.5</v>
      </c>
      <c r="L158" s="9">
        <f>SUM(L159:L160)</f>
        <v>262.5</v>
      </c>
      <c r="M158" s="412"/>
      <c r="N158" s="9">
        <f>SUM(N159:N160)</f>
        <v>262.5</v>
      </c>
    </row>
    <row r="159" spans="1:14" x14ac:dyDescent="0.3">
      <c r="A159" s="8"/>
      <c r="B159" s="8"/>
      <c r="C159" s="7"/>
      <c r="D159" s="7"/>
      <c r="E159" s="6" t="s">
        <v>149</v>
      </c>
      <c r="F159" s="9">
        <v>100.1</v>
      </c>
      <c r="G159" s="412"/>
      <c r="H159" s="9">
        <v>100.1</v>
      </c>
      <c r="I159" s="9">
        <v>100.1</v>
      </c>
      <c r="J159" s="412"/>
      <c r="K159" s="9">
        <v>100.1</v>
      </c>
      <c r="L159" s="9">
        <v>100.1</v>
      </c>
      <c r="M159" s="412"/>
      <c r="N159" s="9">
        <v>100.1</v>
      </c>
    </row>
    <row r="160" spans="1:14" x14ac:dyDescent="0.3">
      <c r="A160" s="8"/>
      <c r="B160" s="8"/>
      <c r="C160" s="7"/>
      <c r="D160" s="7"/>
      <c r="E160" s="6" t="s">
        <v>148</v>
      </c>
      <c r="F160" s="175">
        <f>183.1-20.7</f>
        <v>162.4</v>
      </c>
      <c r="G160" s="407"/>
      <c r="H160" s="175">
        <f>183.1-20.7</f>
        <v>162.4</v>
      </c>
      <c r="I160" s="175">
        <f t="shared" ref="I160:N160" si="20">183.1-20.7</f>
        <v>162.4</v>
      </c>
      <c r="J160" s="407"/>
      <c r="K160" s="175">
        <f t="shared" si="20"/>
        <v>162.4</v>
      </c>
      <c r="L160" s="175">
        <f t="shared" si="20"/>
        <v>162.4</v>
      </c>
      <c r="M160" s="407"/>
      <c r="N160" s="175">
        <f t="shared" si="20"/>
        <v>162.4</v>
      </c>
    </row>
    <row r="161" spans="1:14" x14ac:dyDescent="0.3">
      <c r="A161" s="8"/>
      <c r="B161" s="8"/>
      <c r="C161" s="7"/>
      <c r="D161" s="7" t="s">
        <v>12</v>
      </c>
      <c r="E161" s="6" t="s">
        <v>11</v>
      </c>
      <c r="F161" s="9">
        <f>F162</f>
        <v>20.7</v>
      </c>
      <c r="G161" s="412"/>
      <c r="H161" s="9">
        <f>H162</f>
        <v>20.7</v>
      </c>
      <c r="I161" s="9">
        <f>I162</f>
        <v>20.7</v>
      </c>
      <c r="J161" s="412"/>
      <c r="K161" s="9">
        <f>K162</f>
        <v>20.7</v>
      </c>
      <c r="L161" s="9">
        <f>L162</f>
        <v>20.7</v>
      </c>
      <c r="M161" s="412"/>
      <c r="N161" s="9">
        <f>N162</f>
        <v>20.7</v>
      </c>
    </row>
    <row r="162" spans="1:14" x14ac:dyDescent="0.3">
      <c r="A162" s="8"/>
      <c r="B162" s="8"/>
      <c r="C162" s="7"/>
      <c r="D162" s="7"/>
      <c r="E162" s="6" t="s">
        <v>148</v>
      </c>
      <c r="F162" s="9">
        <v>20.7</v>
      </c>
      <c r="G162" s="412"/>
      <c r="H162" s="9">
        <v>20.7</v>
      </c>
      <c r="I162" s="9">
        <v>20.7</v>
      </c>
      <c r="J162" s="412"/>
      <c r="K162" s="9">
        <v>20.7</v>
      </c>
      <c r="L162" s="9">
        <v>20.7</v>
      </c>
      <c r="M162" s="412"/>
      <c r="N162" s="9">
        <v>20.7</v>
      </c>
    </row>
    <row r="163" spans="1:14" ht="27" x14ac:dyDescent="0.3">
      <c r="A163" s="8"/>
      <c r="B163" s="8"/>
      <c r="C163" s="7" t="s">
        <v>428</v>
      </c>
      <c r="D163" s="7"/>
      <c r="E163" s="6" t="s">
        <v>615</v>
      </c>
      <c r="F163" s="5">
        <f>F164</f>
        <v>39.1</v>
      </c>
      <c r="G163" s="425"/>
      <c r="H163" s="5">
        <f>H164</f>
        <v>39.1</v>
      </c>
      <c r="I163" s="5">
        <f t="shared" ref="I163:N163" si="21">I164</f>
        <v>0</v>
      </c>
      <c r="J163" s="425"/>
      <c r="K163" s="5">
        <f t="shared" si="21"/>
        <v>0</v>
      </c>
      <c r="L163" s="5">
        <f t="shared" si="21"/>
        <v>39.1</v>
      </c>
      <c r="M163" s="425"/>
      <c r="N163" s="5">
        <f t="shared" si="21"/>
        <v>39.1</v>
      </c>
    </row>
    <row r="164" spans="1:14" x14ac:dyDescent="0.3">
      <c r="A164" s="8"/>
      <c r="B164" s="8"/>
      <c r="C164" s="7"/>
      <c r="D164" s="7" t="s">
        <v>12</v>
      </c>
      <c r="E164" s="6" t="s">
        <v>11</v>
      </c>
      <c r="F164" s="175">
        <v>39.1</v>
      </c>
      <c r="G164" s="407"/>
      <c r="H164" s="175">
        <v>39.1</v>
      </c>
      <c r="I164" s="175">
        <v>0</v>
      </c>
      <c r="J164" s="407"/>
      <c r="K164" s="175">
        <v>0</v>
      </c>
      <c r="L164" s="175">
        <v>39.1</v>
      </c>
      <c r="M164" s="407"/>
      <c r="N164" s="175">
        <v>39.1</v>
      </c>
    </row>
    <row r="165" spans="1:14" x14ac:dyDescent="0.3">
      <c r="A165" s="8"/>
      <c r="B165" s="8"/>
      <c r="C165" s="7" t="s">
        <v>427</v>
      </c>
      <c r="D165" s="7"/>
      <c r="E165" s="6" t="s">
        <v>426</v>
      </c>
      <c r="F165" s="5">
        <f>F166</f>
        <v>35</v>
      </c>
      <c r="G165" s="425"/>
      <c r="H165" s="5">
        <f>H166</f>
        <v>35</v>
      </c>
      <c r="I165" s="5">
        <f>I166</f>
        <v>0</v>
      </c>
      <c r="J165" s="425"/>
      <c r="K165" s="5">
        <f>K166</f>
        <v>0</v>
      </c>
      <c r="L165" s="5">
        <f>L166</f>
        <v>35</v>
      </c>
      <c r="M165" s="425"/>
      <c r="N165" s="5">
        <f>N166</f>
        <v>35</v>
      </c>
    </row>
    <row r="166" spans="1:14" x14ac:dyDescent="0.3">
      <c r="A166" s="8"/>
      <c r="B166" s="8"/>
      <c r="C166" s="7"/>
      <c r="D166" s="7" t="s">
        <v>12</v>
      </c>
      <c r="E166" s="6" t="s">
        <v>11</v>
      </c>
      <c r="F166" s="175">
        <v>35</v>
      </c>
      <c r="G166" s="407"/>
      <c r="H166" s="175">
        <v>35</v>
      </c>
      <c r="I166" s="175">
        <v>0</v>
      </c>
      <c r="J166" s="407"/>
      <c r="K166" s="175">
        <v>0</v>
      </c>
      <c r="L166" s="175">
        <v>35</v>
      </c>
      <c r="M166" s="407"/>
      <c r="N166" s="175">
        <v>35</v>
      </c>
    </row>
    <row r="167" spans="1:14" ht="39.6" x14ac:dyDescent="0.3">
      <c r="A167" s="33"/>
      <c r="B167" s="33"/>
      <c r="C167" s="34" t="s">
        <v>425</v>
      </c>
      <c r="D167" s="33"/>
      <c r="E167" s="32" t="s">
        <v>424</v>
      </c>
      <c r="F167" s="31">
        <f t="shared" ref="F167:N169" si="22">F168</f>
        <v>20</v>
      </c>
      <c r="G167" s="31">
        <f t="shared" si="22"/>
        <v>2.2999999999999998</v>
      </c>
      <c r="H167" s="31">
        <f t="shared" si="22"/>
        <v>22.3</v>
      </c>
      <c r="I167" s="31">
        <f t="shared" si="22"/>
        <v>20</v>
      </c>
      <c r="J167" s="423"/>
      <c r="K167" s="31">
        <f t="shared" si="22"/>
        <v>20</v>
      </c>
      <c r="L167" s="31">
        <f t="shared" si="22"/>
        <v>20</v>
      </c>
      <c r="M167" s="423"/>
      <c r="N167" s="31">
        <f t="shared" si="22"/>
        <v>20</v>
      </c>
    </row>
    <row r="168" spans="1:14" x14ac:dyDescent="0.3">
      <c r="A168" s="153"/>
      <c r="B168" s="153"/>
      <c r="C168" s="153" t="s">
        <v>423</v>
      </c>
      <c r="D168" s="153"/>
      <c r="E168" s="164" t="s">
        <v>422</v>
      </c>
      <c r="F168" s="155">
        <f t="shared" si="22"/>
        <v>20</v>
      </c>
      <c r="G168" s="155">
        <f t="shared" si="22"/>
        <v>2.2999999999999998</v>
      </c>
      <c r="H168" s="155">
        <f t="shared" si="22"/>
        <v>22.3</v>
      </c>
      <c r="I168" s="155">
        <f t="shared" si="22"/>
        <v>20</v>
      </c>
      <c r="J168" s="411"/>
      <c r="K168" s="155">
        <f t="shared" si="22"/>
        <v>20</v>
      </c>
      <c r="L168" s="155">
        <f t="shared" si="22"/>
        <v>20</v>
      </c>
      <c r="M168" s="411"/>
      <c r="N168" s="155">
        <f t="shared" si="22"/>
        <v>20</v>
      </c>
    </row>
    <row r="169" spans="1:14" x14ac:dyDescent="0.3">
      <c r="A169" s="8"/>
      <c r="B169" s="8"/>
      <c r="C169" s="7" t="s">
        <v>421</v>
      </c>
      <c r="D169" s="7"/>
      <c r="E169" s="108" t="s">
        <v>616</v>
      </c>
      <c r="F169" s="9">
        <f t="shared" si="22"/>
        <v>20</v>
      </c>
      <c r="G169" s="9">
        <f t="shared" si="22"/>
        <v>2.2999999999999998</v>
      </c>
      <c r="H169" s="9">
        <f t="shared" si="22"/>
        <v>22.3</v>
      </c>
      <c r="I169" s="9">
        <f t="shared" si="22"/>
        <v>20</v>
      </c>
      <c r="J169" s="412"/>
      <c r="K169" s="9">
        <f t="shared" si="22"/>
        <v>20</v>
      </c>
      <c r="L169" s="9">
        <f t="shared" si="22"/>
        <v>20</v>
      </c>
      <c r="M169" s="412"/>
      <c r="N169" s="9">
        <f t="shared" si="22"/>
        <v>20</v>
      </c>
    </row>
    <row r="170" spans="1:14" x14ac:dyDescent="0.3">
      <c r="A170" s="8"/>
      <c r="B170" s="8"/>
      <c r="C170" s="7"/>
      <c r="D170" s="7" t="s">
        <v>12</v>
      </c>
      <c r="E170" s="6" t="s">
        <v>11</v>
      </c>
      <c r="F170" s="175">
        <v>20</v>
      </c>
      <c r="G170" s="407">
        <v>2.2999999999999998</v>
      </c>
      <c r="H170" s="175">
        <v>22.3</v>
      </c>
      <c r="I170" s="175">
        <v>20</v>
      </c>
      <c r="J170" s="407"/>
      <c r="K170" s="175">
        <v>20</v>
      </c>
      <c r="L170" s="175">
        <v>20</v>
      </c>
      <c r="M170" s="407"/>
      <c r="N170" s="175">
        <v>20</v>
      </c>
    </row>
    <row r="171" spans="1:14" x14ac:dyDescent="0.3">
      <c r="A171" s="20"/>
      <c r="B171" s="22" t="s">
        <v>420</v>
      </c>
      <c r="C171" s="21"/>
      <c r="D171" s="20"/>
      <c r="E171" s="19" t="s">
        <v>419</v>
      </c>
      <c r="F171" s="26">
        <f t="shared" ref="F171:L171" si="23">F172+F199+F206+F256</f>
        <v>367628.02839999995</v>
      </c>
      <c r="G171" s="26">
        <f t="shared" si="23"/>
        <v>2411.0041500000002</v>
      </c>
      <c r="H171" s="26">
        <f>H172+H199+H206+H256</f>
        <v>370039.03255</v>
      </c>
      <c r="I171" s="26">
        <f t="shared" si="23"/>
        <v>71577.134650000007</v>
      </c>
      <c r="J171" s="26">
        <f t="shared" si="23"/>
        <v>306.63055000000003</v>
      </c>
      <c r="K171" s="26">
        <f>K172+K199+K206+K256</f>
        <v>71883.765200000009</v>
      </c>
      <c r="L171" s="26">
        <f t="shared" si="23"/>
        <v>74664.2</v>
      </c>
      <c r="M171" s="424"/>
      <c r="N171" s="26">
        <f>N172+N199+N206+N256</f>
        <v>74664.2</v>
      </c>
    </row>
    <row r="172" spans="1:14" x14ac:dyDescent="0.3">
      <c r="A172" s="20"/>
      <c r="B172" s="22" t="s">
        <v>418</v>
      </c>
      <c r="C172" s="21"/>
      <c r="D172" s="22"/>
      <c r="E172" s="27" t="s">
        <v>417</v>
      </c>
      <c r="F172" s="26">
        <f>F173+F195</f>
        <v>1325.6</v>
      </c>
      <c r="G172" s="424"/>
      <c r="H172" s="26">
        <f>H173+H195</f>
        <v>1325.6</v>
      </c>
      <c r="I172" s="26">
        <f>I173+I195</f>
        <v>433.4</v>
      </c>
      <c r="J172" s="424"/>
      <c r="K172" s="26">
        <f>K173+K195</f>
        <v>433.4</v>
      </c>
      <c r="L172" s="26">
        <f>L173+L195</f>
        <v>693.4</v>
      </c>
      <c r="M172" s="424"/>
      <c r="N172" s="26">
        <f>N173+N195</f>
        <v>693.4</v>
      </c>
    </row>
    <row r="173" spans="1:14" x14ac:dyDescent="0.3">
      <c r="A173" s="20"/>
      <c r="B173" s="22"/>
      <c r="C173" s="21" t="s">
        <v>36</v>
      </c>
      <c r="D173" s="20"/>
      <c r="E173" s="27" t="s">
        <v>35</v>
      </c>
      <c r="F173" s="26">
        <f>F174+F190</f>
        <v>892.2</v>
      </c>
      <c r="G173" s="424"/>
      <c r="H173" s="26">
        <f>H174+H190</f>
        <v>892.2</v>
      </c>
      <c r="I173" s="26">
        <f>I174+I190</f>
        <v>0</v>
      </c>
      <c r="J173" s="424"/>
      <c r="K173" s="26">
        <f>K174+K190</f>
        <v>0</v>
      </c>
      <c r="L173" s="26">
        <f>L174+L190</f>
        <v>260</v>
      </c>
      <c r="M173" s="424"/>
      <c r="N173" s="26">
        <f>N174+N190</f>
        <v>260</v>
      </c>
    </row>
    <row r="174" spans="1:14" ht="26.4" x14ac:dyDescent="0.3">
      <c r="A174" s="33"/>
      <c r="B174" s="33"/>
      <c r="C174" s="34" t="s">
        <v>358</v>
      </c>
      <c r="D174" s="33"/>
      <c r="E174" s="32" t="s">
        <v>357</v>
      </c>
      <c r="F174" s="31">
        <f>F175</f>
        <v>260</v>
      </c>
      <c r="G174" s="423"/>
      <c r="H174" s="31">
        <f>H175</f>
        <v>260</v>
      </c>
      <c r="I174" s="31">
        <f>I175</f>
        <v>0</v>
      </c>
      <c r="J174" s="423"/>
      <c r="K174" s="31">
        <f>K175</f>
        <v>0</v>
      </c>
      <c r="L174" s="31">
        <f>L175</f>
        <v>260</v>
      </c>
      <c r="M174" s="423"/>
      <c r="N174" s="31">
        <f>N175</f>
        <v>260</v>
      </c>
    </row>
    <row r="175" spans="1:14" ht="27" x14ac:dyDescent="0.3">
      <c r="A175" s="30"/>
      <c r="B175" s="30"/>
      <c r="C175" s="30" t="s">
        <v>416</v>
      </c>
      <c r="D175" s="30"/>
      <c r="E175" s="79" t="s">
        <v>415</v>
      </c>
      <c r="F175" s="28">
        <f>F176+F179</f>
        <v>260</v>
      </c>
      <c r="G175" s="410"/>
      <c r="H175" s="28">
        <f>H176+H179</f>
        <v>260</v>
      </c>
      <c r="I175" s="28">
        <f>I176+I179</f>
        <v>0</v>
      </c>
      <c r="J175" s="410"/>
      <c r="K175" s="28">
        <f>K176+K179</f>
        <v>0</v>
      </c>
      <c r="L175" s="28">
        <f>L176+L179</f>
        <v>260</v>
      </c>
      <c r="M175" s="410"/>
      <c r="N175" s="28">
        <f>N176+N179</f>
        <v>260</v>
      </c>
    </row>
    <row r="176" spans="1:14" x14ac:dyDescent="0.3">
      <c r="A176" s="153"/>
      <c r="B176" s="153"/>
      <c r="C176" s="153" t="s">
        <v>414</v>
      </c>
      <c r="D176" s="153"/>
      <c r="E176" s="164" t="s">
        <v>413</v>
      </c>
      <c r="F176" s="155">
        <f t="shared" ref="F176:N177" si="24">F177</f>
        <v>124</v>
      </c>
      <c r="G176" s="411"/>
      <c r="H176" s="155">
        <f t="shared" si="24"/>
        <v>124</v>
      </c>
      <c r="I176" s="155">
        <f t="shared" si="24"/>
        <v>0</v>
      </c>
      <c r="J176" s="411"/>
      <c r="K176" s="155">
        <f t="shared" si="24"/>
        <v>0</v>
      </c>
      <c r="L176" s="155">
        <f t="shared" si="24"/>
        <v>124</v>
      </c>
      <c r="M176" s="411"/>
      <c r="N176" s="155">
        <f t="shared" si="24"/>
        <v>124</v>
      </c>
    </row>
    <row r="177" spans="1:14" x14ac:dyDescent="0.3">
      <c r="A177" s="7"/>
      <c r="B177" s="7"/>
      <c r="C177" s="7" t="s">
        <v>412</v>
      </c>
      <c r="D177" s="7"/>
      <c r="E177" s="97" t="s">
        <v>411</v>
      </c>
      <c r="F177" s="5">
        <f t="shared" si="24"/>
        <v>124</v>
      </c>
      <c r="G177" s="425"/>
      <c r="H177" s="5">
        <f t="shared" si="24"/>
        <v>124</v>
      </c>
      <c r="I177" s="5">
        <f t="shared" si="24"/>
        <v>0</v>
      </c>
      <c r="J177" s="425"/>
      <c r="K177" s="5">
        <f t="shared" si="24"/>
        <v>0</v>
      </c>
      <c r="L177" s="5">
        <f t="shared" si="24"/>
        <v>124</v>
      </c>
      <c r="M177" s="425"/>
      <c r="N177" s="5">
        <f t="shared" si="24"/>
        <v>124</v>
      </c>
    </row>
    <row r="178" spans="1:14" x14ac:dyDescent="0.3">
      <c r="A178" s="7"/>
      <c r="B178" s="7"/>
      <c r="C178" s="7"/>
      <c r="D178" s="7" t="s">
        <v>12</v>
      </c>
      <c r="E178" s="6" t="s">
        <v>11</v>
      </c>
      <c r="F178" s="175">
        <v>124</v>
      </c>
      <c r="G178" s="407"/>
      <c r="H178" s="175">
        <v>124</v>
      </c>
      <c r="I178" s="175">
        <v>0</v>
      </c>
      <c r="J178" s="407"/>
      <c r="K178" s="175">
        <v>0</v>
      </c>
      <c r="L178" s="175">
        <v>124</v>
      </c>
      <c r="M178" s="407"/>
      <c r="N178" s="175">
        <v>124</v>
      </c>
    </row>
    <row r="179" spans="1:14" x14ac:dyDescent="0.3">
      <c r="A179" s="153"/>
      <c r="B179" s="153"/>
      <c r="C179" s="153" t="s">
        <v>410</v>
      </c>
      <c r="D179" s="153"/>
      <c r="E179" s="164" t="s">
        <v>409</v>
      </c>
      <c r="F179" s="155">
        <f>F180+F182+F184+F186</f>
        <v>136</v>
      </c>
      <c r="G179" s="411"/>
      <c r="H179" s="155">
        <f>H180+H182+H184+H186</f>
        <v>136</v>
      </c>
      <c r="I179" s="155">
        <f>I180+I182+I184+I186+I188</f>
        <v>0</v>
      </c>
      <c r="J179" s="411"/>
      <c r="K179" s="155">
        <f>K180+K182+K184+K186+K188</f>
        <v>0</v>
      </c>
      <c r="L179" s="155">
        <f>L180+L182+L184+L186</f>
        <v>136</v>
      </c>
      <c r="M179" s="411"/>
      <c r="N179" s="155">
        <f>N180+N182+N184+N186</f>
        <v>136</v>
      </c>
    </row>
    <row r="180" spans="1:14" ht="27" x14ac:dyDescent="0.3">
      <c r="A180" s="8"/>
      <c r="B180" s="8"/>
      <c r="C180" s="7" t="s">
        <v>408</v>
      </c>
      <c r="D180" s="7"/>
      <c r="E180" s="97" t="s">
        <v>407</v>
      </c>
      <c r="F180" s="5">
        <f>F181</f>
        <v>40.6</v>
      </c>
      <c r="G180" s="425"/>
      <c r="H180" s="5">
        <f>H181</f>
        <v>40.6</v>
      </c>
      <c r="I180" s="5">
        <f>I181</f>
        <v>0</v>
      </c>
      <c r="J180" s="425"/>
      <c r="K180" s="5">
        <f>K181</f>
        <v>0</v>
      </c>
      <c r="L180" s="5">
        <f>L181</f>
        <v>40.6</v>
      </c>
      <c r="M180" s="425"/>
      <c r="N180" s="5">
        <f>N181</f>
        <v>40.6</v>
      </c>
    </row>
    <row r="181" spans="1:14" x14ac:dyDescent="0.3">
      <c r="A181" s="8"/>
      <c r="B181" s="8"/>
      <c r="C181" s="7"/>
      <c r="D181" s="7" t="s">
        <v>12</v>
      </c>
      <c r="E181" s="6" t="s">
        <v>11</v>
      </c>
      <c r="F181" s="175">
        <v>40.6</v>
      </c>
      <c r="G181" s="407"/>
      <c r="H181" s="175">
        <v>40.6</v>
      </c>
      <c r="I181" s="175">
        <v>0</v>
      </c>
      <c r="J181" s="407"/>
      <c r="K181" s="175">
        <v>0</v>
      </c>
      <c r="L181" s="175">
        <v>40.6</v>
      </c>
      <c r="M181" s="407"/>
      <c r="N181" s="175">
        <v>40.6</v>
      </c>
    </row>
    <row r="182" spans="1:14" x14ac:dyDescent="0.3">
      <c r="A182" s="8"/>
      <c r="B182" s="8"/>
      <c r="C182" s="7" t="s">
        <v>406</v>
      </c>
      <c r="D182" s="7"/>
      <c r="E182" s="97" t="s">
        <v>405</v>
      </c>
      <c r="F182" s="5">
        <f>F183</f>
        <v>40</v>
      </c>
      <c r="G182" s="425"/>
      <c r="H182" s="5">
        <f>H183</f>
        <v>40</v>
      </c>
      <c r="I182" s="5">
        <f>I183</f>
        <v>0</v>
      </c>
      <c r="J182" s="425"/>
      <c r="K182" s="5">
        <f>K183</f>
        <v>0</v>
      </c>
      <c r="L182" s="5">
        <f>L183</f>
        <v>40</v>
      </c>
      <c r="M182" s="425"/>
      <c r="N182" s="5">
        <f>N183</f>
        <v>40</v>
      </c>
    </row>
    <row r="183" spans="1:14" x14ac:dyDescent="0.3">
      <c r="A183" s="8"/>
      <c r="B183" s="8"/>
      <c r="C183" s="7"/>
      <c r="D183" s="7" t="s">
        <v>12</v>
      </c>
      <c r="E183" s="6" t="s">
        <v>11</v>
      </c>
      <c r="F183" s="5">
        <v>40</v>
      </c>
      <c r="G183" s="425"/>
      <c r="H183" s="5">
        <v>40</v>
      </c>
      <c r="I183" s="5">
        <v>0</v>
      </c>
      <c r="J183" s="425"/>
      <c r="K183" s="5">
        <v>0</v>
      </c>
      <c r="L183" s="5">
        <v>40</v>
      </c>
      <c r="M183" s="425"/>
      <c r="N183" s="5">
        <v>40</v>
      </c>
    </row>
    <row r="184" spans="1:14" x14ac:dyDescent="0.3">
      <c r="A184" s="8"/>
      <c r="B184" s="8"/>
      <c r="C184" s="7" t="s">
        <v>404</v>
      </c>
      <c r="D184" s="7"/>
      <c r="E184" s="97" t="s">
        <v>403</v>
      </c>
      <c r="F184" s="5">
        <f>F185</f>
        <v>26.6</v>
      </c>
      <c r="G184" s="425"/>
      <c r="H184" s="5">
        <f>H185</f>
        <v>26.6</v>
      </c>
      <c r="I184" s="5">
        <f>I185</f>
        <v>0</v>
      </c>
      <c r="J184" s="425"/>
      <c r="K184" s="5">
        <f>K185</f>
        <v>0</v>
      </c>
      <c r="L184" s="5">
        <f>L185</f>
        <v>26.6</v>
      </c>
      <c r="M184" s="425"/>
      <c r="N184" s="5">
        <f>N185</f>
        <v>26.6</v>
      </c>
    </row>
    <row r="185" spans="1:14" x14ac:dyDescent="0.3">
      <c r="A185" s="8"/>
      <c r="B185" s="8"/>
      <c r="C185" s="7"/>
      <c r="D185" s="7" t="s">
        <v>12</v>
      </c>
      <c r="E185" s="6" t="s">
        <v>11</v>
      </c>
      <c r="F185" s="175">
        <v>26.6</v>
      </c>
      <c r="G185" s="407"/>
      <c r="H185" s="175">
        <v>26.6</v>
      </c>
      <c r="I185" s="175">
        <v>0</v>
      </c>
      <c r="J185" s="407"/>
      <c r="K185" s="175">
        <v>0</v>
      </c>
      <c r="L185" s="175">
        <v>26.6</v>
      </c>
      <c r="M185" s="407"/>
      <c r="N185" s="175">
        <v>26.6</v>
      </c>
    </row>
    <row r="186" spans="1:14" x14ac:dyDescent="0.3">
      <c r="A186" s="8"/>
      <c r="B186" s="8"/>
      <c r="C186" s="7" t="s">
        <v>402</v>
      </c>
      <c r="D186" s="7"/>
      <c r="E186" s="97" t="s">
        <v>401</v>
      </c>
      <c r="F186" s="5">
        <f>F187</f>
        <v>28.8</v>
      </c>
      <c r="G186" s="425"/>
      <c r="H186" s="5">
        <f>H187</f>
        <v>28.8</v>
      </c>
      <c r="I186" s="5">
        <f>I187</f>
        <v>0</v>
      </c>
      <c r="J186" s="425"/>
      <c r="K186" s="5">
        <f>K187</f>
        <v>0</v>
      </c>
      <c r="L186" s="5">
        <f>L187</f>
        <v>28.8</v>
      </c>
      <c r="M186" s="425"/>
      <c r="N186" s="5">
        <f>N187</f>
        <v>28.8</v>
      </c>
    </row>
    <row r="187" spans="1:14" x14ac:dyDescent="0.3">
      <c r="A187" s="8"/>
      <c r="B187" s="8"/>
      <c r="C187" s="7"/>
      <c r="D187" s="7" t="s">
        <v>12</v>
      </c>
      <c r="E187" s="6" t="s">
        <v>11</v>
      </c>
      <c r="F187" s="5">
        <v>28.8</v>
      </c>
      <c r="G187" s="425"/>
      <c r="H187" s="5">
        <v>28.8</v>
      </c>
      <c r="I187" s="5">
        <v>0</v>
      </c>
      <c r="J187" s="425"/>
      <c r="K187" s="5">
        <v>0</v>
      </c>
      <c r="L187" s="5">
        <v>28.8</v>
      </c>
      <c r="M187" s="425"/>
      <c r="N187" s="5">
        <v>28.8</v>
      </c>
    </row>
    <row r="188" spans="1:14" x14ac:dyDescent="0.3">
      <c r="A188" s="8"/>
      <c r="B188" s="8"/>
      <c r="C188" s="7" t="s">
        <v>700</v>
      </c>
      <c r="D188" s="7"/>
      <c r="E188" s="97" t="s">
        <v>678</v>
      </c>
      <c r="F188" s="5">
        <f>F189</f>
        <v>0</v>
      </c>
      <c r="G188" s="425"/>
      <c r="H188" s="5">
        <f>H189</f>
        <v>0</v>
      </c>
      <c r="I188" s="5">
        <f>I189</f>
        <v>0</v>
      </c>
      <c r="J188" s="425"/>
      <c r="K188" s="5">
        <f>K189</f>
        <v>0</v>
      </c>
      <c r="L188" s="5">
        <f>L189</f>
        <v>0</v>
      </c>
      <c r="M188" s="425"/>
      <c r="N188" s="5">
        <f>N189</f>
        <v>0</v>
      </c>
    </row>
    <row r="189" spans="1:14" x14ac:dyDescent="0.3">
      <c r="A189" s="8"/>
      <c r="B189" s="8"/>
      <c r="C189" s="7"/>
      <c r="D189" s="7" t="s">
        <v>12</v>
      </c>
      <c r="E189" s="6" t="s">
        <v>11</v>
      </c>
      <c r="F189" s="5">
        <v>0</v>
      </c>
      <c r="G189" s="425"/>
      <c r="H189" s="5">
        <v>0</v>
      </c>
      <c r="I189" s="5">
        <v>0</v>
      </c>
      <c r="J189" s="425"/>
      <c r="K189" s="5">
        <v>0</v>
      </c>
      <c r="L189" s="5">
        <v>0</v>
      </c>
      <c r="M189" s="425"/>
      <c r="N189" s="5">
        <v>0</v>
      </c>
    </row>
    <row r="190" spans="1:14" ht="26.4" x14ac:dyDescent="0.3">
      <c r="A190" s="33"/>
      <c r="B190" s="33"/>
      <c r="C190" s="34" t="s">
        <v>278</v>
      </c>
      <c r="D190" s="33"/>
      <c r="E190" s="32" t="s">
        <v>277</v>
      </c>
      <c r="F190" s="31">
        <f t="shared" ref="F190:N193" si="25">F191</f>
        <v>632.20000000000005</v>
      </c>
      <c r="G190" s="423"/>
      <c r="H190" s="31">
        <f t="shared" si="25"/>
        <v>632.20000000000005</v>
      </c>
      <c r="I190" s="31">
        <f t="shared" si="25"/>
        <v>0</v>
      </c>
      <c r="J190" s="423"/>
      <c r="K190" s="31">
        <f t="shared" si="25"/>
        <v>0</v>
      </c>
      <c r="L190" s="31">
        <f t="shared" si="25"/>
        <v>0</v>
      </c>
      <c r="M190" s="423"/>
      <c r="N190" s="31">
        <f t="shared" si="25"/>
        <v>0</v>
      </c>
    </row>
    <row r="191" spans="1:14" ht="27" x14ac:dyDescent="0.3">
      <c r="A191" s="30"/>
      <c r="B191" s="30"/>
      <c r="C191" s="30" t="s">
        <v>276</v>
      </c>
      <c r="D191" s="30"/>
      <c r="E191" s="79" t="s">
        <v>275</v>
      </c>
      <c r="F191" s="28">
        <f t="shared" si="25"/>
        <v>632.20000000000005</v>
      </c>
      <c r="G191" s="410"/>
      <c r="H191" s="28">
        <f t="shared" si="25"/>
        <v>632.20000000000005</v>
      </c>
      <c r="I191" s="28">
        <f t="shared" si="25"/>
        <v>0</v>
      </c>
      <c r="J191" s="410"/>
      <c r="K191" s="28">
        <f t="shared" si="25"/>
        <v>0</v>
      </c>
      <c r="L191" s="28">
        <f t="shared" si="25"/>
        <v>0</v>
      </c>
      <c r="M191" s="410"/>
      <c r="N191" s="28">
        <f t="shared" si="25"/>
        <v>0</v>
      </c>
    </row>
    <row r="192" spans="1:14" ht="27" x14ac:dyDescent="0.3">
      <c r="A192" s="153"/>
      <c r="B192" s="153"/>
      <c r="C192" s="153" t="s">
        <v>400</v>
      </c>
      <c r="D192" s="160"/>
      <c r="E192" s="164" t="s">
        <v>399</v>
      </c>
      <c r="F192" s="155">
        <f t="shared" si="25"/>
        <v>632.20000000000005</v>
      </c>
      <c r="G192" s="411"/>
      <c r="H192" s="155">
        <f t="shared" si="25"/>
        <v>632.20000000000005</v>
      </c>
      <c r="I192" s="155">
        <f t="shared" si="25"/>
        <v>0</v>
      </c>
      <c r="J192" s="411"/>
      <c r="K192" s="155">
        <f t="shared" si="25"/>
        <v>0</v>
      </c>
      <c r="L192" s="155">
        <f t="shared" si="25"/>
        <v>0</v>
      </c>
      <c r="M192" s="411"/>
      <c r="N192" s="155">
        <f t="shared" si="25"/>
        <v>0</v>
      </c>
    </row>
    <row r="193" spans="1:14" ht="26.4" x14ac:dyDescent="0.3">
      <c r="A193" s="8"/>
      <c r="B193" s="8"/>
      <c r="C193" s="54" t="s">
        <v>398</v>
      </c>
      <c r="D193" s="54"/>
      <c r="E193" s="10" t="s">
        <v>397</v>
      </c>
      <c r="F193" s="5">
        <f t="shared" si="25"/>
        <v>632.20000000000005</v>
      </c>
      <c r="G193" s="425"/>
      <c r="H193" s="5">
        <f t="shared" si="25"/>
        <v>632.20000000000005</v>
      </c>
      <c r="I193" s="5">
        <f t="shared" si="25"/>
        <v>0</v>
      </c>
      <c r="J193" s="425"/>
      <c r="K193" s="5">
        <f t="shared" si="25"/>
        <v>0</v>
      </c>
      <c r="L193" s="5">
        <f t="shared" si="25"/>
        <v>0</v>
      </c>
      <c r="M193" s="425"/>
      <c r="N193" s="5">
        <f t="shared" si="25"/>
        <v>0</v>
      </c>
    </row>
    <row r="194" spans="1:14" x14ac:dyDescent="0.3">
      <c r="A194" s="8"/>
      <c r="B194" s="8"/>
      <c r="C194" s="54"/>
      <c r="D194" s="7" t="s">
        <v>12</v>
      </c>
      <c r="E194" s="6" t="s">
        <v>11</v>
      </c>
      <c r="F194" s="5">
        <v>632.20000000000005</v>
      </c>
      <c r="G194" s="425"/>
      <c r="H194" s="5">
        <v>632.20000000000005</v>
      </c>
      <c r="I194" s="5">
        <v>0</v>
      </c>
      <c r="J194" s="425"/>
      <c r="K194" s="5">
        <v>0</v>
      </c>
      <c r="L194" s="5">
        <v>0</v>
      </c>
      <c r="M194" s="425"/>
      <c r="N194" s="5">
        <v>0</v>
      </c>
    </row>
    <row r="195" spans="1:14" x14ac:dyDescent="0.3">
      <c r="A195" s="107"/>
      <c r="B195" s="107"/>
      <c r="C195" s="48" t="s">
        <v>52</v>
      </c>
      <c r="D195" s="47"/>
      <c r="E195" s="106" t="s">
        <v>51</v>
      </c>
      <c r="F195" s="105">
        <f t="shared" ref="F195:N197" si="26">F196</f>
        <v>433.4</v>
      </c>
      <c r="G195" s="427"/>
      <c r="H195" s="105">
        <f t="shared" si="26"/>
        <v>433.4</v>
      </c>
      <c r="I195" s="105">
        <f t="shared" si="26"/>
        <v>433.4</v>
      </c>
      <c r="J195" s="427"/>
      <c r="K195" s="105">
        <f t="shared" si="26"/>
        <v>433.4</v>
      </c>
      <c r="L195" s="105">
        <f t="shared" si="26"/>
        <v>433.4</v>
      </c>
      <c r="M195" s="427"/>
      <c r="N195" s="105">
        <f t="shared" si="26"/>
        <v>433.4</v>
      </c>
    </row>
    <row r="196" spans="1:14" ht="26.4" x14ac:dyDescent="0.3">
      <c r="A196" s="100"/>
      <c r="B196" s="100"/>
      <c r="C196" s="44" t="s">
        <v>16</v>
      </c>
      <c r="D196" s="43"/>
      <c r="E196" s="85" t="s">
        <v>15</v>
      </c>
      <c r="F196" s="104">
        <f t="shared" si="26"/>
        <v>433.4</v>
      </c>
      <c r="G196" s="433"/>
      <c r="H196" s="104">
        <f t="shared" si="26"/>
        <v>433.4</v>
      </c>
      <c r="I196" s="104">
        <f t="shared" si="26"/>
        <v>433.4</v>
      </c>
      <c r="J196" s="433"/>
      <c r="K196" s="104">
        <f t="shared" si="26"/>
        <v>433.4</v>
      </c>
      <c r="L196" s="104">
        <f t="shared" si="26"/>
        <v>433.4</v>
      </c>
      <c r="M196" s="433"/>
      <c r="N196" s="104">
        <f t="shared" si="26"/>
        <v>433.4</v>
      </c>
    </row>
    <row r="197" spans="1:14" ht="26.4" x14ac:dyDescent="0.3">
      <c r="A197" s="8"/>
      <c r="B197" s="8"/>
      <c r="C197" s="7" t="s">
        <v>618</v>
      </c>
      <c r="D197" s="7"/>
      <c r="E197" s="193" t="s">
        <v>632</v>
      </c>
      <c r="F197" s="9">
        <f t="shared" si="26"/>
        <v>433.4</v>
      </c>
      <c r="G197" s="412"/>
      <c r="H197" s="9">
        <f t="shared" si="26"/>
        <v>433.4</v>
      </c>
      <c r="I197" s="9">
        <f t="shared" si="26"/>
        <v>433.4</v>
      </c>
      <c r="J197" s="412"/>
      <c r="K197" s="9">
        <f t="shared" si="26"/>
        <v>433.4</v>
      </c>
      <c r="L197" s="9">
        <f t="shared" si="26"/>
        <v>433.4</v>
      </c>
      <c r="M197" s="412"/>
      <c r="N197" s="9">
        <f t="shared" si="26"/>
        <v>433.4</v>
      </c>
    </row>
    <row r="198" spans="1:14" ht="27" x14ac:dyDescent="0.3">
      <c r="A198" s="8"/>
      <c r="B198" s="8"/>
      <c r="C198" s="7"/>
      <c r="D198" s="7" t="s">
        <v>57</v>
      </c>
      <c r="E198" s="6" t="s">
        <v>56</v>
      </c>
      <c r="F198" s="175">
        <v>433.4</v>
      </c>
      <c r="G198" s="407"/>
      <c r="H198" s="175">
        <v>433.4</v>
      </c>
      <c r="I198" s="175">
        <v>433.4</v>
      </c>
      <c r="J198" s="407"/>
      <c r="K198" s="175">
        <v>433.4</v>
      </c>
      <c r="L198" s="175">
        <v>433.4</v>
      </c>
      <c r="M198" s="407"/>
      <c r="N198" s="175">
        <v>433.4</v>
      </c>
    </row>
    <row r="199" spans="1:14" x14ac:dyDescent="0.3">
      <c r="A199" s="20"/>
      <c r="B199" s="22" t="s">
        <v>396</v>
      </c>
      <c r="C199" s="21"/>
      <c r="D199" s="20"/>
      <c r="E199" s="19" t="s">
        <v>395</v>
      </c>
      <c r="F199" s="18">
        <f>F201</f>
        <v>7078.2</v>
      </c>
      <c r="G199" s="18">
        <f>G201</f>
        <v>668.2</v>
      </c>
      <c r="H199" s="18">
        <f>H201</f>
        <v>7746.4</v>
      </c>
      <c r="I199" s="18">
        <f>I201</f>
        <v>7078.2</v>
      </c>
      <c r="J199" s="429"/>
      <c r="K199" s="18">
        <f>K201</f>
        <v>7078.2</v>
      </c>
      <c r="L199" s="18">
        <f>L201</f>
        <v>7078.2</v>
      </c>
      <c r="M199" s="429"/>
      <c r="N199" s="18">
        <f>N201</f>
        <v>7078.2</v>
      </c>
    </row>
    <row r="200" spans="1:14" x14ac:dyDescent="0.3">
      <c r="A200" s="20"/>
      <c r="B200" s="22"/>
      <c r="C200" s="21" t="s">
        <v>36</v>
      </c>
      <c r="D200" s="20"/>
      <c r="E200" s="27" t="s">
        <v>35</v>
      </c>
      <c r="F200" s="18">
        <f t="shared" ref="F200:N204" si="27">F201</f>
        <v>7078.2</v>
      </c>
      <c r="G200" s="18">
        <f t="shared" si="27"/>
        <v>668.2</v>
      </c>
      <c r="H200" s="18">
        <f t="shared" si="27"/>
        <v>7746.4</v>
      </c>
      <c r="I200" s="18">
        <f t="shared" si="27"/>
        <v>7078.2</v>
      </c>
      <c r="J200" s="429"/>
      <c r="K200" s="18">
        <f t="shared" si="27"/>
        <v>7078.2</v>
      </c>
      <c r="L200" s="18">
        <f t="shared" si="27"/>
        <v>7078.2</v>
      </c>
      <c r="M200" s="429"/>
      <c r="N200" s="18">
        <f t="shared" si="27"/>
        <v>7078.2</v>
      </c>
    </row>
    <row r="201" spans="1:14" ht="26.4" x14ac:dyDescent="0.3">
      <c r="A201" s="33"/>
      <c r="B201" s="33"/>
      <c r="C201" s="34" t="s">
        <v>387</v>
      </c>
      <c r="D201" s="33"/>
      <c r="E201" s="32" t="s">
        <v>386</v>
      </c>
      <c r="F201" s="31">
        <f t="shared" si="27"/>
        <v>7078.2</v>
      </c>
      <c r="G201" s="31">
        <f t="shared" si="27"/>
        <v>668.2</v>
      </c>
      <c r="H201" s="31">
        <f t="shared" si="27"/>
        <v>7746.4</v>
      </c>
      <c r="I201" s="31">
        <f t="shared" si="27"/>
        <v>7078.2</v>
      </c>
      <c r="J201" s="423"/>
      <c r="K201" s="31">
        <f t="shared" si="27"/>
        <v>7078.2</v>
      </c>
      <c r="L201" s="31">
        <f t="shared" si="27"/>
        <v>7078.2</v>
      </c>
      <c r="M201" s="423"/>
      <c r="N201" s="31">
        <f t="shared" si="27"/>
        <v>7078.2</v>
      </c>
    </row>
    <row r="202" spans="1:14" ht="27" x14ac:dyDescent="0.3">
      <c r="A202" s="30"/>
      <c r="B202" s="30"/>
      <c r="C202" s="30" t="s">
        <v>394</v>
      </c>
      <c r="D202" s="30"/>
      <c r="E202" s="51" t="s">
        <v>393</v>
      </c>
      <c r="F202" s="28">
        <f t="shared" si="27"/>
        <v>7078.2</v>
      </c>
      <c r="G202" s="28">
        <f t="shared" si="27"/>
        <v>668.2</v>
      </c>
      <c r="H202" s="28">
        <f t="shared" si="27"/>
        <v>7746.4</v>
      </c>
      <c r="I202" s="28">
        <f t="shared" si="27"/>
        <v>7078.2</v>
      </c>
      <c r="J202" s="410"/>
      <c r="K202" s="28">
        <f t="shared" si="27"/>
        <v>7078.2</v>
      </c>
      <c r="L202" s="28">
        <f t="shared" si="27"/>
        <v>7078.2</v>
      </c>
      <c r="M202" s="410"/>
      <c r="N202" s="28">
        <f t="shared" si="27"/>
        <v>7078.2</v>
      </c>
    </row>
    <row r="203" spans="1:14" ht="27" x14ac:dyDescent="0.3">
      <c r="A203" s="153"/>
      <c r="B203" s="153"/>
      <c r="C203" s="153" t="s">
        <v>392</v>
      </c>
      <c r="D203" s="153"/>
      <c r="E203" s="154" t="s">
        <v>391</v>
      </c>
      <c r="F203" s="155">
        <f t="shared" si="27"/>
        <v>7078.2</v>
      </c>
      <c r="G203" s="155">
        <f t="shared" si="27"/>
        <v>668.2</v>
      </c>
      <c r="H203" s="155">
        <f t="shared" si="27"/>
        <v>7746.4</v>
      </c>
      <c r="I203" s="155">
        <f t="shared" si="27"/>
        <v>7078.2</v>
      </c>
      <c r="J203" s="411"/>
      <c r="K203" s="155">
        <f t="shared" si="27"/>
        <v>7078.2</v>
      </c>
      <c r="L203" s="155">
        <f t="shared" si="27"/>
        <v>7078.2</v>
      </c>
      <c r="M203" s="411"/>
      <c r="N203" s="155">
        <f t="shared" si="27"/>
        <v>7078.2</v>
      </c>
    </row>
    <row r="204" spans="1:14" ht="40.200000000000003" x14ac:dyDescent="0.3">
      <c r="A204" s="8"/>
      <c r="B204" s="8"/>
      <c r="C204" s="7" t="s">
        <v>390</v>
      </c>
      <c r="D204" s="60"/>
      <c r="E204" s="6" t="s">
        <v>568</v>
      </c>
      <c r="F204" s="9">
        <f t="shared" si="27"/>
        <v>7078.2</v>
      </c>
      <c r="G204" s="9">
        <f t="shared" si="27"/>
        <v>668.2</v>
      </c>
      <c r="H204" s="9">
        <f t="shared" si="27"/>
        <v>7746.4</v>
      </c>
      <c r="I204" s="9">
        <f t="shared" si="27"/>
        <v>7078.2</v>
      </c>
      <c r="J204" s="412"/>
      <c r="K204" s="9">
        <f t="shared" si="27"/>
        <v>7078.2</v>
      </c>
      <c r="L204" s="9">
        <f t="shared" si="27"/>
        <v>7078.2</v>
      </c>
      <c r="M204" s="412"/>
      <c r="N204" s="9">
        <f t="shared" si="27"/>
        <v>7078.2</v>
      </c>
    </row>
    <row r="205" spans="1:14" x14ac:dyDescent="0.3">
      <c r="A205" s="8"/>
      <c r="B205" s="8"/>
      <c r="C205" s="7"/>
      <c r="D205" s="7" t="s">
        <v>12</v>
      </c>
      <c r="E205" s="6" t="s">
        <v>11</v>
      </c>
      <c r="F205" s="175">
        <v>7078.2</v>
      </c>
      <c r="G205" s="407">
        <v>668.2</v>
      </c>
      <c r="H205" s="175">
        <v>7746.4</v>
      </c>
      <c r="I205" s="175">
        <v>7078.2</v>
      </c>
      <c r="J205" s="407"/>
      <c r="K205" s="175">
        <v>7078.2</v>
      </c>
      <c r="L205" s="175">
        <v>7078.2</v>
      </c>
      <c r="M205" s="407"/>
      <c r="N205" s="175">
        <v>7078.2</v>
      </c>
    </row>
    <row r="206" spans="1:14" x14ac:dyDescent="0.3">
      <c r="A206" s="36"/>
      <c r="B206" s="22" t="s">
        <v>389</v>
      </c>
      <c r="C206" s="21"/>
      <c r="D206" s="20"/>
      <c r="E206" s="19" t="s">
        <v>388</v>
      </c>
      <c r="F206" s="18">
        <f t="shared" ref="F206:N207" si="28">F207</f>
        <v>347999.52899999998</v>
      </c>
      <c r="G206" s="18">
        <f t="shared" si="28"/>
        <v>974.20415000000014</v>
      </c>
      <c r="H206" s="18">
        <f t="shared" si="28"/>
        <v>348973.73314999999</v>
      </c>
      <c r="I206" s="18">
        <f t="shared" si="28"/>
        <v>59354.234649999999</v>
      </c>
      <c r="J206" s="18">
        <f t="shared" si="28"/>
        <v>306.63055000000003</v>
      </c>
      <c r="K206" s="18">
        <f t="shared" si="28"/>
        <v>59660.8652</v>
      </c>
      <c r="L206" s="18">
        <f t="shared" si="28"/>
        <v>61251.6</v>
      </c>
      <c r="M206" s="429"/>
      <c r="N206" s="18">
        <f t="shared" si="28"/>
        <v>61251.6</v>
      </c>
    </row>
    <row r="207" spans="1:14" x14ac:dyDescent="0.3">
      <c r="A207" s="36"/>
      <c r="B207" s="22"/>
      <c r="C207" s="21" t="s">
        <v>36</v>
      </c>
      <c r="D207" s="20"/>
      <c r="E207" s="27" t="s">
        <v>35</v>
      </c>
      <c r="F207" s="18">
        <f t="shared" si="28"/>
        <v>347999.52899999998</v>
      </c>
      <c r="G207" s="18">
        <f t="shared" si="28"/>
        <v>974.20415000000014</v>
      </c>
      <c r="H207" s="18">
        <f t="shared" si="28"/>
        <v>348973.73314999999</v>
      </c>
      <c r="I207" s="18">
        <f t="shared" si="28"/>
        <v>59354.234649999999</v>
      </c>
      <c r="J207" s="18">
        <f t="shared" si="28"/>
        <v>306.63055000000003</v>
      </c>
      <c r="K207" s="18">
        <f t="shared" si="28"/>
        <v>59660.8652</v>
      </c>
      <c r="L207" s="18">
        <f t="shared" si="28"/>
        <v>61251.6</v>
      </c>
      <c r="M207" s="429"/>
      <c r="N207" s="18">
        <f t="shared" si="28"/>
        <v>61251.6</v>
      </c>
    </row>
    <row r="208" spans="1:14" ht="26.4" x14ac:dyDescent="0.3">
      <c r="A208" s="33"/>
      <c r="B208" s="33"/>
      <c r="C208" s="34" t="s">
        <v>387</v>
      </c>
      <c r="D208" s="33"/>
      <c r="E208" s="32" t="s">
        <v>386</v>
      </c>
      <c r="F208" s="31">
        <f t="shared" ref="F208:L208" si="29">F209+F244</f>
        <v>347999.52899999998</v>
      </c>
      <c r="G208" s="31">
        <f>G209+G244</f>
        <v>974.20415000000014</v>
      </c>
      <c r="H208" s="31">
        <f>H209+H244</f>
        <v>348973.73314999999</v>
      </c>
      <c r="I208" s="31">
        <f t="shared" si="29"/>
        <v>59354.234649999999</v>
      </c>
      <c r="J208" s="31">
        <f>J209+J244</f>
        <v>306.63055000000003</v>
      </c>
      <c r="K208" s="31">
        <f>K209+K244</f>
        <v>59660.8652</v>
      </c>
      <c r="L208" s="31">
        <f t="shared" si="29"/>
        <v>61251.6</v>
      </c>
      <c r="M208" s="423"/>
      <c r="N208" s="31">
        <f>N209+N244</f>
        <v>61251.6</v>
      </c>
    </row>
    <row r="209" spans="1:14" ht="27" x14ac:dyDescent="0.3">
      <c r="A209" s="30"/>
      <c r="B209" s="30"/>
      <c r="C209" s="30" t="s">
        <v>385</v>
      </c>
      <c r="D209" s="30"/>
      <c r="E209" s="51" t="s">
        <v>384</v>
      </c>
      <c r="F209" s="28">
        <f>F210+F213+F220+F231+F238+F234</f>
        <v>344062.52899999998</v>
      </c>
      <c r="G209" s="28">
        <f>G210+G213+G220+G231+G238+G234</f>
        <v>974.20415000000014</v>
      </c>
      <c r="H209" s="28">
        <f>H210+H213+H220+H231+H238+H234</f>
        <v>345036.73314999999</v>
      </c>
      <c r="I209" s="28">
        <f>I210+I213+I220+I231+I238</f>
        <v>59354.234649999999</v>
      </c>
      <c r="J209" s="28">
        <f>J210+J213+J220+J231+J238</f>
        <v>306.63055000000003</v>
      </c>
      <c r="K209" s="28">
        <f>K210+K213+K220+K231+K238</f>
        <v>59660.8652</v>
      </c>
      <c r="L209" s="28">
        <f>L210+L213+L220+L231+L238</f>
        <v>61251.6</v>
      </c>
      <c r="M209" s="410"/>
      <c r="N209" s="28">
        <f>N210+N213+N220+N231+N238</f>
        <v>61251.6</v>
      </c>
    </row>
    <row r="210" spans="1:14" ht="27" x14ac:dyDescent="0.3">
      <c r="A210" s="153"/>
      <c r="B210" s="153"/>
      <c r="C210" s="153" t="s">
        <v>383</v>
      </c>
      <c r="D210" s="153"/>
      <c r="E210" s="154" t="s">
        <v>665</v>
      </c>
      <c r="F210" s="155">
        <f>F211</f>
        <v>1127.5999999999999</v>
      </c>
      <c r="G210" s="411"/>
      <c r="H210" s="155">
        <f>H211</f>
        <v>1127.5999999999999</v>
      </c>
      <c r="I210" s="155">
        <f t="shared" ref="I210:N210" si="30">I211</f>
        <v>0</v>
      </c>
      <c r="J210" s="411"/>
      <c r="K210" s="155">
        <f t="shared" si="30"/>
        <v>0</v>
      </c>
      <c r="L210" s="155">
        <f t="shared" si="30"/>
        <v>574.29999999999995</v>
      </c>
      <c r="M210" s="411"/>
      <c r="N210" s="155">
        <f t="shared" si="30"/>
        <v>574.29999999999995</v>
      </c>
    </row>
    <row r="211" spans="1:14" ht="27" x14ac:dyDescent="0.3">
      <c r="A211" s="7"/>
      <c r="B211" s="7"/>
      <c r="C211" s="7" t="s">
        <v>631</v>
      </c>
      <c r="D211" s="60"/>
      <c r="E211" s="6" t="s">
        <v>382</v>
      </c>
      <c r="F211" s="9">
        <f>SUM(F212)</f>
        <v>1127.5999999999999</v>
      </c>
      <c r="G211" s="412"/>
      <c r="H211" s="9">
        <f>SUM(H212)</f>
        <v>1127.5999999999999</v>
      </c>
      <c r="I211" s="9">
        <f>SUM(I212)</f>
        <v>0</v>
      </c>
      <c r="J211" s="412"/>
      <c r="K211" s="9">
        <f>SUM(K212)</f>
        <v>0</v>
      </c>
      <c r="L211" s="9">
        <f>SUM(L212)</f>
        <v>574.29999999999995</v>
      </c>
      <c r="M211" s="412"/>
      <c r="N211" s="9">
        <f>SUM(N212)</f>
        <v>574.29999999999995</v>
      </c>
    </row>
    <row r="212" spans="1:14" x14ac:dyDescent="0.3">
      <c r="A212" s="7"/>
      <c r="B212" s="7"/>
      <c r="C212" s="7"/>
      <c r="D212" s="7" t="s">
        <v>12</v>
      </c>
      <c r="E212" s="6" t="s">
        <v>11</v>
      </c>
      <c r="F212" s="175">
        <f>574.3+553.3</f>
        <v>1127.5999999999999</v>
      </c>
      <c r="G212" s="407"/>
      <c r="H212" s="175">
        <f>574.3+553.3</f>
        <v>1127.5999999999999</v>
      </c>
      <c r="I212" s="175">
        <v>0</v>
      </c>
      <c r="J212" s="407"/>
      <c r="K212" s="175">
        <v>0</v>
      </c>
      <c r="L212" s="175">
        <v>574.29999999999995</v>
      </c>
      <c r="M212" s="407"/>
      <c r="N212" s="175">
        <v>574.29999999999995</v>
      </c>
    </row>
    <row r="213" spans="1:14" x14ac:dyDescent="0.3">
      <c r="A213" s="153"/>
      <c r="B213" s="153"/>
      <c r="C213" s="153" t="s">
        <v>381</v>
      </c>
      <c r="D213" s="153"/>
      <c r="E213" s="154" t="s">
        <v>380</v>
      </c>
      <c r="F213" s="155">
        <f>F214+F216+F218</f>
        <v>4808</v>
      </c>
      <c r="G213" s="411"/>
      <c r="H213" s="155">
        <f>H214+H216+H218</f>
        <v>4808</v>
      </c>
      <c r="I213" s="155">
        <f t="shared" ref="I213:N213" si="31">I214</f>
        <v>0</v>
      </c>
      <c r="J213" s="411"/>
      <c r="K213" s="155">
        <f t="shared" si="31"/>
        <v>0</v>
      </c>
      <c r="L213" s="155">
        <f t="shared" si="31"/>
        <v>0</v>
      </c>
      <c r="M213" s="411"/>
      <c r="N213" s="155">
        <f t="shared" si="31"/>
        <v>0</v>
      </c>
    </row>
    <row r="214" spans="1:14" ht="27" x14ac:dyDescent="0.3">
      <c r="A214" s="7"/>
      <c r="B214" s="7"/>
      <c r="C214" s="7" t="s">
        <v>666</v>
      </c>
      <c r="D214" s="60"/>
      <c r="E214" s="6" t="s">
        <v>667</v>
      </c>
      <c r="F214" s="9">
        <f>SUM(F215)</f>
        <v>4608</v>
      </c>
      <c r="G214" s="412"/>
      <c r="H214" s="9">
        <f>SUM(H215)</f>
        <v>4608</v>
      </c>
      <c r="I214" s="9">
        <f>SUM(I215)</f>
        <v>0</v>
      </c>
      <c r="J214" s="412"/>
      <c r="K214" s="9">
        <f>SUM(K215)</f>
        <v>0</v>
      </c>
      <c r="L214" s="9">
        <f>SUM(L215)</f>
        <v>0</v>
      </c>
      <c r="M214" s="412"/>
      <c r="N214" s="9">
        <f>SUM(N215)</f>
        <v>0</v>
      </c>
    </row>
    <row r="215" spans="1:14" x14ac:dyDescent="0.3">
      <c r="A215" s="7"/>
      <c r="B215" s="7"/>
      <c r="C215" s="7"/>
      <c r="D215" s="7" t="s">
        <v>12</v>
      </c>
      <c r="E215" s="6" t="s">
        <v>11</v>
      </c>
      <c r="F215" s="9">
        <v>4608</v>
      </c>
      <c r="G215" s="412"/>
      <c r="H215" s="9">
        <v>4608</v>
      </c>
      <c r="I215" s="9">
        <v>0</v>
      </c>
      <c r="J215" s="412"/>
      <c r="K215" s="9">
        <v>0</v>
      </c>
      <c r="L215" s="9">
        <v>0</v>
      </c>
      <c r="M215" s="412"/>
      <c r="N215" s="9">
        <v>0</v>
      </c>
    </row>
    <row r="216" spans="1:14" ht="45.75" customHeight="1" x14ac:dyDescent="0.3">
      <c r="A216" s="370"/>
      <c r="B216" s="370"/>
      <c r="C216" s="366" t="s">
        <v>880</v>
      </c>
      <c r="D216" s="369"/>
      <c r="E216" s="367" t="s">
        <v>881</v>
      </c>
      <c r="F216" s="371">
        <f>F217</f>
        <v>0</v>
      </c>
      <c r="G216" s="412"/>
      <c r="H216" s="371">
        <f>H217</f>
        <v>0</v>
      </c>
      <c r="I216" s="371">
        <v>0</v>
      </c>
      <c r="J216" s="412"/>
      <c r="K216" s="371">
        <v>0</v>
      </c>
      <c r="L216" s="371">
        <v>0</v>
      </c>
      <c r="M216" s="412"/>
      <c r="N216" s="371">
        <v>0</v>
      </c>
    </row>
    <row r="217" spans="1:14" x14ac:dyDescent="0.3">
      <c r="A217" s="370"/>
      <c r="B217" s="370"/>
      <c r="C217" s="370"/>
      <c r="D217" s="7" t="s">
        <v>12</v>
      </c>
      <c r="E217" s="6" t="s">
        <v>11</v>
      </c>
      <c r="F217" s="371">
        <v>0</v>
      </c>
      <c r="G217" s="412"/>
      <c r="H217" s="371">
        <v>0</v>
      </c>
      <c r="I217" s="371">
        <v>0</v>
      </c>
      <c r="J217" s="412"/>
      <c r="K217" s="371">
        <v>0</v>
      </c>
      <c r="L217" s="371">
        <v>0</v>
      </c>
      <c r="M217" s="412"/>
      <c r="N217" s="371">
        <v>0</v>
      </c>
    </row>
    <row r="218" spans="1:14" x14ac:dyDescent="0.3">
      <c r="A218" s="379"/>
      <c r="B218" s="379"/>
      <c r="C218" s="73" t="s">
        <v>893</v>
      </c>
      <c r="D218" s="80"/>
      <c r="E218" s="456" t="s">
        <v>892</v>
      </c>
      <c r="F218" s="380">
        <f>F219</f>
        <v>200</v>
      </c>
      <c r="G218" s="412"/>
      <c r="H218" s="380">
        <f>H219</f>
        <v>200</v>
      </c>
      <c r="I218" s="380">
        <v>0</v>
      </c>
      <c r="J218" s="412"/>
      <c r="K218" s="380">
        <v>0</v>
      </c>
      <c r="L218" s="380">
        <v>0</v>
      </c>
      <c r="M218" s="412"/>
      <c r="N218" s="380">
        <v>0</v>
      </c>
    </row>
    <row r="219" spans="1:14" x14ac:dyDescent="0.3">
      <c r="A219" s="379"/>
      <c r="B219" s="379"/>
      <c r="C219" s="7"/>
      <c r="D219" s="7" t="s">
        <v>12</v>
      </c>
      <c r="E219" s="6" t="s">
        <v>11</v>
      </c>
      <c r="F219" s="380">
        <v>200</v>
      </c>
      <c r="G219" s="412"/>
      <c r="H219" s="380">
        <v>200</v>
      </c>
      <c r="I219" s="380">
        <v>0</v>
      </c>
      <c r="J219" s="412"/>
      <c r="K219" s="380">
        <v>0</v>
      </c>
      <c r="L219" s="380">
        <v>0</v>
      </c>
      <c r="M219" s="412"/>
      <c r="N219" s="380">
        <v>0</v>
      </c>
    </row>
    <row r="220" spans="1:14" ht="27" x14ac:dyDescent="0.3">
      <c r="A220" s="153"/>
      <c r="B220" s="153"/>
      <c r="C220" s="153" t="s">
        <v>379</v>
      </c>
      <c r="D220" s="153"/>
      <c r="E220" s="154" t="s">
        <v>378</v>
      </c>
      <c r="F220" s="155">
        <f>F221+F227+F225+F229</f>
        <v>41571.422279999999</v>
      </c>
      <c r="G220" s="155">
        <f>G221+G227+G225+G229</f>
        <v>1413.0841500000001</v>
      </c>
      <c r="H220" s="155">
        <f>H221+H227+H225+H229</f>
        <v>42984.506430000001</v>
      </c>
      <c r="I220" s="155">
        <f>I221+I227+I225</f>
        <v>26838.600000000002</v>
      </c>
      <c r="J220" s="411"/>
      <c r="K220" s="155">
        <f>K221+K227+K225</f>
        <v>26838.600000000002</v>
      </c>
      <c r="L220" s="155">
        <f>L221+L227+L225</f>
        <v>26838.600000000002</v>
      </c>
      <c r="M220" s="411"/>
      <c r="N220" s="155">
        <f>N221+N227+N225</f>
        <v>26838.600000000002</v>
      </c>
    </row>
    <row r="221" spans="1:14" x14ac:dyDescent="0.3">
      <c r="A221" s="7"/>
      <c r="B221" s="7"/>
      <c r="C221" s="7" t="s">
        <v>626</v>
      </c>
      <c r="D221" s="60"/>
      <c r="E221" s="6" t="s">
        <v>377</v>
      </c>
      <c r="F221" s="9">
        <f>F223+F224</f>
        <v>27092.222280000002</v>
      </c>
      <c r="G221" s="412"/>
      <c r="H221" s="9">
        <f>H223+H224</f>
        <v>27092.222280000002</v>
      </c>
      <c r="I221" s="9">
        <f>I223+I224</f>
        <v>26838.600000000002</v>
      </c>
      <c r="J221" s="412"/>
      <c r="K221" s="9">
        <f>K223+K224</f>
        <v>26838.600000000002</v>
      </c>
      <c r="L221" s="9">
        <f>L223+L224</f>
        <v>26838.600000000002</v>
      </c>
      <c r="M221" s="412"/>
      <c r="N221" s="9">
        <f>N223+N224</f>
        <v>26838.600000000002</v>
      </c>
    </row>
    <row r="222" spans="1:14" x14ac:dyDescent="0.3">
      <c r="A222" s="7"/>
      <c r="B222" s="7"/>
      <c r="C222" s="7"/>
      <c r="D222" s="7" t="s">
        <v>12</v>
      </c>
      <c r="E222" s="6" t="s">
        <v>11</v>
      </c>
      <c r="F222" s="9">
        <f>SUM(F223+F224)</f>
        <v>27092.222280000002</v>
      </c>
      <c r="G222" s="412"/>
      <c r="H222" s="9">
        <f>SUM(H223+H224)</f>
        <v>27092.222280000002</v>
      </c>
      <c r="I222" s="9">
        <f>SUM(I223+I224)</f>
        <v>26838.600000000002</v>
      </c>
      <c r="J222" s="412"/>
      <c r="K222" s="9">
        <f>SUM(K223+K224)</f>
        <v>26838.600000000002</v>
      </c>
      <c r="L222" s="9">
        <f>SUM(L223+L224)</f>
        <v>26838.600000000002</v>
      </c>
      <c r="M222" s="412"/>
      <c r="N222" s="9">
        <f>SUM(N223+N224)</f>
        <v>26838.600000000002</v>
      </c>
    </row>
    <row r="223" spans="1:14" x14ac:dyDescent="0.3">
      <c r="A223" s="7"/>
      <c r="B223" s="7"/>
      <c r="C223" s="7"/>
      <c r="D223" s="7"/>
      <c r="E223" s="6" t="s">
        <v>211</v>
      </c>
      <c r="F223" s="9">
        <v>24383</v>
      </c>
      <c r="G223" s="412"/>
      <c r="H223" s="9">
        <v>24383</v>
      </c>
      <c r="I223" s="9">
        <v>24154.7</v>
      </c>
      <c r="J223" s="412"/>
      <c r="K223" s="9">
        <v>24154.7</v>
      </c>
      <c r="L223" s="9">
        <v>24154.7</v>
      </c>
      <c r="M223" s="412"/>
      <c r="N223" s="9">
        <v>24154.7</v>
      </c>
    </row>
    <row r="224" spans="1:14" x14ac:dyDescent="0.3">
      <c r="A224" s="7"/>
      <c r="B224" s="7"/>
      <c r="C224" s="7"/>
      <c r="D224" s="7"/>
      <c r="E224" s="6" t="s">
        <v>97</v>
      </c>
      <c r="F224" s="9">
        <v>2709.22228</v>
      </c>
      <c r="G224" s="412"/>
      <c r="H224" s="9">
        <v>2709.22228</v>
      </c>
      <c r="I224" s="9">
        <v>2683.9</v>
      </c>
      <c r="J224" s="412"/>
      <c r="K224" s="9">
        <v>2683.9</v>
      </c>
      <c r="L224" s="9">
        <v>2683.9</v>
      </c>
      <c r="M224" s="412"/>
      <c r="N224" s="9">
        <v>2683.9</v>
      </c>
    </row>
    <row r="225" spans="1:14" x14ac:dyDescent="0.3">
      <c r="A225" s="7"/>
      <c r="B225" s="7"/>
      <c r="C225" s="7" t="s">
        <v>629</v>
      </c>
      <c r="D225" s="60"/>
      <c r="E225" s="6" t="s">
        <v>375</v>
      </c>
      <c r="F225" s="9">
        <f>F226</f>
        <v>7667.7</v>
      </c>
      <c r="G225" s="412"/>
      <c r="H225" s="9">
        <f>H226</f>
        <v>7667.7</v>
      </c>
      <c r="I225" s="9">
        <f>I226</f>
        <v>0</v>
      </c>
      <c r="J225" s="412"/>
      <c r="K225" s="9">
        <f>K226</f>
        <v>0</v>
      </c>
      <c r="L225" s="9">
        <f>L226</f>
        <v>0</v>
      </c>
      <c r="M225" s="412"/>
      <c r="N225" s="9">
        <f>N226</f>
        <v>0</v>
      </c>
    </row>
    <row r="226" spans="1:14" x14ac:dyDescent="0.3">
      <c r="A226" s="94"/>
      <c r="B226" s="94"/>
      <c r="C226" s="94"/>
      <c r="D226" s="7" t="s">
        <v>12</v>
      </c>
      <c r="E226" s="6" t="s">
        <v>11</v>
      </c>
      <c r="F226" s="175">
        <v>7667.7</v>
      </c>
      <c r="G226" s="407"/>
      <c r="H226" s="175">
        <v>7667.7</v>
      </c>
      <c r="I226" s="9">
        <v>0</v>
      </c>
      <c r="J226" s="412"/>
      <c r="K226" s="9">
        <v>0</v>
      </c>
      <c r="L226" s="9">
        <v>0</v>
      </c>
      <c r="M226" s="412"/>
      <c r="N226" s="9">
        <v>0</v>
      </c>
    </row>
    <row r="227" spans="1:14" x14ac:dyDescent="0.3">
      <c r="A227" s="7"/>
      <c r="B227" s="7"/>
      <c r="C227" s="7" t="s">
        <v>630</v>
      </c>
      <c r="D227" s="60"/>
      <c r="E227" s="6" t="s">
        <v>376</v>
      </c>
      <c r="F227" s="9">
        <f>F228</f>
        <v>6211.5</v>
      </c>
      <c r="G227" s="9">
        <f>G228</f>
        <v>1413.0841500000001</v>
      </c>
      <c r="H227" s="9">
        <f>H228</f>
        <v>7624.5841500000006</v>
      </c>
      <c r="I227" s="9">
        <f>I228</f>
        <v>0</v>
      </c>
      <c r="J227" s="412"/>
      <c r="K227" s="9">
        <f>K228</f>
        <v>0</v>
      </c>
      <c r="L227" s="9">
        <f>L228</f>
        <v>0</v>
      </c>
      <c r="M227" s="412"/>
      <c r="N227" s="9">
        <f>N228</f>
        <v>0</v>
      </c>
    </row>
    <row r="228" spans="1:14" x14ac:dyDescent="0.3">
      <c r="A228" s="7"/>
      <c r="B228" s="7"/>
      <c r="C228" s="7"/>
      <c r="D228" s="7" t="s">
        <v>12</v>
      </c>
      <c r="E228" s="6" t="s">
        <v>11</v>
      </c>
      <c r="F228" s="175">
        <f>6211.5</f>
        <v>6211.5</v>
      </c>
      <c r="G228" s="407">
        <f>219.80194+597+597-0.71779</f>
        <v>1413.0841500000001</v>
      </c>
      <c r="H228" s="175">
        <f>6211.5+1413.80194-0.71779</f>
        <v>7624.5841500000006</v>
      </c>
      <c r="I228" s="9">
        <v>0</v>
      </c>
      <c r="J228" s="412"/>
      <c r="K228" s="9">
        <v>0</v>
      </c>
      <c r="L228" s="9">
        <v>0</v>
      </c>
      <c r="M228" s="412"/>
      <c r="N228" s="9">
        <v>0</v>
      </c>
    </row>
    <row r="229" spans="1:14" ht="21" customHeight="1" x14ac:dyDescent="0.3">
      <c r="A229" s="370"/>
      <c r="B229" s="370"/>
      <c r="C229" s="368" t="s">
        <v>886</v>
      </c>
      <c r="D229" s="366"/>
      <c r="E229" s="367" t="s">
        <v>887</v>
      </c>
      <c r="F229" s="372">
        <v>600</v>
      </c>
      <c r="G229" s="407"/>
      <c r="H229" s="372">
        <v>600</v>
      </c>
      <c r="I229" s="371">
        <v>0</v>
      </c>
      <c r="J229" s="412"/>
      <c r="K229" s="371">
        <v>0</v>
      </c>
      <c r="L229" s="371">
        <v>0</v>
      </c>
      <c r="M229" s="412"/>
      <c r="N229" s="371">
        <v>0</v>
      </c>
    </row>
    <row r="230" spans="1:14" x14ac:dyDescent="0.3">
      <c r="A230" s="370"/>
      <c r="B230" s="370"/>
      <c r="C230" s="370"/>
      <c r="D230" s="7" t="s">
        <v>12</v>
      </c>
      <c r="E230" s="6" t="s">
        <v>11</v>
      </c>
      <c r="F230" s="372">
        <v>600</v>
      </c>
      <c r="G230" s="407"/>
      <c r="H230" s="372">
        <v>600</v>
      </c>
      <c r="I230" s="371">
        <v>0</v>
      </c>
      <c r="J230" s="412"/>
      <c r="K230" s="371">
        <v>0</v>
      </c>
      <c r="L230" s="371">
        <v>0</v>
      </c>
      <c r="M230" s="412"/>
      <c r="N230" s="371">
        <v>0</v>
      </c>
    </row>
    <row r="231" spans="1:14" x14ac:dyDescent="0.3">
      <c r="A231" s="153"/>
      <c r="B231" s="153"/>
      <c r="C231" s="153" t="s">
        <v>374</v>
      </c>
      <c r="D231" s="153"/>
      <c r="E231" s="154" t="s">
        <v>373</v>
      </c>
      <c r="F231" s="155">
        <f t="shared" ref="F231:N235" si="32">F232</f>
        <v>33838.699999999997</v>
      </c>
      <c r="G231" s="411"/>
      <c r="H231" s="155">
        <f t="shared" si="32"/>
        <v>33838.699999999997</v>
      </c>
      <c r="I231" s="155">
        <f t="shared" si="32"/>
        <v>31983.9</v>
      </c>
      <c r="J231" s="411"/>
      <c r="K231" s="155">
        <f t="shared" si="32"/>
        <v>31983.9</v>
      </c>
      <c r="L231" s="155">
        <f t="shared" si="32"/>
        <v>33838.699999999997</v>
      </c>
      <c r="M231" s="411"/>
      <c r="N231" s="155">
        <f t="shared" si="32"/>
        <v>33838.699999999997</v>
      </c>
    </row>
    <row r="232" spans="1:14" ht="27" x14ac:dyDescent="0.3">
      <c r="A232" s="7"/>
      <c r="B232" s="7"/>
      <c r="C232" s="7" t="s">
        <v>628</v>
      </c>
      <c r="D232" s="60"/>
      <c r="E232" s="6" t="s">
        <v>372</v>
      </c>
      <c r="F232" s="9">
        <f t="shared" si="32"/>
        <v>33838.699999999997</v>
      </c>
      <c r="G232" s="412"/>
      <c r="H232" s="9">
        <f t="shared" si="32"/>
        <v>33838.699999999997</v>
      </c>
      <c r="I232" s="9">
        <f t="shared" si="32"/>
        <v>31983.9</v>
      </c>
      <c r="J232" s="412"/>
      <c r="K232" s="9">
        <f t="shared" si="32"/>
        <v>31983.9</v>
      </c>
      <c r="L232" s="9">
        <f t="shared" si="32"/>
        <v>33838.699999999997</v>
      </c>
      <c r="M232" s="412"/>
      <c r="N232" s="9">
        <f t="shared" si="32"/>
        <v>33838.699999999997</v>
      </c>
    </row>
    <row r="233" spans="1:14" x14ac:dyDescent="0.3">
      <c r="A233" s="7"/>
      <c r="B233" s="7"/>
      <c r="C233" s="7"/>
      <c r="D233" s="7" t="s">
        <v>12</v>
      </c>
      <c r="E233" s="6" t="s">
        <v>11</v>
      </c>
      <c r="F233" s="175">
        <v>33838.699999999997</v>
      </c>
      <c r="G233" s="407"/>
      <c r="H233" s="175">
        <v>33838.699999999997</v>
      </c>
      <c r="I233" s="175">
        <v>31983.9</v>
      </c>
      <c r="J233" s="407"/>
      <c r="K233" s="175">
        <v>31983.9</v>
      </c>
      <c r="L233" s="175">
        <v>33838.699999999997</v>
      </c>
      <c r="M233" s="407"/>
      <c r="N233" s="175">
        <v>33838.699999999997</v>
      </c>
    </row>
    <row r="234" spans="1:14" ht="40.200000000000003" x14ac:dyDescent="0.3">
      <c r="A234" s="153"/>
      <c r="B234" s="153"/>
      <c r="C234" s="153" t="s">
        <v>703</v>
      </c>
      <c r="D234" s="153"/>
      <c r="E234" s="156" t="s">
        <v>718</v>
      </c>
      <c r="F234" s="155">
        <f t="shared" si="32"/>
        <v>438.88</v>
      </c>
      <c r="G234" s="155">
        <f t="shared" si="32"/>
        <v>-438.88</v>
      </c>
      <c r="H234" s="155">
        <f t="shared" si="32"/>
        <v>0</v>
      </c>
      <c r="I234" s="155">
        <f t="shared" si="32"/>
        <v>0</v>
      </c>
      <c r="J234" s="411"/>
      <c r="K234" s="155">
        <f t="shared" si="32"/>
        <v>0</v>
      </c>
      <c r="L234" s="155">
        <f t="shared" si="32"/>
        <v>0</v>
      </c>
      <c r="M234" s="411"/>
      <c r="N234" s="155">
        <f t="shared" si="32"/>
        <v>0</v>
      </c>
    </row>
    <row r="235" spans="1:14" x14ac:dyDescent="0.3">
      <c r="A235" s="7"/>
      <c r="B235" s="7"/>
      <c r="C235" s="7" t="s">
        <v>702</v>
      </c>
      <c r="D235" s="7"/>
      <c r="E235" s="11" t="s">
        <v>685</v>
      </c>
      <c r="F235" s="9">
        <f t="shared" si="32"/>
        <v>438.88</v>
      </c>
      <c r="G235" s="9">
        <f t="shared" si="32"/>
        <v>-438.88</v>
      </c>
      <c r="H235" s="9">
        <f t="shared" si="32"/>
        <v>0</v>
      </c>
      <c r="I235" s="9">
        <f t="shared" si="32"/>
        <v>0</v>
      </c>
      <c r="J235" s="412"/>
      <c r="K235" s="9">
        <f t="shared" si="32"/>
        <v>0</v>
      </c>
      <c r="L235" s="9">
        <f t="shared" si="32"/>
        <v>0</v>
      </c>
      <c r="M235" s="412"/>
      <c r="N235" s="9">
        <f t="shared" si="32"/>
        <v>0</v>
      </c>
    </row>
    <row r="236" spans="1:14" x14ac:dyDescent="0.3">
      <c r="A236" s="7"/>
      <c r="B236" s="7"/>
      <c r="C236" s="7"/>
      <c r="D236" s="7" t="s">
        <v>12</v>
      </c>
      <c r="E236" s="6" t="s">
        <v>11</v>
      </c>
      <c r="F236" s="175">
        <f>F237</f>
        <v>438.88</v>
      </c>
      <c r="G236" s="175">
        <f>G237</f>
        <v>-438.88</v>
      </c>
      <c r="H236" s="175">
        <f>H237</f>
        <v>0</v>
      </c>
      <c r="I236" s="175">
        <v>0</v>
      </c>
      <c r="J236" s="407"/>
      <c r="K236" s="175">
        <v>0</v>
      </c>
      <c r="L236" s="175">
        <v>0</v>
      </c>
      <c r="M236" s="407"/>
      <c r="N236" s="175">
        <v>0</v>
      </c>
    </row>
    <row r="237" spans="1:14" x14ac:dyDescent="0.3">
      <c r="A237" s="7"/>
      <c r="B237" s="7"/>
      <c r="C237" s="7"/>
      <c r="D237" s="7"/>
      <c r="E237" s="6" t="s">
        <v>97</v>
      </c>
      <c r="F237" s="9">
        <v>438.88</v>
      </c>
      <c r="G237" s="412">
        <v>-438.88</v>
      </c>
      <c r="H237" s="9">
        <v>0</v>
      </c>
      <c r="I237" s="9">
        <v>0</v>
      </c>
      <c r="J237" s="412"/>
      <c r="K237" s="9">
        <v>0</v>
      </c>
      <c r="L237" s="9">
        <v>0</v>
      </c>
      <c r="M237" s="412"/>
      <c r="N237" s="9">
        <v>0</v>
      </c>
    </row>
    <row r="238" spans="1:14" ht="27" x14ac:dyDescent="0.3">
      <c r="A238" s="153"/>
      <c r="B238" s="153"/>
      <c r="C238" s="153" t="s">
        <v>649</v>
      </c>
      <c r="D238" s="153"/>
      <c r="E238" s="154" t="s">
        <v>371</v>
      </c>
      <c r="F238" s="155">
        <f>F239</f>
        <v>262277.92671999999</v>
      </c>
      <c r="G238" s="411"/>
      <c r="H238" s="155">
        <f t="shared" ref="H238:K239" si="33">H239</f>
        <v>262277.92671999999</v>
      </c>
      <c r="I238" s="155">
        <f t="shared" si="33"/>
        <v>531.73464999999999</v>
      </c>
      <c r="J238" s="155">
        <f t="shared" si="33"/>
        <v>306.63055000000003</v>
      </c>
      <c r="K238" s="155">
        <f t="shared" si="33"/>
        <v>838.36519999999996</v>
      </c>
      <c r="L238" s="155">
        <v>0</v>
      </c>
      <c r="M238" s="411"/>
      <c r="N238" s="155">
        <v>0</v>
      </c>
    </row>
    <row r="239" spans="1:14" x14ac:dyDescent="0.3">
      <c r="A239" s="7"/>
      <c r="B239" s="7"/>
      <c r="C239" s="7" t="s">
        <v>650</v>
      </c>
      <c r="D239" s="7"/>
      <c r="E239" s="6" t="s">
        <v>370</v>
      </c>
      <c r="F239" s="9">
        <f>F240</f>
        <v>262277.92671999999</v>
      </c>
      <c r="G239" s="412"/>
      <c r="H239" s="9">
        <f t="shared" si="33"/>
        <v>262277.92671999999</v>
      </c>
      <c r="I239" s="9">
        <f t="shared" si="33"/>
        <v>531.73464999999999</v>
      </c>
      <c r="J239" s="9">
        <f t="shared" si="33"/>
        <v>306.63055000000003</v>
      </c>
      <c r="K239" s="9">
        <f t="shared" si="33"/>
        <v>838.36519999999996</v>
      </c>
      <c r="L239" s="9">
        <v>0</v>
      </c>
      <c r="M239" s="412"/>
      <c r="N239" s="9">
        <v>0</v>
      </c>
    </row>
    <row r="240" spans="1:14" x14ac:dyDescent="0.3">
      <c r="A240" s="7"/>
      <c r="B240" s="7"/>
      <c r="C240" s="7"/>
      <c r="D240" s="7" t="s">
        <v>12</v>
      </c>
      <c r="E240" s="6" t="s">
        <v>11</v>
      </c>
      <c r="F240" s="9">
        <f>F241+F242+F243</f>
        <v>262277.92671999999</v>
      </c>
      <c r="G240" s="412"/>
      <c r="H240" s="9">
        <f>H241+H242+H243</f>
        <v>262277.92671999999</v>
      </c>
      <c r="I240" s="9">
        <f>I241+I242+I243</f>
        <v>531.73464999999999</v>
      </c>
      <c r="J240" s="9">
        <f>J241+J242+J243</f>
        <v>306.63055000000003</v>
      </c>
      <c r="K240" s="9">
        <f>K241+K242+K243</f>
        <v>838.36519999999996</v>
      </c>
      <c r="L240" s="9">
        <v>0</v>
      </c>
      <c r="M240" s="412"/>
      <c r="N240" s="9">
        <v>0</v>
      </c>
    </row>
    <row r="241" spans="1:14" x14ac:dyDescent="0.3">
      <c r="A241" s="7"/>
      <c r="B241" s="7"/>
      <c r="C241" s="7"/>
      <c r="D241" s="7"/>
      <c r="E241" s="6" t="s">
        <v>101</v>
      </c>
      <c r="F241" s="9">
        <v>250527.87560999999</v>
      </c>
      <c r="G241" s="412"/>
      <c r="H241" s="9">
        <v>250527.87560999999</v>
      </c>
      <c r="I241" s="9">
        <v>0</v>
      </c>
      <c r="J241" s="412"/>
      <c r="K241" s="9">
        <v>0</v>
      </c>
      <c r="L241" s="9">
        <v>0</v>
      </c>
      <c r="M241" s="412"/>
      <c r="N241" s="9">
        <v>0</v>
      </c>
    </row>
    <row r="242" spans="1:14" x14ac:dyDescent="0.3">
      <c r="A242" s="7"/>
      <c r="B242" s="7"/>
      <c r="C242" s="7"/>
      <c r="D242" s="7"/>
      <c r="E242" s="6" t="s">
        <v>100</v>
      </c>
      <c r="F242" s="9">
        <v>10438.661480000001</v>
      </c>
      <c r="G242" s="412"/>
      <c r="H242" s="9">
        <v>10438.661480000001</v>
      </c>
      <c r="I242" s="9">
        <v>0</v>
      </c>
      <c r="J242" s="412"/>
      <c r="K242" s="9">
        <v>0</v>
      </c>
      <c r="L242" s="9">
        <v>0</v>
      </c>
      <c r="M242" s="412"/>
      <c r="N242" s="9">
        <v>0</v>
      </c>
    </row>
    <row r="243" spans="1:14" x14ac:dyDescent="0.3">
      <c r="A243" s="7"/>
      <c r="B243" s="7"/>
      <c r="C243" s="7"/>
      <c r="D243" s="7"/>
      <c r="E243" s="6" t="s">
        <v>97</v>
      </c>
      <c r="F243" s="9">
        <v>1311.3896299999999</v>
      </c>
      <c r="G243" s="412"/>
      <c r="H243" s="9">
        <v>1311.3896299999999</v>
      </c>
      <c r="I243" s="9">
        <v>531.73464999999999</v>
      </c>
      <c r="J243" s="412">
        <v>306.63055000000003</v>
      </c>
      <c r="K243" s="9">
        <f>531.73465+306.63055</f>
        <v>838.36519999999996</v>
      </c>
      <c r="L243" s="9">
        <v>0</v>
      </c>
      <c r="M243" s="412"/>
      <c r="N243" s="9">
        <v>0</v>
      </c>
    </row>
    <row r="244" spans="1:14" ht="27" x14ac:dyDescent="0.3">
      <c r="A244" s="30"/>
      <c r="B244" s="30"/>
      <c r="C244" s="30" t="s">
        <v>369</v>
      </c>
      <c r="D244" s="30"/>
      <c r="E244" s="51" t="s">
        <v>368</v>
      </c>
      <c r="F244" s="28">
        <f>F245+F248+F251</f>
        <v>3937</v>
      </c>
      <c r="G244" s="410"/>
      <c r="H244" s="28">
        <f>H245+H248+H251</f>
        <v>3937</v>
      </c>
      <c r="I244" s="28">
        <f>I245+I248</f>
        <v>0</v>
      </c>
      <c r="J244" s="410"/>
      <c r="K244" s="28">
        <f>K245+K248</f>
        <v>0</v>
      </c>
      <c r="L244" s="28">
        <f>L245+L248</f>
        <v>0</v>
      </c>
      <c r="M244" s="410"/>
      <c r="N244" s="28">
        <f>N245+N248</f>
        <v>0</v>
      </c>
    </row>
    <row r="245" spans="1:14" ht="27" x14ac:dyDescent="0.3">
      <c r="A245" s="153"/>
      <c r="B245" s="153"/>
      <c r="C245" s="153" t="s">
        <v>367</v>
      </c>
      <c r="D245" s="153"/>
      <c r="E245" s="166" t="s">
        <v>366</v>
      </c>
      <c r="F245" s="155">
        <f t="shared" ref="F245:N246" si="34">F246</f>
        <v>1236.5999999999999</v>
      </c>
      <c r="G245" s="411"/>
      <c r="H245" s="155">
        <f t="shared" si="34"/>
        <v>1236.5999999999999</v>
      </c>
      <c r="I245" s="155">
        <f t="shared" si="34"/>
        <v>0</v>
      </c>
      <c r="J245" s="411"/>
      <c r="K245" s="155">
        <f t="shared" si="34"/>
        <v>0</v>
      </c>
      <c r="L245" s="155">
        <f t="shared" si="34"/>
        <v>0</v>
      </c>
      <c r="M245" s="411"/>
      <c r="N245" s="155">
        <f t="shared" si="34"/>
        <v>0</v>
      </c>
    </row>
    <row r="246" spans="1:14" ht="27" x14ac:dyDescent="0.3">
      <c r="A246" s="8"/>
      <c r="B246" s="8"/>
      <c r="C246" s="7" t="s">
        <v>627</v>
      </c>
      <c r="D246" s="7"/>
      <c r="E246" s="99" t="s">
        <v>365</v>
      </c>
      <c r="F246" s="9">
        <f t="shared" si="34"/>
        <v>1236.5999999999999</v>
      </c>
      <c r="G246" s="412"/>
      <c r="H246" s="9">
        <f t="shared" si="34"/>
        <v>1236.5999999999999</v>
      </c>
      <c r="I246" s="9">
        <f t="shared" si="34"/>
        <v>0</v>
      </c>
      <c r="J246" s="412"/>
      <c r="K246" s="9">
        <f t="shared" si="34"/>
        <v>0</v>
      </c>
      <c r="L246" s="9">
        <f t="shared" si="34"/>
        <v>0</v>
      </c>
      <c r="M246" s="412"/>
      <c r="N246" s="9">
        <f t="shared" si="34"/>
        <v>0</v>
      </c>
    </row>
    <row r="247" spans="1:14" x14ac:dyDescent="0.3">
      <c r="A247" s="8"/>
      <c r="B247" s="8"/>
      <c r="C247" s="7"/>
      <c r="D247" s="7" t="s">
        <v>12</v>
      </c>
      <c r="E247" s="6" t="s">
        <v>11</v>
      </c>
      <c r="F247" s="9">
        <v>1236.5999999999999</v>
      </c>
      <c r="G247" s="412"/>
      <c r="H247" s="9">
        <v>1236.5999999999999</v>
      </c>
      <c r="I247" s="9">
        <v>0</v>
      </c>
      <c r="J247" s="412"/>
      <c r="K247" s="9">
        <v>0</v>
      </c>
      <c r="L247" s="9">
        <v>0</v>
      </c>
      <c r="M247" s="412"/>
      <c r="N247" s="9">
        <v>0</v>
      </c>
    </row>
    <row r="248" spans="1:14" ht="27" x14ac:dyDescent="0.3">
      <c r="A248" s="153"/>
      <c r="B248" s="153"/>
      <c r="C248" s="153" t="s">
        <v>646</v>
      </c>
      <c r="D248" s="153"/>
      <c r="E248" s="166" t="s">
        <v>647</v>
      </c>
      <c r="F248" s="165">
        <f>F249</f>
        <v>300.39999999999998</v>
      </c>
      <c r="G248" s="406"/>
      <c r="H248" s="165">
        <f>H249</f>
        <v>300.39999999999998</v>
      </c>
      <c r="I248" s="165">
        <v>0</v>
      </c>
      <c r="J248" s="406"/>
      <c r="K248" s="165">
        <v>0</v>
      </c>
      <c r="L248" s="165">
        <v>0</v>
      </c>
      <c r="M248" s="406"/>
      <c r="N248" s="165">
        <v>0</v>
      </c>
    </row>
    <row r="249" spans="1:14" ht="27" x14ac:dyDescent="0.3">
      <c r="A249" s="213"/>
      <c r="B249" s="213"/>
      <c r="C249" s="199" t="s">
        <v>755</v>
      </c>
      <c r="D249" s="199"/>
      <c r="E249" s="206" t="s">
        <v>648</v>
      </c>
      <c r="F249" s="209">
        <f>F250</f>
        <v>300.39999999999998</v>
      </c>
      <c r="G249" s="412"/>
      <c r="H249" s="209">
        <f>H250</f>
        <v>300.39999999999998</v>
      </c>
      <c r="I249" s="209">
        <v>0</v>
      </c>
      <c r="J249" s="412"/>
      <c r="K249" s="209">
        <v>0</v>
      </c>
      <c r="L249" s="209">
        <v>0</v>
      </c>
      <c r="M249" s="412"/>
      <c r="N249" s="209">
        <v>0</v>
      </c>
    </row>
    <row r="250" spans="1:14" x14ac:dyDescent="0.3">
      <c r="A250" s="213"/>
      <c r="B250" s="213"/>
      <c r="C250" s="199"/>
      <c r="D250" s="7" t="s">
        <v>12</v>
      </c>
      <c r="E250" s="6" t="s">
        <v>11</v>
      </c>
      <c r="F250" s="209">
        <v>300.39999999999998</v>
      </c>
      <c r="G250" s="412"/>
      <c r="H250" s="209">
        <v>300.39999999999998</v>
      </c>
      <c r="I250" s="209">
        <v>0</v>
      </c>
      <c r="J250" s="412"/>
      <c r="K250" s="209">
        <v>0</v>
      </c>
      <c r="L250" s="209">
        <v>0</v>
      </c>
      <c r="M250" s="412"/>
      <c r="N250" s="209">
        <v>0</v>
      </c>
    </row>
    <row r="251" spans="1:14" x14ac:dyDescent="0.3">
      <c r="A251" s="153"/>
      <c r="B251" s="153"/>
      <c r="C251" s="153" t="s">
        <v>714</v>
      </c>
      <c r="D251" s="153"/>
      <c r="E251" s="166" t="s">
        <v>643</v>
      </c>
      <c r="F251" s="165">
        <f>F252</f>
        <v>2400</v>
      </c>
      <c r="G251" s="406"/>
      <c r="H251" s="165">
        <f>H252</f>
        <v>2400</v>
      </c>
      <c r="I251" s="165">
        <v>0</v>
      </c>
      <c r="J251" s="406"/>
      <c r="K251" s="165">
        <v>0</v>
      </c>
      <c r="L251" s="165">
        <v>0</v>
      </c>
      <c r="M251" s="406"/>
      <c r="N251" s="165">
        <v>0</v>
      </c>
    </row>
    <row r="252" spans="1:14" ht="27" x14ac:dyDescent="0.3">
      <c r="A252" s="228"/>
      <c r="B252" s="228"/>
      <c r="C252" s="7" t="s">
        <v>715</v>
      </c>
      <c r="D252" s="7"/>
      <c r="E252" s="99" t="s">
        <v>716</v>
      </c>
      <c r="F252" s="175">
        <f>F253</f>
        <v>2400</v>
      </c>
      <c r="G252" s="407"/>
      <c r="H252" s="175">
        <f>H253</f>
        <v>2400</v>
      </c>
      <c r="I252" s="175">
        <v>0</v>
      </c>
      <c r="J252" s="407"/>
      <c r="K252" s="175">
        <v>0</v>
      </c>
      <c r="L252" s="175">
        <v>0</v>
      </c>
      <c r="M252" s="407"/>
      <c r="N252" s="175">
        <v>0</v>
      </c>
    </row>
    <row r="253" spans="1:14" x14ac:dyDescent="0.3">
      <c r="A253" s="228"/>
      <c r="B253" s="228"/>
      <c r="C253" s="7"/>
      <c r="D253" s="7" t="s">
        <v>12</v>
      </c>
      <c r="E253" s="6" t="s">
        <v>11</v>
      </c>
      <c r="F253" s="175">
        <f>F254+F255</f>
        <v>2400</v>
      </c>
      <c r="G253" s="407"/>
      <c r="H253" s="175">
        <f>H254+H255</f>
        <v>2400</v>
      </c>
      <c r="I253" s="175">
        <v>0</v>
      </c>
      <c r="J253" s="407"/>
      <c r="K253" s="175">
        <v>0</v>
      </c>
      <c r="L253" s="175">
        <v>0</v>
      </c>
      <c r="M253" s="407"/>
      <c r="N253" s="175">
        <v>0</v>
      </c>
    </row>
    <row r="254" spans="1:14" x14ac:dyDescent="0.3">
      <c r="A254" s="228"/>
      <c r="B254" s="228"/>
      <c r="C254" s="226"/>
      <c r="D254" s="226"/>
      <c r="E254" s="6" t="s">
        <v>100</v>
      </c>
      <c r="F254" s="248">
        <v>2160</v>
      </c>
      <c r="G254" s="407"/>
      <c r="H254" s="248">
        <v>2160</v>
      </c>
      <c r="I254" s="248">
        <v>0</v>
      </c>
      <c r="J254" s="407"/>
      <c r="K254" s="248">
        <v>0</v>
      </c>
      <c r="L254" s="248">
        <v>0</v>
      </c>
      <c r="M254" s="407"/>
      <c r="N254" s="248">
        <v>0</v>
      </c>
    </row>
    <row r="255" spans="1:14" x14ac:dyDescent="0.3">
      <c r="A255" s="228"/>
      <c r="B255" s="228"/>
      <c r="C255" s="226"/>
      <c r="D255" s="226"/>
      <c r="E255" s="6" t="s">
        <v>97</v>
      </c>
      <c r="F255" s="248">
        <v>240</v>
      </c>
      <c r="G255" s="407"/>
      <c r="H255" s="248">
        <v>240</v>
      </c>
      <c r="I255" s="248">
        <v>0</v>
      </c>
      <c r="J255" s="407"/>
      <c r="K255" s="248">
        <v>0</v>
      </c>
      <c r="L255" s="248">
        <v>0</v>
      </c>
      <c r="M255" s="407"/>
      <c r="N255" s="248">
        <v>0</v>
      </c>
    </row>
    <row r="256" spans="1:14" x14ac:dyDescent="0.3">
      <c r="A256" s="8"/>
      <c r="B256" s="22" t="s">
        <v>364</v>
      </c>
      <c r="C256" s="56"/>
      <c r="D256" s="36"/>
      <c r="E256" s="19" t="s">
        <v>363</v>
      </c>
      <c r="F256" s="26">
        <f t="shared" ref="F256:L256" si="35">F257+F290</f>
        <v>11224.6994</v>
      </c>
      <c r="G256" s="26">
        <f t="shared" si="35"/>
        <v>768.6</v>
      </c>
      <c r="H256" s="26">
        <f>H257+H290</f>
        <v>11993.299399999998</v>
      </c>
      <c r="I256" s="26">
        <f t="shared" si="35"/>
        <v>4711.3</v>
      </c>
      <c r="J256" s="424"/>
      <c r="K256" s="26">
        <f>K257+K290</f>
        <v>4711.3</v>
      </c>
      <c r="L256" s="26">
        <f t="shared" si="35"/>
        <v>5641</v>
      </c>
      <c r="M256" s="424"/>
      <c r="N256" s="26">
        <f>N257+N290</f>
        <v>5641</v>
      </c>
    </row>
    <row r="257" spans="1:14" x14ac:dyDescent="0.3">
      <c r="A257" s="8"/>
      <c r="B257" s="22"/>
      <c r="C257" s="21" t="s">
        <v>36</v>
      </c>
      <c r="D257" s="20"/>
      <c r="E257" s="27" t="s">
        <v>35</v>
      </c>
      <c r="F257" s="26">
        <f t="shared" ref="F257:L257" si="36">F258+F269+F281</f>
        <v>7670.3993999999993</v>
      </c>
      <c r="G257" s="26">
        <f t="shared" si="36"/>
        <v>768.6</v>
      </c>
      <c r="H257" s="26">
        <f>H258+H269+H281</f>
        <v>8438.9993999999988</v>
      </c>
      <c r="I257" s="26">
        <f t="shared" si="36"/>
        <v>885.7</v>
      </c>
      <c r="J257" s="424"/>
      <c r="K257" s="26">
        <f>K258+K269+K281</f>
        <v>885.7</v>
      </c>
      <c r="L257" s="26">
        <f t="shared" si="36"/>
        <v>1815.4</v>
      </c>
      <c r="M257" s="424"/>
      <c r="N257" s="26">
        <f>N258+N269+N281</f>
        <v>1815.4</v>
      </c>
    </row>
    <row r="258" spans="1:14" s="103" customFormat="1" ht="26.4" x14ac:dyDescent="0.3">
      <c r="A258" s="33"/>
      <c r="B258" s="33"/>
      <c r="C258" s="34" t="s">
        <v>261</v>
      </c>
      <c r="D258" s="33"/>
      <c r="E258" s="32" t="s">
        <v>260</v>
      </c>
      <c r="F258" s="31">
        <f>F259+F266</f>
        <v>1794</v>
      </c>
      <c r="G258" s="31">
        <f>G259+G266</f>
        <v>768.6</v>
      </c>
      <c r="H258" s="31">
        <f>H259+H266</f>
        <v>2562.6</v>
      </c>
      <c r="I258" s="31">
        <f>I259+I266</f>
        <v>0</v>
      </c>
      <c r="J258" s="423"/>
      <c r="K258" s="31">
        <f>K259+K266</f>
        <v>0</v>
      </c>
      <c r="L258" s="31">
        <f>L259+L266</f>
        <v>974</v>
      </c>
      <c r="M258" s="423"/>
      <c r="N258" s="31">
        <f>N259+N266</f>
        <v>974</v>
      </c>
    </row>
    <row r="259" spans="1:14" ht="27" x14ac:dyDescent="0.3">
      <c r="A259" s="153"/>
      <c r="B259" s="153"/>
      <c r="C259" s="153" t="s">
        <v>259</v>
      </c>
      <c r="D259" s="153"/>
      <c r="E259" s="154" t="s">
        <v>258</v>
      </c>
      <c r="F259" s="155">
        <f>F260+F262+F264</f>
        <v>1794</v>
      </c>
      <c r="G259" s="155">
        <f>G260+G262+G264</f>
        <v>768.6</v>
      </c>
      <c r="H259" s="155">
        <f>H260+H262+H264</f>
        <v>2562.6</v>
      </c>
      <c r="I259" s="155">
        <f t="shared" ref="I259:N260" si="37">I260</f>
        <v>0</v>
      </c>
      <c r="J259" s="411"/>
      <c r="K259" s="155">
        <f t="shared" si="37"/>
        <v>0</v>
      </c>
      <c r="L259" s="155">
        <f t="shared" si="37"/>
        <v>974</v>
      </c>
      <c r="M259" s="411"/>
      <c r="N259" s="155">
        <f t="shared" si="37"/>
        <v>974</v>
      </c>
    </row>
    <row r="260" spans="1:14" ht="39.6" x14ac:dyDescent="0.3">
      <c r="A260" s="8"/>
      <c r="B260" s="8"/>
      <c r="C260" s="7" t="s">
        <v>362</v>
      </c>
      <c r="D260" s="7"/>
      <c r="E260" s="102" t="s">
        <v>600</v>
      </c>
      <c r="F260" s="9">
        <f>F261</f>
        <v>974</v>
      </c>
      <c r="G260" s="9"/>
      <c r="H260" s="9">
        <f>H261</f>
        <v>974</v>
      </c>
      <c r="I260" s="9">
        <f t="shared" si="37"/>
        <v>0</v>
      </c>
      <c r="J260" s="412"/>
      <c r="K260" s="9">
        <f t="shared" si="37"/>
        <v>0</v>
      </c>
      <c r="L260" s="9">
        <f t="shared" si="37"/>
        <v>974</v>
      </c>
      <c r="M260" s="412"/>
      <c r="N260" s="9">
        <f t="shared" si="37"/>
        <v>974</v>
      </c>
    </row>
    <row r="261" spans="1:14" x14ac:dyDescent="0.3">
      <c r="A261" s="8"/>
      <c r="B261" s="8"/>
      <c r="C261" s="7"/>
      <c r="D261" s="7" t="s">
        <v>12</v>
      </c>
      <c r="E261" s="6" t="s">
        <v>11</v>
      </c>
      <c r="F261" s="175">
        <v>974</v>
      </c>
      <c r="G261" s="407"/>
      <c r="H261" s="175">
        <v>974</v>
      </c>
      <c r="I261" s="175">
        <v>0</v>
      </c>
      <c r="J261" s="407"/>
      <c r="K261" s="175">
        <v>0</v>
      </c>
      <c r="L261" s="175">
        <v>974</v>
      </c>
      <c r="M261" s="407"/>
      <c r="N261" s="175">
        <v>974</v>
      </c>
    </row>
    <row r="262" spans="1:14" x14ac:dyDescent="0.3">
      <c r="A262" s="479"/>
      <c r="B262" s="479"/>
      <c r="C262" s="7" t="s">
        <v>943</v>
      </c>
      <c r="D262" s="7"/>
      <c r="E262" s="6" t="s">
        <v>944</v>
      </c>
      <c r="F262" s="480">
        <f>F263</f>
        <v>0</v>
      </c>
      <c r="G262" s="480">
        <f>G263</f>
        <v>768.6</v>
      </c>
      <c r="H262" s="480">
        <f>H263</f>
        <v>768.6</v>
      </c>
      <c r="I262" s="480">
        <v>0</v>
      </c>
      <c r="J262" s="480"/>
      <c r="K262" s="480">
        <v>0</v>
      </c>
      <c r="L262" s="480">
        <v>0</v>
      </c>
      <c r="M262" s="480"/>
      <c r="N262" s="480"/>
    </row>
    <row r="263" spans="1:14" x14ac:dyDescent="0.3">
      <c r="A263" s="446"/>
      <c r="B263" s="446"/>
      <c r="C263" s="417"/>
      <c r="D263" s="417" t="s">
        <v>22</v>
      </c>
      <c r="E263" s="130" t="s">
        <v>21</v>
      </c>
      <c r="F263" s="407">
        <v>0</v>
      </c>
      <c r="G263" s="407">
        <v>768.6</v>
      </c>
      <c r="H263" s="407">
        <v>768.6</v>
      </c>
      <c r="I263" s="407">
        <v>0</v>
      </c>
      <c r="J263" s="407"/>
      <c r="K263" s="407">
        <v>0</v>
      </c>
      <c r="L263" s="407">
        <v>0</v>
      </c>
      <c r="M263" s="407"/>
      <c r="N263" s="407"/>
    </row>
    <row r="264" spans="1:14" x14ac:dyDescent="0.3">
      <c r="A264" s="395"/>
      <c r="B264" s="395"/>
      <c r="C264" s="7" t="s">
        <v>895</v>
      </c>
      <c r="D264" s="7"/>
      <c r="E264" s="6" t="s">
        <v>894</v>
      </c>
      <c r="F264" s="394">
        <f>F265</f>
        <v>820</v>
      </c>
      <c r="G264" s="407"/>
      <c r="H264" s="394">
        <f>H265</f>
        <v>820</v>
      </c>
      <c r="I264" s="394">
        <v>0</v>
      </c>
      <c r="J264" s="407"/>
      <c r="K264" s="394">
        <v>0</v>
      </c>
      <c r="L264" s="394">
        <v>0</v>
      </c>
      <c r="M264" s="407"/>
      <c r="N264" s="394">
        <v>0</v>
      </c>
    </row>
    <row r="265" spans="1:14" x14ac:dyDescent="0.3">
      <c r="A265" s="395"/>
      <c r="B265" s="395"/>
      <c r="C265" s="7"/>
      <c r="D265" s="7" t="s">
        <v>12</v>
      </c>
      <c r="E265" s="6" t="s">
        <v>11</v>
      </c>
      <c r="F265" s="394">
        <v>820</v>
      </c>
      <c r="G265" s="407"/>
      <c r="H265" s="394">
        <v>820</v>
      </c>
      <c r="I265" s="394">
        <v>0</v>
      </c>
      <c r="J265" s="407"/>
      <c r="K265" s="394">
        <v>0</v>
      </c>
      <c r="L265" s="394">
        <v>0</v>
      </c>
      <c r="M265" s="407"/>
      <c r="N265" s="394">
        <v>0</v>
      </c>
    </row>
    <row r="266" spans="1:14" ht="27" x14ac:dyDescent="0.3">
      <c r="A266" s="157"/>
      <c r="B266" s="157"/>
      <c r="C266" s="153" t="s">
        <v>361</v>
      </c>
      <c r="D266" s="153"/>
      <c r="E266" s="154" t="s">
        <v>754</v>
      </c>
      <c r="F266" s="155">
        <f t="shared" ref="F266:N267" si="38">F267</f>
        <v>0</v>
      </c>
      <c r="G266" s="411"/>
      <c r="H266" s="155">
        <f t="shared" si="38"/>
        <v>0</v>
      </c>
      <c r="I266" s="155">
        <f t="shared" si="38"/>
        <v>0</v>
      </c>
      <c r="J266" s="411"/>
      <c r="K266" s="155">
        <f t="shared" si="38"/>
        <v>0</v>
      </c>
      <c r="L266" s="155">
        <f t="shared" si="38"/>
        <v>0</v>
      </c>
      <c r="M266" s="411"/>
      <c r="N266" s="155">
        <f t="shared" si="38"/>
        <v>0</v>
      </c>
    </row>
    <row r="267" spans="1:14" x14ac:dyDescent="0.3">
      <c r="A267" s="8"/>
      <c r="B267" s="8"/>
      <c r="C267" s="7" t="s">
        <v>360</v>
      </c>
      <c r="D267" s="7"/>
      <c r="E267" s="78" t="s">
        <v>359</v>
      </c>
      <c r="F267" s="9">
        <f t="shared" si="38"/>
        <v>0</v>
      </c>
      <c r="G267" s="412"/>
      <c r="H267" s="9">
        <f t="shared" si="38"/>
        <v>0</v>
      </c>
      <c r="I267" s="9">
        <f t="shared" si="38"/>
        <v>0</v>
      </c>
      <c r="J267" s="412"/>
      <c r="K267" s="9">
        <f t="shared" si="38"/>
        <v>0</v>
      </c>
      <c r="L267" s="9">
        <f t="shared" si="38"/>
        <v>0</v>
      </c>
      <c r="M267" s="412"/>
      <c r="N267" s="9">
        <f t="shared" si="38"/>
        <v>0</v>
      </c>
    </row>
    <row r="268" spans="1:14" ht="27" x14ac:dyDescent="0.3">
      <c r="A268" s="8"/>
      <c r="B268" s="8"/>
      <c r="C268" s="7"/>
      <c r="D268" s="7" t="s">
        <v>248</v>
      </c>
      <c r="E268" s="6" t="s">
        <v>247</v>
      </c>
      <c r="F268" s="5">
        <v>0</v>
      </c>
      <c r="G268" s="425"/>
      <c r="H268" s="5">
        <v>0</v>
      </c>
      <c r="I268" s="5">
        <v>0</v>
      </c>
      <c r="J268" s="425"/>
      <c r="K268" s="5">
        <v>0</v>
      </c>
      <c r="L268" s="5">
        <v>0</v>
      </c>
      <c r="M268" s="425"/>
      <c r="N268" s="5">
        <v>0</v>
      </c>
    </row>
    <row r="269" spans="1:14" ht="26.4" x14ac:dyDescent="0.3">
      <c r="A269" s="33"/>
      <c r="B269" s="33"/>
      <c r="C269" s="34" t="s">
        <v>358</v>
      </c>
      <c r="D269" s="33"/>
      <c r="E269" s="32" t="s">
        <v>357</v>
      </c>
      <c r="F269" s="31">
        <f>F270+F277</f>
        <v>189.5</v>
      </c>
      <c r="G269" s="423"/>
      <c r="H269" s="31">
        <f>H270+H277</f>
        <v>189.5</v>
      </c>
      <c r="I269" s="31">
        <f>I270+I277</f>
        <v>0</v>
      </c>
      <c r="J269" s="423"/>
      <c r="K269" s="31">
        <f>K270+K277</f>
        <v>0</v>
      </c>
      <c r="L269" s="31">
        <f>L270+L277</f>
        <v>173.5</v>
      </c>
      <c r="M269" s="423"/>
      <c r="N269" s="31">
        <f>N270+N277</f>
        <v>173.5</v>
      </c>
    </row>
    <row r="270" spans="1:14" ht="27" x14ac:dyDescent="0.3">
      <c r="A270" s="30"/>
      <c r="B270" s="30"/>
      <c r="C270" s="30" t="s">
        <v>356</v>
      </c>
      <c r="D270" s="30"/>
      <c r="E270" s="79" t="s">
        <v>355</v>
      </c>
      <c r="F270" s="28">
        <f>F271+F274</f>
        <v>173.5</v>
      </c>
      <c r="G270" s="410"/>
      <c r="H270" s="28">
        <f>H271+H274</f>
        <v>173.5</v>
      </c>
      <c r="I270" s="28">
        <f>I271+I274</f>
        <v>0</v>
      </c>
      <c r="J270" s="410"/>
      <c r="K270" s="28">
        <f>K271+K274</f>
        <v>0</v>
      </c>
      <c r="L270" s="28">
        <f>L271+L274</f>
        <v>173.5</v>
      </c>
      <c r="M270" s="410"/>
      <c r="N270" s="28">
        <f>N271+N274</f>
        <v>173.5</v>
      </c>
    </row>
    <row r="271" spans="1:14" ht="27" x14ac:dyDescent="0.3">
      <c r="A271" s="153"/>
      <c r="B271" s="153"/>
      <c r="C271" s="153" t="s">
        <v>354</v>
      </c>
      <c r="D271" s="160"/>
      <c r="E271" s="164" t="s">
        <v>353</v>
      </c>
      <c r="F271" s="155">
        <f>F272</f>
        <v>48.5</v>
      </c>
      <c r="G271" s="411"/>
      <c r="H271" s="155">
        <f>H272</f>
        <v>48.5</v>
      </c>
      <c r="I271" s="155">
        <f t="shared" ref="I271:N271" si="39">I272</f>
        <v>0</v>
      </c>
      <c r="J271" s="411"/>
      <c r="K271" s="155">
        <f t="shared" si="39"/>
        <v>0</v>
      </c>
      <c r="L271" s="155">
        <f t="shared" si="39"/>
        <v>48.5</v>
      </c>
      <c r="M271" s="411"/>
      <c r="N271" s="155">
        <f t="shared" si="39"/>
        <v>48.5</v>
      </c>
    </row>
    <row r="272" spans="1:14" x14ac:dyDescent="0.3">
      <c r="A272" s="60"/>
      <c r="B272" s="60"/>
      <c r="C272" s="7" t="s">
        <v>352</v>
      </c>
      <c r="D272" s="7"/>
      <c r="E272" s="97" t="s">
        <v>351</v>
      </c>
      <c r="F272" s="9">
        <f>F273</f>
        <v>48.5</v>
      </c>
      <c r="G272" s="412"/>
      <c r="H272" s="9">
        <f>H273</f>
        <v>48.5</v>
      </c>
      <c r="I272" s="9">
        <f>I273</f>
        <v>0</v>
      </c>
      <c r="J272" s="412"/>
      <c r="K272" s="9">
        <f>K273</f>
        <v>0</v>
      </c>
      <c r="L272" s="9">
        <f>L273</f>
        <v>48.5</v>
      </c>
      <c r="M272" s="412"/>
      <c r="N272" s="9">
        <f>N273</f>
        <v>48.5</v>
      </c>
    </row>
    <row r="273" spans="1:14" x14ac:dyDescent="0.3">
      <c r="A273" s="60"/>
      <c r="B273" s="60"/>
      <c r="C273" s="7"/>
      <c r="D273" s="7" t="s">
        <v>12</v>
      </c>
      <c r="E273" s="6" t="s">
        <v>11</v>
      </c>
      <c r="F273" s="175">
        <v>48.5</v>
      </c>
      <c r="G273" s="407"/>
      <c r="H273" s="175">
        <v>48.5</v>
      </c>
      <c r="I273" s="175">
        <v>0</v>
      </c>
      <c r="J273" s="407"/>
      <c r="K273" s="175">
        <v>0</v>
      </c>
      <c r="L273" s="175">
        <v>48.5</v>
      </c>
      <c r="M273" s="407"/>
      <c r="N273" s="175">
        <v>48.5</v>
      </c>
    </row>
    <row r="274" spans="1:14" ht="27" x14ac:dyDescent="0.3">
      <c r="A274" s="153"/>
      <c r="B274" s="153"/>
      <c r="C274" s="153" t="s">
        <v>540</v>
      </c>
      <c r="D274" s="153"/>
      <c r="E274" s="154" t="s">
        <v>541</v>
      </c>
      <c r="F274" s="155">
        <f>F275</f>
        <v>125</v>
      </c>
      <c r="G274" s="411"/>
      <c r="H274" s="155">
        <f>H275</f>
        <v>125</v>
      </c>
      <c r="I274" s="155">
        <f t="shared" ref="I274:N275" si="40">I275</f>
        <v>0</v>
      </c>
      <c r="J274" s="411"/>
      <c r="K274" s="155">
        <f t="shared" si="40"/>
        <v>0</v>
      </c>
      <c r="L274" s="155">
        <f t="shared" si="40"/>
        <v>125</v>
      </c>
      <c r="M274" s="411"/>
      <c r="N274" s="155">
        <f t="shared" si="40"/>
        <v>125</v>
      </c>
    </row>
    <row r="275" spans="1:14" ht="27" x14ac:dyDescent="0.3">
      <c r="A275" s="60"/>
      <c r="B275" s="60"/>
      <c r="C275" s="7" t="s">
        <v>606</v>
      </c>
      <c r="D275" s="7"/>
      <c r="E275" s="6" t="s">
        <v>542</v>
      </c>
      <c r="F275" s="9">
        <f>F276</f>
        <v>125</v>
      </c>
      <c r="G275" s="412"/>
      <c r="H275" s="9">
        <f>H276</f>
        <v>125</v>
      </c>
      <c r="I275" s="9">
        <f t="shared" si="40"/>
        <v>0</v>
      </c>
      <c r="J275" s="412"/>
      <c r="K275" s="9">
        <f t="shared" si="40"/>
        <v>0</v>
      </c>
      <c r="L275" s="9">
        <f t="shared" si="40"/>
        <v>125</v>
      </c>
      <c r="M275" s="412"/>
      <c r="N275" s="9">
        <f t="shared" si="40"/>
        <v>125</v>
      </c>
    </row>
    <row r="276" spans="1:14" x14ac:dyDescent="0.3">
      <c r="A276" s="60"/>
      <c r="B276" s="60"/>
      <c r="C276" s="7"/>
      <c r="D276" s="7" t="s">
        <v>12</v>
      </c>
      <c r="E276" s="6" t="s">
        <v>11</v>
      </c>
      <c r="F276" s="175">
        <v>125</v>
      </c>
      <c r="G276" s="407"/>
      <c r="H276" s="175">
        <v>125</v>
      </c>
      <c r="I276" s="175">
        <v>0</v>
      </c>
      <c r="J276" s="407"/>
      <c r="K276" s="175">
        <v>0</v>
      </c>
      <c r="L276" s="175">
        <v>125</v>
      </c>
      <c r="M276" s="407"/>
      <c r="N276" s="175">
        <v>125</v>
      </c>
    </row>
    <row r="277" spans="1:14" x14ac:dyDescent="0.3">
      <c r="A277" s="30"/>
      <c r="B277" s="30"/>
      <c r="C277" s="30" t="s">
        <v>679</v>
      </c>
      <c r="D277" s="30"/>
      <c r="E277" s="79" t="s">
        <v>762</v>
      </c>
      <c r="F277" s="249">
        <f t="shared" ref="F277:N279" si="41">F278</f>
        <v>16</v>
      </c>
      <c r="G277" s="405"/>
      <c r="H277" s="249">
        <f t="shared" si="41"/>
        <v>16</v>
      </c>
      <c r="I277" s="249">
        <f t="shared" si="41"/>
        <v>0</v>
      </c>
      <c r="J277" s="405"/>
      <c r="K277" s="249">
        <f t="shared" si="41"/>
        <v>0</v>
      </c>
      <c r="L277" s="249">
        <f t="shared" si="41"/>
        <v>0</v>
      </c>
      <c r="M277" s="405"/>
      <c r="N277" s="249">
        <f t="shared" si="41"/>
        <v>0</v>
      </c>
    </row>
    <row r="278" spans="1:14" x14ac:dyDescent="0.3">
      <c r="A278" s="153"/>
      <c r="B278" s="153"/>
      <c r="C278" s="153" t="s">
        <v>680</v>
      </c>
      <c r="D278" s="153"/>
      <c r="E278" s="164" t="s">
        <v>682</v>
      </c>
      <c r="F278" s="165">
        <f t="shared" si="41"/>
        <v>16</v>
      </c>
      <c r="G278" s="406"/>
      <c r="H278" s="165">
        <f t="shared" si="41"/>
        <v>16</v>
      </c>
      <c r="I278" s="165">
        <f t="shared" si="41"/>
        <v>0</v>
      </c>
      <c r="J278" s="406"/>
      <c r="K278" s="165">
        <f t="shared" si="41"/>
        <v>0</v>
      </c>
      <c r="L278" s="165">
        <f t="shared" si="41"/>
        <v>0</v>
      </c>
      <c r="M278" s="406"/>
      <c r="N278" s="165">
        <f t="shared" si="41"/>
        <v>0</v>
      </c>
    </row>
    <row r="279" spans="1:14" x14ac:dyDescent="0.3">
      <c r="A279" s="232"/>
      <c r="B279" s="232"/>
      <c r="C279" s="7" t="s">
        <v>701</v>
      </c>
      <c r="D279" s="7"/>
      <c r="E279" s="97" t="s">
        <v>681</v>
      </c>
      <c r="F279" s="175">
        <f t="shared" si="41"/>
        <v>16</v>
      </c>
      <c r="G279" s="407"/>
      <c r="H279" s="175">
        <f t="shared" si="41"/>
        <v>16</v>
      </c>
      <c r="I279" s="175">
        <f t="shared" si="41"/>
        <v>0</v>
      </c>
      <c r="J279" s="407"/>
      <c r="K279" s="175">
        <f t="shared" si="41"/>
        <v>0</v>
      </c>
      <c r="L279" s="175">
        <f t="shared" si="41"/>
        <v>0</v>
      </c>
      <c r="M279" s="407"/>
      <c r="N279" s="175">
        <f t="shared" si="41"/>
        <v>0</v>
      </c>
    </row>
    <row r="280" spans="1:14" x14ac:dyDescent="0.3">
      <c r="A280" s="232"/>
      <c r="B280" s="232"/>
      <c r="C280" s="7"/>
      <c r="D280" s="7" t="s">
        <v>12</v>
      </c>
      <c r="E280" s="6" t="s">
        <v>11</v>
      </c>
      <c r="F280" s="175">
        <v>16</v>
      </c>
      <c r="G280" s="407"/>
      <c r="H280" s="175">
        <v>16</v>
      </c>
      <c r="I280" s="175">
        <v>0</v>
      </c>
      <c r="J280" s="407"/>
      <c r="K280" s="175">
        <v>0</v>
      </c>
      <c r="L280" s="175">
        <v>0</v>
      </c>
      <c r="M280" s="407"/>
      <c r="N280" s="175">
        <v>0</v>
      </c>
    </row>
    <row r="281" spans="1:14" ht="27" x14ac:dyDescent="0.3">
      <c r="A281" s="33"/>
      <c r="B281" s="33"/>
      <c r="C281" s="34" t="s">
        <v>350</v>
      </c>
      <c r="D281" s="33"/>
      <c r="E281" s="173" t="s">
        <v>572</v>
      </c>
      <c r="F281" s="31">
        <f>F282</f>
        <v>5686.8993999999993</v>
      </c>
      <c r="G281" s="423"/>
      <c r="H281" s="31">
        <f>H282</f>
        <v>5686.8993999999993</v>
      </c>
      <c r="I281" s="31">
        <f t="shared" ref="I281:N281" si="42">I282</f>
        <v>885.7</v>
      </c>
      <c r="J281" s="423"/>
      <c r="K281" s="31">
        <f t="shared" si="42"/>
        <v>885.7</v>
      </c>
      <c r="L281" s="31">
        <f t="shared" si="42"/>
        <v>667.9</v>
      </c>
      <c r="M281" s="423"/>
      <c r="N281" s="31">
        <f t="shared" si="42"/>
        <v>667.9</v>
      </c>
    </row>
    <row r="282" spans="1:14" x14ac:dyDescent="0.3">
      <c r="A282" s="153"/>
      <c r="B282" s="153"/>
      <c r="C282" s="153" t="s">
        <v>349</v>
      </c>
      <c r="D282" s="160"/>
      <c r="E282" s="154" t="s">
        <v>348</v>
      </c>
      <c r="F282" s="155">
        <f>F283+F285</f>
        <v>5686.8993999999993</v>
      </c>
      <c r="G282" s="411"/>
      <c r="H282" s="155">
        <f>H283+H285</f>
        <v>5686.8993999999993</v>
      </c>
      <c r="I282" s="155">
        <f>I283+I285</f>
        <v>885.7</v>
      </c>
      <c r="J282" s="411"/>
      <c r="K282" s="155">
        <f>K283+K285</f>
        <v>885.7</v>
      </c>
      <c r="L282" s="155">
        <f>L283+L285</f>
        <v>667.9</v>
      </c>
      <c r="M282" s="411"/>
      <c r="N282" s="155">
        <f>N283+N285</f>
        <v>667.9</v>
      </c>
    </row>
    <row r="283" spans="1:14" x14ac:dyDescent="0.3">
      <c r="A283" s="7"/>
      <c r="B283" s="7"/>
      <c r="C283" s="7" t="s">
        <v>347</v>
      </c>
      <c r="D283" s="7"/>
      <c r="E283" s="6" t="s">
        <v>346</v>
      </c>
      <c r="F283" s="9">
        <f>F284</f>
        <v>550.9</v>
      </c>
      <c r="G283" s="412"/>
      <c r="H283" s="9">
        <f>H284</f>
        <v>550.9</v>
      </c>
      <c r="I283" s="9">
        <f>I284</f>
        <v>0</v>
      </c>
      <c r="J283" s="412"/>
      <c r="K283" s="9">
        <f>K284</f>
        <v>0</v>
      </c>
      <c r="L283" s="9">
        <f>L284</f>
        <v>261</v>
      </c>
      <c r="M283" s="412"/>
      <c r="N283" s="9">
        <f>N284</f>
        <v>261</v>
      </c>
    </row>
    <row r="284" spans="1:14" x14ac:dyDescent="0.3">
      <c r="A284" s="7"/>
      <c r="B284" s="7"/>
      <c r="C284" s="7"/>
      <c r="D284" s="7" t="s">
        <v>12</v>
      </c>
      <c r="E284" s="6" t="s">
        <v>11</v>
      </c>
      <c r="F284" s="175">
        <v>550.9</v>
      </c>
      <c r="G284" s="407"/>
      <c r="H284" s="175">
        <v>550.9</v>
      </c>
      <c r="I284" s="175">
        <v>0</v>
      </c>
      <c r="J284" s="407"/>
      <c r="K284" s="175">
        <v>0</v>
      </c>
      <c r="L284" s="175">
        <v>261</v>
      </c>
      <c r="M284" s="407"/>
      <c r="N284" s="175">
        <v>261</v>
      </c>
    </row>
    <row r="285" spans="1:14" ht="18.75" customHeight="1" x14ac:dyDescent="0.3">
      <c r="A285" s="7"/>
      <c r="B285" s="7"/>
      <c r="C285" s="7" t="s">
        <v>345</v>
      </c>
      <c r="D285" s="7"/>
      <c r="E285" s="10" t="s">
        <v>344</v>
      </c>
      <c r="F285" s="175">
        <f t="shared" ref="F285:N285" si="43">F286</f>
        <v>5135.9993999999997</v>
      </c>
      <c r="G285" s="407"/>
      <c r="H285" s="175">
        <f t="shared" si="43"/>
        <v>5135.9993999999997</v>
      </c>
      <c r="I285" s="175">
        <f t="shared" si="43"/>
        <v>885.7</v>
      </c>
      <c r="J285" s="407"/>
      <c r="K285" s="175">
        <f t="shared" si="43"/>
        <v>885.7</v>
      </c>
      <c r="L285" s="175">
        <f t="shared" si="43"/>
        <v>406.9</v>
      </c>
      <c r="M285" s="407"/>
      <c r="N285" s="175">
        <f t="shared" si="43"/>
        <v>406.9</v>
      </c>
    </row>
    <row r="286" spans="1:14" x14ac:dyDescent="0.3">
      <c r="A286" s="7"/>
      <c r="B286" s="7"/>
      <c r="C286" s="7"/>
      <c r="D286" s="7" t="s">
        <v>12</v>
      </c>
      <c r="E286" s="6" t="s">
        <v>11</v>
      </c>
      <c r="F286" s="175">
        <f>F287+F288</f>
        <v>5135.9993999999997</v>
      </c>
      <c r="G286" s="407"/>
      <c r="H286" s="175">
        <f>H287+H288</f>
        <v>5135.9993999999997</v>
      </c>
      <c r="I286" s="175">
        <f>I287+I288</f>
        <v>885.7</v>
      </c>
      <c r="J286" s="407"/>
      <c r="K286" s="175">
        <f>K287+K288</f>
        <v>885.7</v>
      </c>
      <c r="L286" s="175">
        <f>L287+L288</f>
        <v>406.9</v>
      </c>
      <c r="M286" s="407"/>
      <c r="N286" s="175">
        <f>N287+N288</f>
        <v>406.9</v>
      </c>
    </row>
    <row r="287" spans="1:14" x14ac:dyDescent="0.3">
      <c r="A287" s="7"/>
      <c r="B287" s="7"/>
      <c r="C287" s="7"/>
      <c r="D287" s="7"/>
      <c r="E287" s="99" t="s">
        <v>301</v>
      </c>
      <c r="F287" s="175">
        <v>4365.5994899999996</v>
      </c>
      <c r="G287" s="407"/>
      <c r="H287" s="175">
        <v>4365.5994899999996</v>
      </c>
      <c r="I287" s="175">
        <v>0</v>
      </c>
      <c r="J287" s="407"/>
      <c r="K287" s="175">
        <v>0</v>
      </c>
      <c r="L287" s="175">
        <v>0</v>
      </c>
      <c r="M287" s="407"/>
      <c r="N287" s="175">
        <v>0</v>
      </c>
    </row>
    <row r="288" spans="1:14" x14ac:dyDescent="0.3">
      <c r="A288" s="7"/>
      <c r="B288" s="7"/>
      <c r="C288" s="7"/>
      <c r="D288" s="7"/>
      <c r="E288" s="6" t="s">
        <v>330</v>
      </c>
      <c r="F288" s="175">
        <v>770.39990999999998</v>
      </c>
      <c r="G288" s="407"/>
      <c r="H288" s="175">
        <v>770.39990999999998</v>
      </c>
      <c r="I288" s="175">
        <v>885.7</v>
      </c>
      <c r="J288" s="407"/>
      <c r="K288" s="175">
        <v>885.7</v>
      </c>
      <c r="L288" s="175">
        <v>406.9</v>
      </c>
      <c r="M288" s="407"/>
      <c r="N288" s="175">
        <v>406.9</v>
      </c>
    </row>
    <row r="289" spans="1:14" x14ac:dyDescent="0.3">
      <c r="A289" s="25"/>
      <c r="B289" s="25"/>
      <c r="C289" s="17" t="s">
        <v>52</v>
      </c>
      <c r="D289" s="101"/>
      <c r="E289" s="16" t="s">
        <v>51</v>
      </c>
      <c r="F289" s="15">
        <f t="shared" ref="F289:N290" si="44">F290</f>
        <v>3554.2999999999997</v>
      </c>
      <c r="G289" s="432"/>
      <c r="H289" s="15">
        <f t="shared" si="44"/>
        <v>3554.2999999999997</v>
      </c>
      <c r="I289" s="15">
        <f t="shared" si="44"/>
        <v>3825.6</v>
      </c>
      <c r="J289" s="432"/>
      <c r="K289" s="15">
        <f t="shared" si="44"/>
        <v>3825.6</v>
      </c>
      <c r="L289" s="15">
        <f t="shared" si="44"/>
        <v>3825.6</v>
      </c>
      <c r="M289" s="432"/>
      <c r="N289" s="15">
        <f t="shared" si="44"/>
        <v>3825.6</v>
      </c>
    </row>
    <row r="290" spans="1:14" s="74" customFormat="1" ht="26.4" x14ac:dyDescent="0.3">
      <c r="A290" s="100"/>
      <c r="B290" s="100"/>
      <c r="C290" s="44" t="s">
        <v>16</v>
      </c>
      <c r="D290" s="43"/>
      <c r="E290" s="85" t="s">
        <v>15</v>
      </c>
      <c r="F290" s="12">
        <f t="shared" si="44"/>
        <v>3554.2999999999997</v>
      </c>
      <c r="G290" s="428"/>
      <c r="H290" s="12">
        <f t="shared" si="44"/>
        <v>3554.2999999999997</v>
      </c>
      <c r="I290" s="12">
        <f t="shared" si="44"/>
        <v>3825.6</v>
      </c>
      <c r="J290" s="428"/>
      <c r="K290" s="12">
        <f t="shared" si="44"/>
        <v>3825.6</v>
      </c>
      <c r="L290" s="12">
        <f t="shared" si="44"/>
        <v>3825.6</v>
      </c>
      <c r="M290" s="428"/>
      <c r="N290" s="12">
        <f t="shared" si="44"/>
        <v>3825.6</v>
      </c>
    </row>
    <row r="291" spans="1:14" ht="27" x14ac:dyDescent="0.3">
      <c r="A291" s="8"/>
      <c r="B291" s="8"/>
      <c r="C291" s="7" t="s">
        <v>343</v>
      </c>
      <c r="D291" s="7"/>
      <c r="E291" s="6" t="s">
        <v>342</v>
      </c>
      <c r="F291" s="9">
        <f t="shared" ref="F291:L291" si="45">F292+F293+F294</f>
        <v>3554.2999999999997</v>
      </c>
      <c r="G291" s="412"/>
      <c r="H291" s="9">
        <f>H292+H293+H294</f>
        <v>3554.2999999999997</v>
      </c>
      <c r="I291" s="9">
        <f t="shared" si="45"/>
        <v>3825.6</v>
      </c>
      <c r="J291" s="412"/>
      <c r="K291" s="9">
        <f>K292+K293+K294</f>
        <v>3825.6</v>
      </c>
      <c r="L291" s="9">
        <f t="shared" si="45"/>
        <v>3825.6</v>
      </c>
      <c r="M291" s="412"/>
      <c r="N291" s="9">
        <f>N292+N293+N294</f>
        <v>3825.6</v>
      </c>
    </row>
    <row r="292" spans="1:14" ht="40.200000000000003" x14ac:dyDescent="0.3">
      <c r="A292" s="8"/>
      <c r="B292" s="8"/>
      <c r="C292" s="60"/>
      <c r="D292" s="7" t="s">
        <v>2</v>
      </c>
      <c r="E292" s="6" t="s">
        <v>1</v>
      </c>
      <c r="F292" s="175">
        <v>3431.5</v>
      </c>
      <c r="G292" s="407"/>
      <c r="H292" s="175">
        <v>3431.5</v>
      </c>
      <c r="I292" s="175">
        <v>3702.8</v>
      </c>
      <c r="J292" s="407"/>
      <c r="K292" s="175">
        <v>3702.8</v>
      </c>
      <c r="L292" s="175">
        <v>3702.8</v>
      </c>
      <c r="M292" s="407"/>
      <c r="N292" s="175">
        <v>3702.8</v>
      </c>
    </row>
    <row r="293" spans="1:14" x14ac:dyDescent="0.3">
      <c r="A293" s="8"/>
      <c r="B293" s="8"/>
      <c r="C293" s="60"/>
      <c r="D293" s="7" t="s">
        <v>12</v>
      </c>
      <c r="E293" s="6" t="s">
        <v>11</v>
      </c>
      <c r="F293" s="175">
        <v>120.6</v>
      </c>
      <c r="G293" s="407"/>
      <c r="H293" s="175">
        <v>120.6</v>
      </c>
      <c r="I293" s="175">
        <v>120.6</v>
      </c>
      <c r="J293" s="407"/>
      <c r="K293" s="175">
        <v>120.6</v>
      </c>
      <c r="L293" s="175">
        <v>120.6</v>
      </c>
      <c r="M293" s="407"/>
      <c r="N293" s="175">
        <v>120.6</v>
      </c>
    </row>
    <row r="294" spans="1:14" x14ac:dyDescent="0.3">
      <c r="A294" s="8"/>
      <c r="B294" s="8"/>
      <c r="C294" s="60"/>
      <c r="D294" s="54" t="s">
        <v>22</v>
      </c>
      <c r="E294" s="55" t="s">
        <v>21</v>
      </c>
      <c r="F294" s="175">
        <v>2.2000000000000002</v>
      </c>
      <c r="G294" s="407"/>
      <c r="H294" s="175">
        <v>2.2000000000000002</v>
      </c>
      <c r="I294" s="175">
        <v>2.2000000000000002</v>
      </c>
      <c r="J294" s="407"/>
      <c r="K294" s="175">
        <v>2.2000000000000002</v>
      </c>
      <c r="L294" s="175">
        <v>2.2000000000000002</v>
      </c>
      <c r="M294" s="407"/>
      <c r="N294" s="175">
        <v>2.2000000000000002</v>
      </c>
    </row>
    <row r="295" spans="1:14" x14ac:dyDescent="0.3">
      <c r="A295" s="20"/>
      <c r="B295" s="22" t="s">
        <v>341</v>
      </c>
      <c r="C295" s="21"/>
      <c r="D295" s="20"/>
      <c r="E295" s="19" t="s">
        <v>340</v>
      </c>
      <c r="F295" s="26">
        <f t="shared" ref="F295:L295" si="46">F296+F321+F367</f>
        <v>92252.568010000003</v>
      </c>
      <c r="G295" s="26">
        <f t="shared" si="46"/>
        <v>938.5</v>
      </c>
      <c r="H295" s="26">
        <f>H296+H321+H367</f>
        <v>93191.068010000003</v>
      </c>
      <c r="I295" s="26">
        <f t="shared" si="46"/>
        <v>37987.035029999999</v>
      </c>
      <c r="J295" s="26"/>
      <c r="K295" s="26">
        <f>K296+K321+K367</f>
        <v>37987.035029999999</v>
      </c>
      <c r="L295" s="26">
        <f t="shared" si="46"/>
        <v>63207.615680000003</v>
      </c>
      <c r="M295" s="424"/>
      <c r="N295" s="26">
        <f>N296+N321+N367</f>
        <v>63207.615680000003</v>
      </c>
    </row>
    <row r="296" spans="1:14" x14ac:dyDescent="0.3">
      <c r="A296" s="20"/>
      <c r="B296" s="22" t="s">
        <v>339</v>
      </c>
      <c r="C296" s="21"/>
      <c r="D296" s="20"/>
      <c r="E296" s="19" t="s">
        <v>338</v>
      </c>
      <c r="F296" s="26">
        <f>F297+F317</f>
        <v>3483.7</v>
      </c>
      <c r="G296" s="424"/>
      <c r="H296" s="26">
        <f>H297+H317</f>
        <v>3483.7</v>
      </c>
      <c r="I296" s="26">
        <f t="shared" ref="I296:N296" si="47">I297</f>
        <v>229.12685999999999</v>
      </c>
      <c r="J296" s="424"/>
      <c r="K296" s="26">
        <f t="shared" si="47"/>
        <v>229.12685999999999</v>
      </c>
      <c r="L296" s="26">
        <f t="shared" si="47"/>
        <v>2705.9</v>
      </c>
      <c r="M296" s="424"/>
      <c r="N296" s="26">
        <f t="shared" si="47"/>
        <v>2705.9</v>
      </c>
    </row>
    <row r="297" spans="1:14" x14ac:dyDescent="0.3">
      <c r="A297" s="20"/>
      <c r="B297" s="22"/>
      <c r="C297" s="21" t="s">
        <v>36</v>
      </c>
      <c r="D297" s="20"/>
      <c r="E297" s="27" t="s">
        <v>35</v>
      </c>
      <c r="F297" s="26">
        <f>F298+F312</f>
        <v>3274.5</v>
      </c>
      <c r="G297" s="424"/>
      <c r="H297" s="26">
        <f>H298+H312</f>
        <v>3274.5</v>
      </c>
      <c r="I297" s="26">
        <f>I298+I312</f>
        <v>229.12685999999999</v>
      </c>
      <c r="J297" s="424"/>
      <c r="K297" s="26">
        <f>K298+K312</f>
        <v>229.12685999999999</v>
      </c>
      <c r="L297" s="26">
        <f>L298+L312</f>
        <v>2705.9</v>
      </c>
      <c r="M297" s="424"/>
      <c r="N297" s="26">
        <f>N298+N312</f>
        <v>2705.9</v>
      </c>
    </row>
    <row r="298" spans="1:14" ht="26.4" x14ac:dyDescent="0.3">
      <c r="A298" s="53"/>
      <c r="B298" s="33"/>
      <c r="C298" s="34" t="s">
        <v>261</v>
      </c>
      <c r="D298" s="33"/>
      <c r="E298" s="32" t="s">
        <v>260</v>
      </c>
      <c r="F298" s="31">
        <f>F299</f>
        <v>3274.5</v>
      </c>
      <c r="G298" s="423"/>
      <c r="H298" s="31">
        <f>H299</f>
        <v>3274.5</v>
      </c>
      <c r="I298" s="31">
        <f>I299</f>
        <v>229.12685999999999</v>
      </c>
      <c r="J298" s="423"/>
      <c r="K298" s="31">
        <f>K299</f>
        <v>229.12685999999999</v>
      </c>
      <c r="L298" s="31">
        <f>L299</f>
        <v>2705.9</v>
      </c>
      <c r="M298" s="423"/>
      <c r="N298" s="31">
        <f>N299</f>
        <v>2705.9</v>
      </c>
    </row>
    <row r="299" spans="1:14" ht="27" x14ac:dyDescent="0.3">
      <c r="A299" s="153"/>
      <c r="B299" s="153"/>
      <c r="C299" s="153" t="s">
        <v>259</v>
      </c>
      <c r="D299" s="153"/>
      <c r="E299" s="154" t="s">
        <v>258</v>
      </c>
      <c r="F299" s="155">
        <f>F300+F304+F308+F302+F306</f>
        <v>3274.5</v>
      </c>
      <c r="G299" s="411"/>
      <c r="H299" s="155">
        <f>H300+H304+H308+H302+H306</f>
        <v>3274.5</v>
      </c>
      <c r="I299" s="155">
        <f>I300+I304+I308+I302+I306</f>
        <v>229.12685999999999</v>
      </c>
      <c r="J299" s="411"/>
      <c r="K299" s="155">
        <f>K300+K304+K308+K302+K306</f>
        <v>229.12685999999999</v>
      </c>
      <c r="L299" s="155">
        <f>L300+L304+L308+L302+L306</f>
        <v>2705.9</v>
      </c>
      <c r="M299" s="411"/>
      <c r="N299" s="155">
        <f>N300+N304+N308+N302+N306</f>
        <v>2705.9</v>
      </c>
    </row>
    <row r="300" spans="1:14" ht="40.200000000000003" x14ac:dyDescent="0.3">
      <c r="A300" s="8"/>
      <c r="B300" s="8"/>
      <c r="C300" s="7" t="s">
        <v>337</v>
      </c>
      <c r="D300" s="7"/>
      <c r="E300" s="78" t="s">
        <v>336</v>
      </c>
      <c r="F300" s="9">
        <f>F301</f>
        <v>208.2</v>
      </c>
      <c r="G300" s="412"/>
      <c r="H300" s="9">
        <f>H301</f>
        <v>208.2</v>
      </c>
      <c r="I300" s="9">
        <f>I301</f>
        <v>157.6</v>
      </c>
      <c r="J300" s="412"/>
      <c r="K300" s="9">
        <f>K301</f>
        <v>157.6</v>
      </c>
      <c r="L300" s="9">
        <f>L301</f>
        <v>157.6</v>
      </c>
      <c r="M300" s="412"/>
      <c r="N300" s="9">
        <f>N301</f>
        <v>157.6</v>
      </c>
    </row>
    <row r="301" spans="1:14" x14ac:dyDescent="0.3">
      <c r="A301" s="8"/>
      <c r="B301" s="8"/>
      <c r="C301" s="7"/>
      <c r="D301" s="7" t="s">
        <v>12</v>
      </c>
      <c r="E301" s="6" t="s">
        <v>11</v>
      </c>
      <c r="F301" s="175">
        <v>208.2</v>
      </c>
      <c r="G301" s="407"/>
      <c r="H301" s="175">
        <v>208.2</v>
      </c>
      <c r="I301" s="175">
        <v>157.6</v>
      </c>
      <c r="J301" s="407"/>
      <c r="K301" s="175">
        <v>157.6</v>
      </c>
      <c r="L301" s="175">
        <v>157.6</v>
      </c>
      <c r="M301" s="407"/>
      <c r="N301" s="175">
        <v>157.6</v>
      </c>
    </row>
    <row r="302" spans="1:14" ht="27" x14ac:dyDescent="0.3">
      <c r="A302" s="8"/>
      <c r="B302" s="8"/>
      <c r="C302" s="7" t="s">
        <v>257</v>
      </c>
      <c r="D302" s="7"/>
      <c r="E302" s="78" t="s">
        <v>256</v>
      </c>
      <c r="F302" s="9">
        <f>F303</f>
        <v>2505.8000000000002</v>
      </c>
      <c r="G302" s="412"/>
      <c r="H302" s="9">
        <f>H303</f>
        <v>2505.8000000000002</v>
      </c>
      <c r="I302" s="9">
        <f>I303</f>
        <v>0</v>
      </c>
      <c r="J302" s="412"/>
      <c r="K302" s="9">
        <f>K303</f>
        <v>0</v>
      </c>
      <c r="L302" s="9">
        <f>L303</f>
        <v>2505.8000000000002</v>
      </c>
      <c r="M302" s="412"/>
      <c r="N302" s="9">
        <f>N303</f>
        <v>2505.8000000000002</v>
      </c>
    </row>
    <row r="303" spans="1:14" x14ac:dyDescent="0.3">
      <c r="A303" s="8"/>
      <c r="B303" s="8"/>
      <c r="C303" s="7"/>
      <c r="D303" s="7" t="s">
        <v>12</v>
      </c>
      <c r="E303" s="6" t="s">
        <v>11</v>
      </c>
      <c r="F303" s="175">
        <v>2505.8000000000002</v>
      </c>
      <c r="G303" s="407"/>
      <c r="H303" s="175">
        <v>2505.8000000000002</v>
      </c>
      <c r="I303" s="175">
        <v>0</v>
      </c>
      <c r="J303" s="407"/>
      <c r="K303" s="175">
        <v>0</v>
      </c>
      <c r="L303" s="175">
        <v>2505.8000000000002</v>
      </c>
      <c r="M303" s="407"/>
      <c r="N303" s="175">
        <v>2505.8000000000002</v>
      </c>
    </row>
    <row r="304" spans="1:14" ht="27" x14ac:dyDescent="0.3">
      <c r="A304" s="8"/>
      <c r="B304" s="8"/>
      <c r="C304" s="7" t="s">
        <v>335</v>
      </c>
      <c r="D304" s="7"/>
      <c r="E304" s="6" t="s">
        <v>334</v>
      </c>
      <c r="F304" s="9">
        <f>F305</f>
        <v>42.5</v>
      </c>
      <c r="G304" s="412"/>
      <c r="H304" s="9">
        <f>H305</f>
        <v>42.5</v>
      </c>
      <c r="I304" s="9">
        <f>I305</f>
        <v>42.5</v>
      </c>
      <c r="J304" s="412"/>
      <c r="K304" s="9">
        <f>K305</f>
        <v>42.5</v>
      </c>
      <c r="L304" s="9">
        <f>L305</f>
        <v>42.5</v>
      </c>
      <c r="M304" s="412"/>
      <c r="N304" s="9">
        <f>N305</f>
        <v>42.5</v>
      </c>
    </row>
    <row r="305" spans="1:14" x14ac:dyDescent="0.3">
      <c r="A305" s="8"/>
      <c r="B305" s="8"/>
      <c r="C305" s="7"/>
      <c r="D305" s="7" t="s">
        <v>12</v>
      </c>
      <c r="E305" s="6" t="s">
        <v>11</v>
      </c>
      <c r="F305" s="175">
        <v>42.5</v>
      </c>
      <c r="G305" s="407"/>
      <c r="H305" s="175">
        <v>42.5</v>
      </c>
      <c r="I305" s="175">
        <v>42.5</v>
      </c>
      <c r="J305" s="407"/>
      <c r="K305" s="175">
        <v>42.5</v>
      </c>
      <c r="L305" s="175">
        <v>42.5</v>
      </c>
      <c r="M305" s="407"/>
      <c r="N305" s="175">
        <v>42.5</v>
      </c>
    </row>
    <row r="306" spans="1:14" ht="27" x14ac:dyDescent="0.3">
      <c r="A306" s="8"/>
      <c r="B306" s="8"/>
      <c r="C306" s="7" t="s">
        <v>535</v>
      </c>
      <c r="D306" s="7"/>
      <c r="E306" s="6" t="s">
        <v>536</v>
      </c>
      <c r="F306" s="9">
        <f>F307</f>
        <v>518</v>
      </c>
      <c r="G306" s="412"/>
      <c r="H306" s="9">
        <f>H307</f>
        <v>518</v>
      </c>
      <c r="I306" s="9">
        <f>I307</f>
        <v>0</v>
      </c>
      <c r="J306" s="412"/>
      <c r="K306" s="9">
        <f>K307</f>
        <v>0</v>
      </c>
      <c r="L306" s="9">
        <f>L307</f>
        <v>0</v>
      </c>
      <c r="M306" s="412"/>
      <c r="N306" s="9">
        <f>N307</f>
        <v>0</v>
      </c>
    </row>
    <row r="307" spans="1:14" x14ac:dyDescent="0.3">
      <c r="A307" s="8"/>
      <c r="B307" s="8"/>
      <c r="C307" s="7"/>
      <c r="D307" s="7" t="s">
        <v>12</v>
      </c>
      <c r="E307" s="6" t="s">
        <v>11</v>
      </c>
      <c r="F307" s="175">
        <v>518</v>
      </c>
      <c r="G307" s="407"/>
      <c r="H307" s="175">
        <v>518</v>
      </c>
      <c r="I307" s="175">
        <v>0</v>
      </c>
      <c r="J307" s="407"/>
      <c r="K307" s="175">
        <v>0</v>
      </c>
      <c r="L307" s="175">
        <v>0</v>
      </c>
      <c r="M307" s="407"/>
      <c r="N307" s="175">
        <v>0</v>
      </c>
    </row>
    <row r="308" spans="1:14" ht="40.200000000000003" x14ac:dyDescent="0.3">
      <c r="A308" s="8"/>
      <c r="B308" s="8"/>
      <c r="C308" s="7" t="s">
        <v>333</v>
      </c>
      <c r="D308" s="7"/>
      <c r="E308" s="6" t="s">
        <v>601</v>
      </c>
      <c r="F308" s="9">
        <v>0</v>
      </c>
      <c r="G308" s="412"/>
      <c r="H308" s="9">
        <v>0</v>
      </c>
      <c r="I308" s="9">
        <f>I309</f>
        <v>29.026859999999999</v>
      </c>
      <c r="J308" s="412"/>
      <c r="K308" s="9">
        <f>K309</f>
        <v>29.026859999999999</v>
      </c>
      <c r="L308" s="9">
        <v>0</v>
      </c>
      <c r="M308" s="412"/>
      <c r="N308" s="9">
        <v>0</v>
      </c>
    </row>
    <row r="309" spans="1:14" x14ac:dyDescent="0.3">
      <c r="A309" s="8"/>
      <c r="B309" s="8"/>
      <c r="C309" s="7"/>
      <c r="D309" s="7" t="s">
        <v>12</v>
      </c>
      <c r="E309" s="6" t="s">
        <v>11</v>
      </c>
      <c r="F309" s="9">
        <v>0</v>
      </c>
      <c r="G309" s="412"/>
      <c r="H309" s="9">
        <v>0</v>
      </c>
      <c r="I309" s="9">
        <f>I311</f>
        <v>29.026859999999999</v>
      </c>
      <c r="J309" s="412"/>
      <c r="K309" s="9">
        <f>K311</f>
        <v>29.026859999999999</v>
      </c>
      <c r="L309" s="9">
        <v>0</v>
      </c>
      <c r="M309" s="412"/>
      <c r="N309" s="9">
        <v>0</v>
      </c>
    </row>
    <row r="310" spans="1:14" x14ac:dyDescent="0.3">
      <c r="A310" s="8"/>
      <c r="B310" s="8"/>
      <c r="C310" s="7"/>
      <c r="D310" s="7"/>
      <c r="E310" s="6" t="s">
        <v>331</v>
      </c>
      <c r="F310" s="9">
        <v>0</v>
      </c>
      <c r="G310" s="412"/>
      <c r="H310" s="9">
        <v>0</v>
      </c>
      <c r="I310" s="9">
        <v>0</v>
      </c>
      <c r="J310" s="412"/>
      <c r="K310" s="9">
        <v>0</v>
      </c>
      <c r="L310" s="9">
        <v>0</v>
      </c>
      <c r="M310" s="412"/>
      <c r="N310" s="9">
        <v>0</v>
      </c>
    </row>
    <row r="311" spans="1:14" x14ac:dyDescent="0.3">
      <c r="A311" s="8"/>
      <c r="B311" s="8"/>
      <c r="C311" s="7"/>
      <c r="D311" s="7"/>
      <c r="E311" s="6" t="s">
        <v>330</v>
      </c>
      <c r="F311" s="9">
        <v>0</v>
      </c>
      <c r="G311" s="412"/>
      <c r="H311" s="9">
        <v>0</v>
      </c>
      <c r="I311" s="175">
        <v>29.026859999999999</v>
      </c>
      <c r="J311" s="407"/>
      <c r="K311" s="175">
        <v>29.026859999999999</v>
      </c>
      <c r="L311" s="9">
        <v>0</v>
      </c>
      <c r="M311" s="412"/>
      <c r="N311" s="9">
        <v>0</v>
      </c>
    </row>
    <row r="312" spans="1:14" ht="39.6" x14ac:dyDescent="0.3">
      <c r="A312" s="53"/>
      <c r="B312" s="33"/>
      <c r="C312" s="34" t="s">
        <v>329</v>
      </c>
      <c r="D312" s="33"/>
      <c r="E312" s="32" t="s">
        <v>328</v>
      </c>
      <c r="F312" s="31">
        <f>F313</f>
        <v>0</v>
      </c>
      <c r="G312" s="423"/>
      <c r="H312" s="31">
        <f>H313</f>
        <v>0</v>
      </c>
      <c r="I312" s="31">
        <f t="shared" ref="I312:N312" si="48">I313</f>
        <v>0</v>
      </c>
      <c r="J312" s="423"/>
      <c r="K312" s="31">
        <f t="shared" si="48"/>
        <v>0</v>
      </c>
      <c r="L312" s="31">
        <f t="shared" si="48"/>
        <v>0</v>
      </c>
      <c r="M312" s="423"/>
      <c r="N312" s="31">
        <f t="shared" si="48"/>
        <v>0</v>
      </c>
    </row>
    <row r="313" spans="1:14" x14ac:dyDescent="0.3">
      <c r="A313" s="153"/>
      <c r="B313" s="153"/>
      <c r="C313" s="153" t="s">
        <v>704</v>
      </c>
      <c r="D313" s="160"/>
      <c r="E313" s="154" t="s">
        <v>705</v>
      </c>
      <c r="F313" s="165">
        <f t="shared" ref="F313:H315" si="49">F314</f>
        <v>0</v>
      </c>
      <c r="G313" s="406"/>
      <c r="H313" s="165">
        <f t="shared" si="49"/>
        <v>0</v>
      </c>
      <c r="I313" s="165">
        <f t="shared" ref="I313:N315" si="50">I314</f>
        <v>0</v>
      </c>
      <c r="J313" s="406"/>
      <c r="K313" s="165">
        <f t="shared" si="50"/>
        <v>0</v>
      </c>
      <c r="L313" s="165">
        <f t="shared" si="50"/>
        <v>0</v>
      </c>
      <c r="M313" s="406"/>
      <c r="N313" s="165">
        <f t="shared" si="50"/>
        <v>0</v>
      </c>
    </row>
    <row r="314" spans="1:14" ht="27" x14ac:dyDescent="0.3">
      <c r="A314" s="8"/>
      <c r="B314" s="8"/>
      <c r="C314" s="126" t="s">
        <v>706</v>
      </c>
      <c r="D314" s="7"/>
      <c r="E314" s="152" t="s">
        <v>617</v>
      </c>
      <c r="F314" s="9">
        <f t="shared" si="49"/>
        <v>0</v>
      </c>
      <c r="G314" s="412"/>
      <c r="H314" s="9">
        <f t="shared" si="49"/>
        <v>0</v>
      </c>
      <c r="I314" s="9">
        <f t="shared" si="50"/>
        <v>0</v>
      </c>
      <c r="J314" s="412"/>
      <c r="K314" s="9">
        <f t="shared" si="50"/>
        <v>0</v>
      </c>
      <c r="L314" s="9">
        <f t="shared" si="50"/>
        <v>0</v>
      </c>
      <c r="M314" s="412"/>
      <c r="N314" s="9">
        <f t="shared" si="50"/>
        <v>0</v>
      </c>
    </row>
    <row r="315" spans="1:14" ht="27" x14ac:dyDescent="0.3">
      <c r="A315" s="8"/>
      <c r="B315" s="8"/>
      <c r="C315" s="7"/>
      <c r="D315" s="7" t="s">
        <v>248</v>
      </c>
      <c r="E315" s="6" t="s">
        <v>247</v>
      </c>
      <c r="F315" s="9">
        <f t="shared" si="49"/>
        <v>0</v>
      </c>
      <c r="G315" s="412"/>
      <c r="H315" s="9">
        <f t="shared" si="49"/>
        <v>0</v>
      </c>
      <c r="I315" s="9">
        <f t="shared" si="50"/>
        <v>0</v>
      </c>
      <c r="J315" s="412"/>
      <c r="K315" s="9">
        <f t="shared" si="50"/>
        <v>0</v>
      </c>
      <c r="L315" s="9">
        <f t="shared" si="50"/>
        <v>0</v>
      </c>
      <c r="M315" s="412"/>
      <c r="N315" s="9">
        <f t="shared" si="50"/>
        <v>0</v>
      </c>
    </row>
    <row r="316" spans="1:14" x14ac:dyDescent="0.3">
      <c r="A316" s="8"/>
      <c r="B316" s="8"/>
      <c r="C316" s="7"/>
      <c r="D316" s="7"/>
      <c r="E316" s="99" t="s">
        <v>148</v>
      </c>
      <c r="F316" s="175"/>
      <c r="G316" s="407"/>
      <c r="H316" s="175"/>
      <c r="I316" s="175"/>
      <c r="J316" s="407"/>
      <c r="K316" s="175"/>
      <c r="L316" s="175"/>
      <c r="M316" s="407"/>
      <c r="N316" s="175"/>
    </row>
    <row r="317" spans="1:14" x14ac:dyDescent="0.3">
      <c r="A317" s="25"/>
      <c r="B317" s="25"/>
      <c r="C317" s="17" t="s">
        <v>52</v>
      </c>
      <c r="D317" s="101"/>
      <c r="E317" s="16" t="s">
        <v>51</v>
      </c>
      <c r="F317" s="15">
        <f t="shared" ref="F317:N318" si="51">F318</f>
        <v>209.2</v>
      </c>
      <c r="G317" s="432"/>
      <c r="H317" s="15">
        <f t="shared" si="51"/>
        <v>209.2</v>
      </c>
      <c r="I317" s="15">
        <f t="shared" si="51"/>
        <v>0</v>
      </c>
      <c r="J317" s="432"/>
      <c r="K317" s="15">
        <f t="shared" si="51"/>
        <v>0</v>
      </c>
      <c r="L317" s="15">
        <f t="shared" si="51"/>
        <v>0</v>
      </c>
      <c r="M317" s="432"/>
      <c r="N317" s="15">
        <f t="shared" si="51"/>
        <v>0</v>
      </c>
    </row>
    <row r="318" spans="1:14" s="74" customFormat="1" ht="26.4" x14ac:dyDescent="0.3">
      <c r="A318" s="100"/>
      <c r="B318" s="100"/>
      <c r="C318" s="44" t="s">
        <v>16</v>
      </c>
      <c r="D318" s="43"/>
      <c r="E318" s="85" t="s">
        <v>15</v>
      </c>
      <c r="F318" s="12">
        <f t="shared" si="51"/>
        <v>209.2</v>
      </c>
      <c r="G318" s="428"/>
      <c r="H318" s="12">
        <f t="shared" si="51"/>
        <v>209.2</v>
      </c>
      <c r="I318" s="12">
        <f t="shared" si="51"/>
        <v>0</v>
      </c>
      <c r="J318" s="428"/>
      <c r="K318" s="12">
        <f t="shared" si="51"/>
        <v>0</v>
      </c>
      <c r="L318" s="12">
        <f t="shared" si="51"/>
        <v>0</v>
      </c>
      <c r="M318" s="428"/>
      <c r="N318" s="12">
        <f t="shared" si="51"/>
        <v>0</v>
      </c>
    </row>
    <row r="319" spans="1:14" s="74" customFormat="1" ht="27" x14ac:dyDescent="0.3">
      <c r="A319" s="396"/>
      <c r="B319" s="396"/>
      <c r="C319" s="187" t="s">
        <v>897</v>
      </c>
      <c r="D319" s="393"/>
      <c r="E319" s="447" t="s">
        <v>896</v>
      </c>
      <c r="F319" s="397">
        <f>F320</f>
        <v>209.2</v>
      </c>
      <c r="G319" s="425"/>
      <c r="H319" s="397">
        <f>H320</f>
        <v>209.2</v>
      </c>
      <c r="I319" s="397">
        <v>0</v>
      </c>
      <c r="J319" s="425"/>
      <c r="K319" s="397">
        <v>0</v>
      </c>
      <c r="L319" s="397">
        <v>0</v>
      </c>
      <c r="M319" s="425"/>
      <c r="N319" s="397">
        <v>0</v>
      </c>
    </row>
    <row r="320" spans="1:14" s="74" customFormat="1" ht="27" x14ac:dyDescent="0.3">
      <c r="A320" s="396"/>
      <c r="B320" s="396"/>
      <c r="C320" s="393"/>
      <c r="D320" s="7" t="s">
        <v>57</v>
      </c>
      <c r="E320" s="6" t="s">
        <v>56</v>
      </c>
      <c r="F320" s="397">
        <v>209.2</v>
      </c>
      <c r="G320" s="425"/>
      <c r="H320" s="397">
        <v>209.2</v>
      </c>
      <c r="I320" s="397">
        <v>0</v>
      </c>
      <c r="J320" s="425"/>
      <c r="K320" s="397">
        <v>0</v>
      </c>
      <c r="L320" s="397">
        <v>0</v>
      </c>
      <c r="M320" s="425"/>
      <c r="N320" s="397">
        <v>0</v>
      </c>
    </row>
    <row r="321" spans="1:14" x14ac:dyDescent="0.3">
      <c r="A321" s="20"/>
      <c r="B321" s="22" t="s">
        <v>327</v>
      </c>
      <c r="C321" s="21"/>
      <c r="D321" s="20"/>
      <c r="E321" s="19" t="s">
        <v>326</v>
      </c>
      <c r="F321" s="26">
        <f t="shared" ref="F321:L321" si="52">F322+F355</f>
        <v>37131.943870000003</v>
      </c>
      <c r="G321" s="26">
        <f>G322+G355</f>
        <v>938.5</v>
      </c>
      <c r="H321" s="26">
        <f>H322+H355</f>
        <v>38070.443870000003</v>
      </c>
      <c r="I321" s="26">
        <f t="shared" si="52"/>
        <v>7991.4586899999995</v>
      </c>
      <c r="J321" s="26"/>
      <c r="K321" s="26">
        <f>K322+K355</f>
        <v>7991.4586899999995</v>
      </c>
      <c r="L321" s="26">
        <f t="shared" si="52"/>
        <v>23672.2</v>
      </c>
      <c r="M321" s="424"/>
      <c r="N321" s="26">
        <f>N322+N355</f>
        <v>23672.2</v>
      </c>
    </row>
    <row r="322" spans="1:14" x14ac:dyDescent="0.3">
      <c r="A322" s="20"/>
      <c r="B322" s="54"/>
      <c r="C322" s="21" t="s">
        <v>36</v>
      </c>
      <c r="D322" s="20"/>
      <c r="E322" s="27" t="s">
        <v>35</v>
      </c>
      <c r="F322" s="26">
        <f t="shared" ref="F322:N322" si="53">F323</f>
        <v>25455.043869999998</v>
      </c>
      <c r="G322" s="26">
        <f t="shared" si="53"/>
        <v>996</v>
      </c>
      <c r="H322" s="26">
        <f t="shared" si="53"/>
        <v>26451.043870000001</v>
      </c>
      <c r="I322" s="26">
        <f t="shared" si="53"/>
        <v>7991.4586899999995</v>
      </c>
      <c r="J322" s="26"/>
      <c r="K322" s="26">
        <f t="shared" si="53"/>
        <v>7991.4586899999995</v>
      </c>
      <c r="L322" s="26">
        <f t="shared" si="53"/>
        <v>23672.2</v>
      </c>
      <c r="M322" s="424"/>
      <c r="N322" s="26">
        <f t="shared" si="53"/>
        <v>23672.2</v>
      </c>
    </row>
    <row r="323" spans="1:14" ht="26.4" x14ac:dyDescent="0.3">
      <c r="A323" s="53"/>
      <c r="B323" s="33"/>
      <c r="C323" s="34" t="s">
        <v>278</v>
      </c>
      <c r="D323" s="33"/>
      <c r="E323" s="32" t="s">
        <v>277</v>
      </c>
      <c r="F323" s="31">
        <f t="shared" ref="F323:L323" si="54">F324+F329</f>
        <v>25455.043869999998</v>
      </c>
      <c r="G323" s="31">
        <f>G324+G329</f>
        <v>996</v>
      </c>
      <c r="H323" s="31">
        <f>H324+H329</f>
        <v>26451.043870000001</v>
      </c>
      <c r="I323" s="31">
        <f t="shared" si="54"/>
        <v>7991.4586899999995</v>
      </c>
      <c r="J323" s="31"/>
      <c r="K323" s="31">
        <f>K324+K329</f>
        <v>7991.4586899999995</v>
      </c>
      <c r="L323" s="31">
        <f t="shared" si="54"/>
        <v>23672.2</v>
      </c>
      <c r="M323" s="423"/>
      <c r="N323" s="31">
        <f>N324+N329</f>
        <v>23672.2</v>
      </c>
    </row>
    <row r="324" spans="1:14" ht="27" x14ac:dyDescent="0.3">
      <c r="A324" s="30"/>
      <c r="B324" s="30"/>
      <c r="C324" s="30" t="s">
        <v>276</v>
      </c>
      <c r="D324" s="30"/>
      <c r="E324" s="79" t="s">
        <v>275</v>
      </c>
      <c r="F324" s="28">
        <f t="shared" ref="F324:N325" si="55">F325</f>
        <v>1422.2</v>
      </c>
      <c r="G324" s="28"/>
      <c r="H324" s="28">
        <f t="shared" si="55"/>
        <v>1422.2</v>
      </c>
      <c r="I324" s="28">
        <f t="shared" si="55"/>
        <v>0</v>
      </c>
      <c r="J324" s="28"/>
      <c r="K324" s="28">
        <f t="shared" si="55"/>
        <v>0</v>
      </c>
      <c r="L324" s="28">
        <f t="shared" si="55"/>
        <v>0</v>
      </c>
      <c r="M324" s="410"/>
      <c r="N324" s="28">
        <f t="shared" si="55"/>
        <v>0</v>
      </c>
    </row>
    <row r="325" spans="1:14" x14ac:dyDescent="0.3">
      <c r="A325" s="153"/>
      <c r="B325" s="153"/>
      <c r="C325" s="153" t="s">
        <v>274</v>
      </c>
      <c r="D325" s="160"/>
      <c r="E325" s="164" t="s">
        <v>273</v>
      </c>
      <c r="F325" s="155">
        <f t="shared" si="55"/>
        <v>1422.2</v>
      </c>
      <c r="G325" s="155"/>
      <c r="H325" s="155">
        <f t="shared" si="55"/>
        <v>1422.2</v>
      </c>
      <c r="I325" s="155">
        <f t="shared" si="55"/>
        <v>0</v>
      </c>
      <c r="J325" s="155"/>
      <c r="K325" s="155">
        <f t="shared" si="55"/>
        <v>0</v>
      </c>
      <c r="L325" s="155">
        <f t="shared" si="55"/>
        <v>0</v>
      </c>
      <c r="M325" s="411"/>
      <c r="N325" s="155">
        <f t="shared" si="55"/>
        <v>0</v>
      </c>
    </row>
    <row r="326" spans="1:14" x14ac:dyDescent="0.3">
      <c r="A326" s="8"/>
      <c r="B326" s="8"/>
      <c r="C326" s="7" t="s">
        <v>325</v>
      </c>
      <c r="D326" s="73"/>
      <c r="E326" s="11" t="s">
        <v>324</v>
      </c>
      <c r="F326" s="5">
        <f>F327+F328</f>
        <v>1422.2</v>
      </c>
      <c r="G326" s="5"/>
      <c r="H326" s="5">
        <f>H327+H328</f>
        <v>1422.2</v>
      </c>
      <c r="I326" s="5">
        <f>I327+I328</f>
        <v>0</v>
      </c>
      <c r="J326" s="5"/>
      <c r="K326" s="5">
        <f>K327</f>
        <v>0</v>
      </c>
      <c r="L326" s="5">
        <v>0</v>
      </c>
      <c r="M326" s="425"/>
      <c r="N326" s="5">
        <v>0</v>
      </c>
    </row>
    <row r="327" spans="1:14" x14ac:dyDescent="0.3">
      <c r="A327" s="8"/>
      <c r="B327" s="8"/>
      <c r="C327" s="7"/>
      <c r="D327" s="7" t="s">
        <v>12</v>
      </c>
      <c r="E327" s="6" t="s">
        <v>11</v>
      </c>
      <c r="F327" s="175">
        <f>100-100</f>
        <v>0</v>
      </c>
      <c r="G327" s="407"/>
      <c r="H327" s="175">
        <f>100-100</f>
        <v>0</v>
      </c>
      <c r="I327" s="175">
        <v>0</v>
      </c>
      <c r="J327" s="407"/>
      <c r="K327" s="175">
        <v>0</v>
      </c>
      <c r="L327" s="5">
        <v>0</v>
      </c>
      <c r="M327" s="425"/>
      <c r="N327" s="5">
        <v>0</v>
      </c>
    </row>
    <row r="328" spans="1:14" ht="27" x14ac:dyDescent="0.3">
      <c r="A328" s="228"/>
      <c r="B328" s="228"/>
      <c r="C328" s="226"/>
      <c r="D328" s="7" t="s">
        <v>57</v>
      </c>
      <c r="E328" s="6" t="s">
        <v>56</v>
      </c>
      <c r="F328" s="248">
        <v>1422.2</v>
      </c>
      <c r="G328" s="407"/>
      <c r="H328" s="248">
        <f>1422.2</f>
        <v>1422.2</v>
      </c>
      <c r="I328" s="248">
        <v>0</v>
      </c>
      <c r="J328" s="407"/>
      <c r="K328" s="248">
        <v>0</v>
      </c>
      <c r="L328" s="229">
        <v>0</v>
      </c>
      <c r="M328" s="425"/>
      <c r="N328" s="229">
        <v>0</v>
      </c>
    </row>
    <row r="329" spans="1:14" ht="27" x14ac:dyDescent="0.3">
      <c r="A329" s="30"/>
      <c r="B329" s="30"/>
      <c r="C329" s="30" t="s">
        <v>323</v>
      </c>
      <c r="D329" s="30"/>
      <c r="E329" s="79" t="s">
        <v>322</v>
      </c>
      <c r="F329" s="28">
        <f>F330+F350</f>
        <v>24032.843869999997</v>
      </c>
      <c r="G329" s="28">
        <f>G330+G350</f>
        <v>996</v>
      </c>
      <c r="H329" s="28">
        <f>H330+H350</f>
        <v>25028.843870000001</v>
      </c>
      <c r="I329" s="28">
        <f>I330+I350</f>
        <v>7991.4586899999995</v>
      </c>
      <c r="J329" s="410"/>
      <c r="K329" s="28">
        <f>K330+K350</f>
        <v>7991.4586899999995</v>
      </c>
      <c r="L329" s="28">
        <f>L330+L350</f>
        <v>23672.2</v>
      </c>
      <c r="M329" s="410"/>
      <c r="N329" s="28">
        <f>N330+N350</f>
        <v>23672.2</v>
      </c>
    </row>
    <row r="330" spans="1:14" ht="40.5" customHeight="1" x14ac:dyDescent="0.3">
      <c r="A330" s="153"/>
      <c r="B330" s="153"/>
      <c r="C330" s="153" t="s">
        <v>321</v>
      </c>
      <c r="D330" s="153"/>
      <c r="E330" s="164" t="s">
        <v>320</v>
      </c>
      <c r="F330" s="155">
        <f>F333+F336+F331+F338+F340+F346+F348+F344+F342</f>
        <v>18249.399999999998</v>
      </c>
      <c r="G330" s="155">
        <f>G333+G336+G331+G338+G340+G346+G348+G344+G342</f>
        <v>996</v>
      </c>
      <c r="H330" s="155">
        <f>H333+H336+H331+H338+H340+H346+H348+H344+H342</f>
        <v>19245.400000000001</v>
      </c>
      <c r="I330" s="155">
        <f>I333+I336+I331+I338+I346+I348+I344</f>
        <v>5500</v>
      </c>
      <c r="J330" s="411"/>
      <c r="K330" s="155">
        <f>K333+K336+K331+K338+K346+K348+K344</f>
        <v>5500</v>
      </c>
      <c r="L330" s="155">
        <f>L333+L336+L331+L338+L346+L348+L344</f>
        <v>23672.2</v>
      </c>
      <c r="M330" s="411"/>
      <c r="N330" s="155">
        <f>N333+N336+N331+N338+N346+N348+N344</f>
        <v>23672.2</v>
      </c>
    </row>
    <row r="331" spans="1:14" x14ac:dyDescent="0.3">
      <c r="A331" s="60"/>
      <c r="B331" s="60"/>
      <c r="C331" s="54" t="s">
        <v>319</v>
      </c>
      <c r="D331" s="83"/>
      <c r="E331" s="10" t="s">
        <v>318</v>
      </c>
      <c r="F331" s="9">
        <f>F332</f>
        <v>1088.9000000000001</v>
      </c>
      <c r="G331" s="412"/>
      <c r="H331" s="9">
        <f>H332</f>
        <v>1088.9000000000001</v>
      </c>
      <c r="I331" s="9">
        <f>I332</f>
        <v>0</v>
      </c>
      <c r="J331" s="412"/>
      <c r="K331" s="9">
        <f>K332</f>
        <v>0</v>
      </c>
      <c r="L331" s="9">
        <v>0</v>
      </c>
      <c r="M331" s="412"/>
      <c r="N331" s="9">
        <v>0</v>
      </c>
    </row>
    <row r="332" spans="1:14" x14ac:dyDescent="0.3">
      <c r="A332" s="60"/>
      <c r="B332" s="60"/>
      <c r="C332" s="54"/>
      <c r="D332" s="7" t="s">
        <v>12</v>
      </c>
      <c r="E332" s="6" t="s">
        <v>11</v>
      </c>
      <c r="F332" s="175">
        <v>1088.9000000000001</v>
      </c>
      <c r="G332" s="407"/>
      <c r="H332" s="175">
        <v>1088.9000000000001</v>
      </c>
      <c r="I332" s="175">
        <v>0</v>
      </c>
      <c r="J332" s="407"/>
      <c r="K332" s="175">
        <v>0</v>
      </c>
      <c r="L332" s="9">
        <v>0</v>
      </c>
      <c r="M332" s="412"/>
      <c r="N332" s="9">
        <v>0</v>
      </c>
    </row>
    <row r="333" spans="1:14" x14ac:dyDescent="0.3">
      <c r="A333" s="7"/>
      <c r="B333" s="7"/>
      <c r="C333" s="7" t="s">
        <v>317</v>
      </c>
      <c r="D333" s="7"/>
      <c r="E333" s="11" t="s">
        <v>316</v>
      </c>
      <c r="F333" s="5">
        <f>F334</f>
        <v>2765</v>
      </c>
      <c r="G333" s="5">
        <f>G334+G335</f>
        <v>585.4</v>
      </c>
      <c r="H333" s="5">
        <f>H334+H335</f>
        <v>3350.4</v>
      </c>
      <c r="I333" s="5">
        <f>I334</f>
        <v>0</v>
      </c>
      <c r="J333" s="425"/>
      <c r="K333" s="5">
        <f>K334</f>
        <v>0</v>
      </c>
      <c r="L333" s="5">
        <f>L334</f>
        <v>1806.7</v>
      </c>
      <c r="M333" s="425"/>
      <c r="N333" s="5">
        <f>N334</f>
        <v>1806.7</v>
      </c>
    </row>
    <row r="334" spans="1:14" x14ac:dyDescent="0.3">
      <c r="A334" s="60"/>
      <c r="B334" s="60"/>
      <c r="C334" s="60"/>
      <c r="D334" s="7" t="s">
        <v>12</v>
      </c>
      <c r="E334" s="6" t="s">
        <v>11</v>
      </c>
      <c r="F334" s="175">
        <v>2765</v>
      </c>
      <c r="G334" s="407"/>
      <c r="H334" s="175">
        <v>2765</v>
      </c>
      <c r="I334" s="175">
        <v>0</v>
      </c>
      <c r="J334" s="407"/>
      <c r="K334" s="175">
        <v>0</v>
      </c>
      <c r="L334" s="175">
        <v>1806.7</v>
      </c>
      <c r="M334" s="407"/>
      <c r="N334" s="175">
        <v>1806.7</v>
      </c>
    </row>
    <row r="335" spans="1:14" ht="26.4" x14ac:dyDescent="0.3">
      <c r="A335" s="418"/>
      <c r="B335" s="418"/>
      <c r="C335" s="418"/>
      <c r="D335" s="179" t="s">
        <v>57</v>
      </c>
      <c r="E335" s="182" t="s">
        <v>56</v>
      </c>
      <c r="F335" s="407">
        <v>0</v>
      </c>
      <c r="G335" s="407">
        <v>585.4</v>
      </c>
      <c r="H335" s="407">
        <v>585.4</v>
      </c>
      <c r="I335" s="407"/>
      <c r="J335" s="407"/>
      <c r="K335" s="407"/>
      <c r="L335" s="407"/>
      <c r="M335" s="407"/>
      <c r="N335" s="407"/>
    </row>
    <row r="336" spans="1:14" ht="40.200000000000003" x14ac:dyDescent="0.3">
      <c r="A336" s="7"/>
      <c r="B336" s="7"/>
      <c r="C336" s="7" t="s">
        <v>315</v>
      </c>
      <c r="D336" s="7"/>
      <c r="E336" s="6" t="s">
        <v>567</v>
      </c>
      <c r="F336" s="9">
        <f>F337</f>
        <v>392.5</v>
      </c>
      <c r="G336" s="412"/>
      <c r="H336" s="9">
        <f>H337</f>
        <v>392.5</v>
      </c>
      <c r="I336" s="9">
        <f>I337</f>
        <v>0</v>
      </c>
      <c r="J336" s="412"/>
      <c r="K336" s="9">
        <f>K337</f>
        <v>0</v>
      </c>
      <c r="L336" s="9">
        <f>L337</f>
        <v>0</v>
      </c>
      <c r="M336" s="412"/>
      <c r="N336" s="9">
        <f>N337</f>
        <v>0</v>
      </c>
    </row>
    <row r="337" spans="1:14" x14ac:dyDescent="0.3">
      <c r="A337" s="7"/>
      <c r="B337" s="7"/>
      <c r="C337" s="7"/>
      <c r="D337" s="7" t="s">
        <v>12</v>
      </c>
      <c r="E337" s="6" t="s">
        <v>11</v>
      </c>
      <c r="F337" s="9">
        <v>392.5</v>
      </c>
      <c r="G337" s="412"/>
      <c r="H337" s="9">
        <v>392.5</v>
      </c>
      <c r="I337" s="9">
        <v>0</v>
      </c>
      <c r="J337" s="412"/>
      <c r="K337" s="9">
        <v>0</v>
      </c>
      <c r="L337" s="9">
        <v>0</v>
      </c>
      <c r="M337" s="412"/>
      <c r="N337" s="9">
        <v>0</v>
      </c>
    </row>
    <row r="338" spans="1:14" ht="40.200000000000003" x14ac:dyDescent="0.3">
      <c r="A338" s="7"/>
      <c r="B338" s="7"/>
      <c r="C338" s="73" t="s">
        <v>314</v>
      </c>
      <c r="D338" s="73"/>
      <c r="E338" s="6" t="s">
        <v>639</v>
      </c>
      <c r="F338" s="9">
        <f>F339</f>
        <v>211.4</v>
      </c>
      <c r="G338" s="412"/>
      <c r="H338" s="9">
        <f>H339</f>
        <v>211.4</v>
      </c>
      <c r="I338" s="9">
        <v>0</v>
      </c>
      <c r="J338" s="412"/>
      <c r="K338" s="9">
        <v>0</v>
      </c>
      <c r="L338" s="9">
        <v>0</v>
      </c>
      <c r="M338" s="412"/>
      <c r="N338" s="9">
        <v>0</v>
      </c>
    </row>
    <row r="339" spans="1:14" x14ac:dyDescent="0.3">
      <c r="A339" s="7"/>
      <c r="B339" s="7"/>
      <c r="C339" s="73"/>
      <c r="D339" s="73" t="s">
        <v>12</v>
      </c>
      <c r="E339" s="11" t="s">
        <v>11</v>
      </c>
      <c r="F339" s="175">
        <v>211.4</v>
      </c>
      <c r="G339" s="407"/>
      <c r="H339" s="175">
        <v>211.4</v>
      </c>
      <c r="I339" s="9">
        <v>0</v>
      </c>
      <c r="J339" s="412"/>
      <c r="K339" s="9">
        <v>0</v>
      </c>
      <c r="L339" s="9">
        <v>0</v>
      </c>
      <c r="M339" s="412"/>
      <c r="N339" s="9">
        <v>0</v>
      </c>
    </row>
    <row r="340" spans="1:14" x14ac:dyDescent="0.3">
      <c r="A340" s="7"/>
      <c r="B340" s="7"/>
      <c r="C340" s="7" t="s">
        <v>931</v>
      </c>
      <c r="D340" s="94"/>
      <c r="E340" s="97" t="s">
        <v>932</v>
      </c>
      <c r="F340" s="9">
        <f>F341</f>
        <v>0</v>
      </c>
      <c r="G340" s="9">
        <f>G341</f>
        <v>410.6</v>
      </c>
      <c r="H340" s="9">
        <f>H341</f>
        <v>410.6</v>
      </c>
      <c r="I340" s="9">
        <v>0</v>
      </c>
      <c r="J340" s="412"/>
      <c r="K340" s="9">
        <v>0</v>
      </c>
      <c r="L340" s="9">
        <v>0</v>
      </c>
      <c r="M340" s="412"/>
      <c r="N340" s="9">
        <v>0</v>
      </c>
    </row>
    <row r="341" spans="1:14" ht="26.4" x14ac:dyDescent="0.3">
      <c r="A341" s="7"/>
      <c r="B341" s="7"/>
      <c r="C341" s="73"/>
      <c r="D341" s="179" t="s">
        <v>57</v>
      </c>
      <c r="E341" s="182" t="s">
        <v>56</v>
      </c>
      <c r="F341" s="175">
        <v>0</v>
      </c>
      <c r="G341" s="407">
        <v>410.6</v>
      </c>
      <c r="H341" s="175">
        <v>410.6</v>
      </c>
      <c r="I341" s="9">
        <v>0</v>
      </c>
      <c r="J341" s="412"/>
      <c r="K341" s="9">
        <v>0</v>
      </c>
      <c r="L341" s="9">
        <v>0</v>
      </c>
      <c r="M341" s="412"/>
      <c r="N341" s="9">
        <v>0</v>
      </c>
    </row>
    <row r="342" spans="1:14" x14ac:dyDescent="0.3">
      <c r="A342" s="226"/>
      <c r="B342" s="226"/>
      <c r="C342" s="7" t="s">
        <v>609</v>
      </c>
      <c r="D342" s="54"/>
      <c r="E342" s="6" t="s">
        <v>313</v>
      </c>
      <c r="F342" s="175">
        <f>F343</f>
        <v>794.2</v>
      </c>
      <c r="G342" s="407"/>
      <c r="H342" s="175">
        <f>H343</f>
        <v>794.2</v>
      </c>
      <c r="I342" s="237"/>
      <c r="J342" s="412"/>
      <c r="K342" s="237"/>
      <c r="L342" s="237"/>
      <c r="M342" s="412"/>
      <c r="N342" s="237"/>
    </row>
    <row r="343" spans="1:14" x14ac:dyDescent="0.3">
      <c r="A343" s="226"/>
      <c r="B343" s="226"/>
      <c r="C343" s="7"/>
      <c r="D343" s="7" t="s">
        <v>12</v>
      </c>
      <c r="E343" s="6" t="s">
        <v>11</v>
      </c>
      <c r="F343" s="175">
        <v>794.2</v>
      </c>
      <c r="G343" s="407"/>
      <c r="H343" s="175">
        <v>794.2</v>
      </c>
      <c r="I343" s="237"/>
      <c r="J343" s="412"/>
      <c r="K343" s="237"/>
      <c r="L343" s="237"/>
      <c r="M343" s="412"/>
      <c r="N343" s="237"/>
    </row>
    <row r="344" spans="1:14" x14ac:dyDescent="0.3">
      <c r="A344" s="7"/>
      <c r="B344" s="7"/>
      <c r="C344" s="7" t="s">
        <v>610</v>
      </c>
      <c r="D344" s="7"/>
      <c r="E344" s="6" t="s">
        <v>612</v>
      </c>
      <c r="F344" s="9">
        <v>0</v>
      </c>
      <c r="G344" s="412"/>
      <c r="H344" s="9">
        <v>0</v>
      </c>
      <c r="I344" s="9">
        <v>0</v>
      </c>
      <c r="J344" s="412"/>
      <c r="K344" s="9">
        <v>0</v>
      </c>
      <c r="L344" s="9">
        <v>0</v>
      </c>
      <c r="M344" s="412"/>
      <c r="N344" s="9">
        <v>0</v>
      </c>
    </row>
    <row r="345" spans="1:14" x14ac:dyDescent="0.3">
      <c r="A345" s="7"/>
      <c r="B345" s="7"/>
      <c r="C345" s="7"/>
      <c r="D345" s="7" t="s">
        <v>12</v>
      </c>
      <c r="E345" s="6" t="s">
        <v>11</v>
      </c>
      <c r="F345" s="9">
        <v>0</v>
      </c>
      <c r="G345" s="412"/>
      <c r="H345" s="9">
        <v>0</v>
      </c>
      <c r="I345" s="9">
        <v>0</v>
      </c>
      <c r="J345" s="412"/>
      <c r="K345" s="9">
        <v>0</v>
      </c>
      <c r="L345" s="9">
        <v>0</v>
      </c>
      <c r="M345" s="412"/>
      <c r="N345" s="9">
        <v>0</v>
      </c>
    </row>
    <row r="346" spans="1:14" ht="40.200000000000003" x14ac:dyDescent="0.3">
      <c r="A346" s="7"/>
      <c r="B346" s="7"/>
      <c r="C346" s="73" t="s">
        <v>742</v>
      </c>
      <c r="D346" s="73"/>
      <c r="E346" s="6" t="s">
        <v>670</v>
      </c>
      <c r="F346" s="9">
        <f>F347</f>
        <v>12997.4</v>
      </c>
      <c r="G346" s="412"/>
      <c r="H346" s="9">
        <f>H347</f>
        <v>12997.4</v>
      </c>
      <c r="I346" s="9">
        <v>0</v>
      </c>
      <c r="J346" s="412"/>
      <c r="K346" s="9">
        <v>0</v>
      </c>
      <c r="L346" s="9">
        <f>L347</f>
        <v>18865.5</v>
      </c>
      <c r="M346" s="412"/>
      <c r="N346" s="9">
        <f>N347</f>
        <v>18865.5</v>
      </c>
    </row>
    <row r="347" spans="1:14" ht="27" x14ac:dyDescent="0.3">
      <c r="A347" s="7"/>
      <c r="B347" s="7"/>
      <c r="C347" s="73"/>
      <c r="D347" s="7" t="s">
        <v>248</v>
      </c>
      <c r="E347" s="6" t="s">
        <v>247</v>
      </c>
      <c r="F347" s="175">
        <v>12997.4</v>
      </c>
      <c r="G347" s="407"/>
      <c r="H347" s="175">
        <v>12997.4</v>
      </c>
      <c r="I347" s="175">
        <v>0</v>
      </c>
      <c r="J347" s="407"/>
      <c r="K347" s="175">
        <v>0</v>
      </c>
      <c r="L347" s="175">
        <v>18865.5</v>
      </c>
      <c r="M347" s="407"/>
      <c r="N347" s="175">
        <v>18865.5</v>
      </c>
    </row>
    <row r="348" spans="1:14" x14ac:dyDescent="0.3">
      <c r="A348" s="7"/>
      <c r="B348" s="7"/>
      <c r="C348" s="73" t="s">
        <v>743</v>
      </c>
      <c r="D348" s="94"/>
      <c r="E348" s="97" t="s">
        <v>312</v>
      </c>
      <c r="F348" s="9">
        <f>F349</f>
        <v>0</v>
      </c>
      <c r="G348" s="412"/>
      <c r="H348" s="9">
        <f>H349</f>
        <v>0</v>
      </c>
      <c r="I348" s="9">
        <f t="shared" ref="I348:N348" si="56">I349</f>
        <v>5500</v>
      </c>
      <c r="J348" s="412"/>
      <c r="K348" s="9">
        <f t="shared" si="56"/>
        <v>5500</v>
      </c>
      <c r="L348" s="9">
        <f t="shared" si="56"/>
        <v>3000</v>
      </c>
      <c r="M348" s="412"/>
      <c r="N348" s="9">
        <f t="shared" si="56"/>
        <v>3000</v>
      </c>
    </row>
    <row r="349" spans="1:14" x14ac:dyDescent="0.3">
      <c r="A349" s="7"/>
      <c r="B349" s="7"/>
      <c r="C349" s="7"/>
      <c r="D349" s="7" t="s">
        <v>12</v>
      </c>
      <c r="E349" s="6" t="s">
        <v>11</v>
      </c>
      <c r="F349" s="175">
        <v>0</v>
      </c>
      <c r="G349" s="407"/>
      <c r="H349" s="175">
        <v>0</v>
      </c>
      <c r="I349" s="175">
        <v>5500</v>
      </c>
      <c r="J349" s="407"/>
      <c r="K349" s="175">
        <v>5500</v>
      </c>
      <c r="L349" s="175">
        <v>3000</v>
      </c>
      <c r="M349" s="407"/>
      <c r="N349" s="175">
        <v>3000</v>
      </c>
    </row>
    <row r="350" spans="1:14" x14ac:dyDescent="0.3">
      <c r="A350" s="153"/>
      <c r="B350" s="153"/>
      <c r="C350" s="205" t="s">
        <v>661</v>
      </c>
      <c r="D350" s="205"/>
      <c r="E350" s="214" t="s">
        <v>643</v>
      </c>
      <c r="F350" s="155">
        <f t="shared" ref="F350:N351" si="57">F351</f>
        <v>5783.4438700000001</v>
      </c>
      <c r="G350" s="411"/>
      <c r="H350" s="155">
        <f t="shared" si="57"/>
        <v>5783.4438700000001</v>
      </c>
      <c r="I350" s="155">
        <f t="shared" si="57"/>
        <v>2491.4586899999999</v>
      </c>
      <c r="J350" s="411"/>
      <c r="K350" s="155">
        <f t="shared" si="57"/>
        <v>2491.4586899999999</v>
      </c>
      <c r="L350" s="155">
        <f t="shared" si="57"/>
        <v>0</v>
      </c>
      <c r="M350" s="411"/>
      <c r="N350" s="155">
        <f t="shared" si="57"/>
        <v>0</v>
      </c>
    </row>
    <row r="351" spans="1:14" ht="39.6" x14ac:dyDescent="0.3">
      <c r="A351" s="199"/>
      <c r="B351" s="199"/>
      <c r="C351" s="199" t="s">
        <v>662</v>
      </c>
      <c r="D351" s="199"/>
      <c r="E351" s="215" t="s">
        <v>760</v>
      </c>
      <c r="F351" s="5">
        <f t="shared" si="57"/>
        <v>5783.4438700000001</v>
      </c>
      <c r="G351" s="425"/>
      <c r="H351" s="5">
        <f t="shared" si="57"/>
        <v>5783.4438700000001</v>
      </c>
      <c r="I351" s="5">
        <f t="shared" si="57"/>
        <v>2491.4586899999999</v>
      </c>
      <c r="J351" s="425"/>
      <c r="K351" s="5">
        <f t="shared" si="57"/>
        <v>2491.4586899999999</v>
      </c>
      <c r="L351" s="5">
        <f t="shared" si="57"/>
        <v>0</v>
      </c>
      <c r="M351" s="425"/>
      <c r="N351" s="5">
        <f t="shared" si="57"/>
        <v>0</v>
      </c>
    </row>
    <row r="352" spans="1:14" x14ac:dyDescent="0.3">
      <c r="A352" s="199"/>
      <c r="B352" s="199"/>
      <c r="C352" s="202"/>
      <c r="D352" s="199" t="s">
        <v>12</v>
      </c>
      <c r="E352" s="201" t="s">
        <v>11</v>
      </c>
      <c r="F352" s="209">
        <f>F353+F354</f>
        <v>5783.4438700000001</v>
      </c>
      <c r="G352" s="412"/>
      <c r="H352" s="209">
        <f>H353+H354</f>
        <v>5783.4438700000001</v>
      </c>
      <c r="I352" s="209">
        <f>I354</f>
        <v>2491.4586899999999</v>
      </c>
      <c r="J352" s="412"/>
      <c r="K352" s="209">
        <f>K354</f>
        <v>2491.4586899999999</v>
      </c>
      <c r="L352" s="209">
        <v>0</v>
      </c>
      <c r="M352" s="412"/>
      <c r="N352" s="209">
        <v>0</v>
      </c>
    </row>
    <row r="353" spans="1:14" x14ac:dyDescent="0.3">
      <c r="A353" s="199"/>
      <c r="B353" s="199"/>
      <c r="C353" s="202"/>
      <c r="D353" s="199"/>
      <c r="E353" s="201" t="s">
        <v>149</v>
      </c>
      <c r="F353" s="175">
        <v>4337.5829000000003</v>
      </c>
      <c r="G353" s="407"/>
      <c r="H353" s="175">
        <v>4337.5829000000003</v>
      </c>
      <c r="I353" s="209"/>
      <c r="J353" s="412"/>
      <c r="K353" s="209"/>
      <c r="L353" s="209">
        <v>0</v>
      </c>
      <c r="M353" s="412"/>
      <c r="N353" s="209">
        <v>0</v>
      </c>
    </row>
    <row r="354" spans="1:14" x14ac:dyDescent="0.3">
      <c r="A354" s="199"/>
      <c r="B354" s="199"/>
      <c r="C354" s="202"/>
      <c r="D354" s="199"/>
      <c r="E354" s="219" t="s">
        <v>148</v>
      </c>
      <c r="F354" s="175">
        <v>1445.86097</v>
      </c>
      <c r="G354" s="407"/>
      <c r="H354" s="175">
        <v>1445.86097</v>
      </c>
      <c r="I354" s="209">
        <v>2491.4586899999999</v>
      </c>
      <c r="J354" s="412"/>
      <c r="K354" s="209">
        <v>2491.4586899999999</v>
      </c>
      <c r="L354" s="209">
        <v>0</v>
      </c>
      <c r="M354" s="412"/>
      <c r="N354" s="209">
        <v>0</v>
      </c>
    </row>
    <row r="355" spans="1:14" x14ac:dyDescent="0.3">
      <c r="A355" s="25"/>
      <c r="B355" s="25"/>
      <c r="C355" s="17" t="s">
        <v>18</v>
      </c>
      <c r="D355" s="101"/>
      <c r="E355" s="16" t="s">
        <v>17</v>
      </c>
      <c r="F355" s="15">
        <f>F356</f>
        <v>11676.900000000001</v>
      </c>
      <c r="G355" s="15">
        <f>G356</f>
        <v>-57.5</v>
      </c>
      <c r="H355" s="15">
        <f>H356</f>
        <v>11619.400000000001</v>
      </c>
      <c r="I355" s="15">
        <f>I356</f>
        <v>0</v>
      </c>
      <c r="J355" s="432"/>
      <c r="K355" s="15">
        <f>K356</f>
        <v>0</v>
      </c>
      <c r="L355" s="15">
        <f>L356</f>
        <v>0</v>
      </c>
      <c r="M355" s="432"/>
      <c r="N355" s="15">
        <f>N356</f>
        <v>0</v>
      </c>
    </row>
    <row r="356" spans="1:14" ht="27" x14ac:dyDescent="0.3">
      <c r="A356" s="192"/>
      <c r="B356" s="192"/>
      <c r="C356" s="190" t="s">
        <v>16</v>
      </c>
      <c r="D356" s="190"/>
      <c r="E356" s="191" t="s">
        <v>15</v>
      </c>
      <c r="F356" s="185">
        <f>F357+F359+F361+F363+F365</f>
        <v>11676.900000000001</v>
      </c>
      <c r="G356" s="185">
        <f>G357+G359+G361+G363+G365</f>
        <v>-57.5</v>
      </c>
      <c r="H356" s="185">
        <f>H357+H359+H361+H363+H365</f>
        <v>11619.400000000001</v>
      </c>
      <c r="I356" s="185">
        <f>I357+I359+I361</f>
        <v>0</v>
      </c>
      <c r="J356" s="428"/>
      <c r="K356" s="185">
        <f>K357+K359+K361</f>
        <v>0</v>
      </c>
      <c r="L356" s="185">
        <f>L357+L359+L361</f>
        <v>0</v>
      </c>
      <c r="M356" s="428"/>
      <c r="N356" s="185">
        <f>N357+N359+N361</f>
        <v>0</v>
      </c>
    </row>
    <row r="357" spans="1:14" x14ac:dyDescent="0.3">
      <c r="A357" s="179"/>
      <c r="B357" s="179"/>
      <c r="C357" s="187" t="s">
        <v>635</v>
      </c>
      <c r="D357" s="181"/>
      <c r="E357" s="188" t="s">
        <v>636</v>
      </c>
      <c r="F357" s="183">
        <f>F358</f>
        <v>9566.1</v>
      </c>
      <c r="G357" s="412"/>
      <c r="H357" s="183">
        <f>H358</f>
        <v>9566.1</v>
      </c>
      <c r="I357" s="183">
        <v>0</v>
      </c>
      <c r="J357" s="412"/>
      <c r="K357" s="183">
        <v>0</v>
      </c>
      <c r="L357" s="183">
        <v>0</v>
      </c>
      <c r="M357" s="412"/>
      <c r="N357" s="183">
        <v>0</v>
      </c>
    </row>
    <row r="358" spans="1:14" ht="26.4" x14ac:dyDescent="0.3">
      <c r="A358" s="179"/>
      <c r="B358" s="179"/>
      <c r="C358" s="189"/>
      <c r="D358" s="179" t="s">
        <v>57</v>
      </c>
      <c r="E358" s="182" t="s">
        <v>56</v>
      </c>
      <c r="F358" s="175">
        <v>9566.1</v>
      </c>
      <c r="G358" s="407"/>
      <c r="H358" s="175">
        <v>9566.1</v>
      </c>
      <c r="I358" s="183">
        <v>0</v>
      </c>
      <c r="J358" s="412"/>
      <c r="K358" s="183">
        <v>0</v>
      </c>
      <c r="L358" s="183">
        <v>0</v>
      </c>
      <c r="M358" s="412"/>
      <c r="N358" s="183">
        <v>0</v>
      </c>
    </row>
    <row r="359" spans="1:14" x14ac:dyDescent="0.3">
      <c r="A359" s="179"/>
      <c r="B359" s="179"/>
      <c r="C359" s="54" t="s">
        <v>478</v>
      </c>
      <c r="D359" s="54"/>
      <c r="E359" s="6" t="s">
        <v>477</v>
      </c>
      <c r="F359" s="183">
        <f>F360</f>
        <v>0</v>
      </c>
      <c r="G359" s="183">
        <f>G360</f>
        <v>97.5</v>
      </c>
      <c r="H359" s="183">
        <f>H360</f>
        <v>97.5</v>
      </c>
      <c r="I359" s="183">
        <v>0</v>
      </c>
      <c r="J359" s="412"/>
      <c r="K359" s="183">
        <v>0</v>
      </c>
      <c r="L359" s="183">
        <v>0</v>
      </c>
      <c r="M359" s="412"/>
      <c r="N359" s="183">
        <v>0</v>
      </c>
    </row>
    <row r="360" spans="1:14" ht="26.4" x14ac:dyDescent="0.3">
      <c r="A360" s="179"/>
      <c r="B360" s="179"/>
      <c r="C360" s="189"/>
      <c r="D360" s="179" t="s">
        <v>57</v>
      </c>
      <c r="E360" s="182" t="s">
        <v>56</v>
      </c>
      <c r="F360" s="183">
        <v>0</v>
      </c>
      <c r="G360" s="412">
        <v>97.5</v>
      </c>
      <c r="H360" s="183">
        <v>97.5</v>
      </c>
      <c r="I360" s="183">
        <v>0</v>
      </c>
      <c r="J360" s="412"/>
      <c r="K360" s="183">
        <v>0</v>
      </c>
      <c r="L360" s="183">
        <v>0</v>
      </c>
      <c r="M360" s="412"/>
      <c r="N360" s="183">
        <v>0</v>
      </c>
    </row>
    <row r="361" spans="1:14" x14ac:dyDescent="0.3">
      <c r="A361" s="179"/>
      <c r="B361" s="179"/>
      <c r="C361" s="187" t="s">
        <v>640</v>
      </c>
      <c r="D361" s="195"/>
      <c r="E361" s="198" t="s">
        <v>638</v>
      </c>
      <c r="F361" s="183">
        <f>F362</f>
        <v>540</v>
      </c>
      <c r="G361" s="183">
        <f>G362</f>
        <v>-155</v>
      </c>
      <c r="H361" s="183">
        <f>H362</f>
        <v>385</v>
      </c>
      <c r="I361" s="183">
        <v>0</v>
      </c>
      <c r="J361" s="412"/>
      <c r="K361" s="183">
        <v>0</v>
      </c>
      <c r="L361" s="183">
        <v>0</v>
      </c>
      <c r="M361" s="412"/>
      <c r="N361" s="183">
        <v>0</v>
      </c>
    </row>
    <row r="362" spans="1:14" ht="26.4" x14ac:dyDescent="0.3">
      <c r="A362" s="179"/>
      <c r="B362" s="179"/>
      <c r="C362" s="189"/>
      <c r="D362" s="179" t="s">
        <v>57</v>
      </c>
      <c r="E362" s="182" t="s">
        <v>56</v>
      </c>
      <c r="F362" s="183">
        <v>540</v>
      </c>
      <c r="G362" s="412">
        <v>-155</v>
      </c>
      <c r="H362" s="183">
        <f>540-155</f>
        <v>385</v>
      </c>
      <c r="I362" s="183">
        <v>0</v>
      </c>
      <c r="J362" s="412"/>
      <c r="K362" s="183">
        <v>0</v>
      </c>
      <c r="L362" s="183">
        <v>0</v>
      </c>
      <c r="M362" s="412"/>
      <c r="N362" s="183">
        <v>0</v>
      </c>
    </row>
    <row r="363" spans="1:14" x14ac:dyDescent="0.3">
      <c r="A363" s="226"/>
      <c r="B363" s="226"/>
      <c r="C363" s="187" t="s">
        <v>767</v>
      </c>
      <c r="D363" s="264"/>
      <c r="E363" s="286" t="s">
        <v>776</v>
      </c>
      <c r="F363" s="237">
        <f>F364</f>
        <v>465.1</v>
      </c>
      <c r="G363" s="412"/>
      <c r="H363" s="237">
        <f>H364</f>
        <v>465.1</v>
      </c>
      <c r="I363" s="237">
        <v>0</v>
      </c>
      <c r="J363" s="412"/>
      <c r="K363" s="237">
        <v>0</v>
      </c>
      <c r="L363" s="237">
        <v>0</v>
      </c>
      <c r="M363" s="412"/>
      <c r="N363" s="237">
        <v>0</v>
      </c>
    </row>
    <row r="364" spans="1:14" ht="27" x14ac:dyDescent="0.3">
      <c r="A364" s="226"/>
      <c r="B364" s="226"/>
      <c r="C364" s="263"/>
      <c r="D364" s="187" t="s">
        <v>57</v>
      </c>
      <c r="E364" s="197" t="s">
        <v>56</v>
      </c>
      <c r="F364" s="237">
        <v>465.1</v>
      </c>
      <c r="G364" s="412"/>
      <c r="H364" s="237">
        <v>465.1</v>
      </c>
      <c r="I364" s="237">
        <v>0</v>
      </c>
      <c r="J364" s="412"/>
      <c r="K364" s="237">
        <v>0</v>
      </c>
      <c r="L364" s="237">
        <v>0</v>
      </c>
      <c r="M364" s="412"/>
      <c r="N364" s="237">
        <v>0</v>
      </c>
    </row>
    <row r="365" spans="1:14" ht="27" x14ac:dyDescent="0.3">
      <c r="A365" s="379"/>
      <c r="B365" s="379"/>
      <c r="C365" s="187" t="s">
        <v>889</v>
      </c>
      <c r="D365" s="264"/>
      <c r="E365" s="286" t="s">
        <v>890</v>
      </c>
      <c r="F365" s="378">
        <f>F366</f>
        <v>1105.7</v>
      </c>
      <c r="G365" s="407"/>
      <c r="H365" s="378">
        <f>H366</f>
        <v>1105.7</v>
      </c>
      <c r="I365" s="380">
        <v>0</v>
      </c>
      <c r="J365" s="412"/>
      <c r="K365" s="380">
        <v>0</v>
      </c>
      <c r="L365" s="380">
        <v>0</v>
      </c>
      <c r="M365" s="412"/>
      <c r="N365" s="380">
        <v>0</v>
      </c>
    </row>
    <row r="366" spans="1:14" ht="27" x14ac:dyDescent="0.3">
      <c r="A366" s="379"/>
      <c r="B366" s="379"/>
      <c r="C366" s="263"/>
      <c r="D366" s="187" t="s">
        <v>57</v>
      </c>
      <c r="E366" s="197" t="s">
        <v>56</v>
      </c>
      <c r="F366" s="378">
        <v>1105.7</v>
      </c>
      <c r="G366" s="407"/>
      <c r="H366" s="378">
        <v>1105.7</v>
      </c>
      <c r="I366" s="380">
        <v>0</v>
      </c>
      <c r="J366" s="412"/>
      <c r="K366" s="380">
        <v>0</v>
      </c>
      <c r="L366" s="380">
        <v>0</v>
      </c>
      <c r="M366" s="412"/>
      <c r="N366" s="380">
        <v>0</v>
      </c>
    </row>
    <row r="367" spans="1:14" x14ac:dyDescent="0.3">
      <c r="A367" s="8"/>
      <c r="B367" s="22" t="s">
        <v>311</v>
      </c>
      <c r="C367" s="21"/>
      <c r="D367" s="20"/>
      <c r="E367" s="19" t="s">
        <v>310</v>
      </c>
      <c r="F367" s="18">
        <f>F368+F437</f>
        <v>51636.924140000003</v>
      </c>
      <c r="G367" s="429"/>
      <c r="H367" s="18">
        <f>H368+H437</f>
        <v>51636.924140000003</v>
      </c>
      <c r="I367" s="18">
        <f t="shared" ref="I367:N367" si="58">I368</f>
        <v>29766.449480000003</v>
      </c>
      <c r="J367" s="429"/>
      <c r="K367" s="18">
        <f t="shared" si="58"/>
        <v>29766.449480000003</v>
      </c>
      <c r="L367" s="18">
        <f t="shared" si="58"/>
        <v>36829.515679999997</v>
      </c>
      <c r="M367" s="429"/>
      <c r="N367" s="18">
        <f t="shared" si="58"/>
        <v>36829.515679999997</v>
      </c>
    </row>
    <row r="368" spans="1:14" x14ac:dyDescent="0.3">
      <c r="A368" s="8"/>
      <c r="B368" s="22"/>
      <c r="C368" s="21" t="s">
        <v>36</v>
      </c>
      <c r="D368" s="22"/>
      <c r="E368" s="27" t="s">
        <v>35</v>
      </c>
      <c r="F368" s="18">
        <f t="shared" ref="F368:L368" si="59">F369+F425</f>
        <v>51493.62414</v>
      </c>
      <c r="G368" s="429"/>
      <c r="H368" s="18">
        <f>H369+H425</f>
        <v>51493.62414</v>
      </c>
      <c r="I368" s="18">
        <f t="shared" si="59"/>
        <v>29766.449480000003</v>
      </c>
      <c r="J368" s="429"/>
      <c r="K368" s="18">
        <f>K369+K425</f>
        <v>29766.449480000003</v>
      </c>
      <c r="L368" s="18">
        <f t="shared" si="59"/>
        <v>36829.515679999997</v>
      </c>
      <c r="M368" s="429"/>
      <c r="N368" s="18">
        <f>N369+N425</f>
        <v>36829.515679999997</v>
      </c>
    </row>
    <row r="369" spans="1:14" ht="26.4" x14ac:dyDescent="0.3">
      <c r="A369" s="53"/>
      <c r="B369" s="33"/>
      <c r="C369" s="34" t="s">
        <v>278</v>
      </c>
      <c r="D369" s="33"/>
      <c r="E369" s="32" t="s">
        <v>277</v>
      </c>
      <c r="F369" s="31">
        <f>F370+F376</f>
        <v>43464.903129999999</v>
      </c>
      <c r="G369" s="423"/>
      <c r="H369" s="31">
        <f>H370+H376</f>
        <v>43464.903129999999</v>
      </c>
      <c r="I369" s="31">
        <f>I370+I376</f>
        <v>21701.51139</v>
      </c>
      <c r="J369" s="423"/>
      <c r="K369" s="31">
        <f>K370+K376</f>
        <v>21701.51139</v>
      </c>
      <c r="L369" s="31">
        <f>L370+L376</f>
        <v>28702.199999999997</v>
      </c>
      <c r="M369" s="423"/>
      <c r="N369" s="31">
        <f>N370+N376</f>
        <v>28702.199999999997</v>
      </c>
    </row>
    <row r="370" spans="1:14" x14ac:dyDescent="0.3">
      <c r="A370" s="30"/>
      <c r="B370" s="30"/>
      <c r="C370" s="30" t="s">
        <v>309</v>
      </c>
      <c r="D370" s="30"/>
      <c r="E370" s="79" t="s">
        <v>308</v>
      </c>
      <c r="F370" s="28">
        <f>F371</f>
        <v>0</v>
      </c>
      <c r="G370" s="410"/>
      <c r="H370" s="28">
        <f>H371</f>
        <v>0</v>
      </c>
      <c r="I370" s="28">
        <f>I371</f>
        <v>0</v>
      </c>
      <c r="J370" s="410"/>
      <c r="K370" s="28">
        <f>K371</f>
        <v>0</v>
      </c>
      <c r="L370" s="28">
        <f>L371</f>
        <v>0</v>
      </c>
      <c r="M370" s="410"/>
      <c r="N370" s="28">
        <f>N371</f>
        <v>0</v>
      </c>
    </row>
    <row r="371" spans="1:14" ht="27" x14ac:dyDescent="0.3">
      <c r="A371" s="73"/>
      <c r="B371" s="73"/>
      <c r="C371" s="73" t="s">
        <v>307</v>
      </c>
      <c r="D371" s="7"/>
      <c r="E371" s="6" t="s">
        <v>306</v>
      </c>
      <c r="F371" s="9">
        <f>F373+F374+F375</f>
        <v>0</v>
      </c>
      <c r="G371" s="412"/>
      <c r="H371" s="9">
        <f>H373+H374+H375</f>
        <v>0</v>
      </c>
      <c r="I371" s="9">
        <f>I373+I374+I375</f>
        <v>0</v>
      </c>
      <c r="J371" s="412"/>
      <c r="K371" s="9">
        <f>K373+K374+K375</f>
        <v>0</v>
      </c>
      <c r="L371" s="9">
        <f>L373+L374+L375</f>
        <v>0</v>
      </c>
      <c r="M371" s="412"/>
      <c r="N371" s="9">
        <f>N373+N374+N375</f>
        <v>0</v>
      </c>
    </row>
    <row r="372" spans="1:14" x14ac:dyDescent="0.3">
      <c r="A372" s="73"/>
      <c r="B372" s="73"/>
      <c r="C372" s="73"/>
      <c r="D372" s="73" t="s">
        <v>12</v>
      </c>
      <c r="E372" s="11" t="s">
        <v>11</v>
      </c>
      <c r="F372" s="9">
        <f>F373+F374+F375</f>
        <v>0</v>
      </c>
      <c r="G372" s="412"/>
      <c r="H372" s="9">
        <f>H373+H374+H375</f>
        <v>0</v>
      </c>
      <c r="I372" s="9">
        <f>I373+I374+I375</f>
        <v>0</v>
      </c>
      <c r="J372" s="412"/>
      <c r="K372" s="9">
        <f>K373+K374+K375</f>
        <v>0</v>
      </c>
      <c r="L372" s="9">
        <f>L373+L374+L375</f>
        <v>0</v>
      </c>
      <c r="M372" s="412"/>
      <c r="N372" s="9">
        <f>N373+N374+N375</f>
        <v>0</v>
      </c>
    </row>
    <row r="373" spans="1:14" x14ac:dyDescent="0.3">
      <c r="A373" s="73"/>
      <c r="B373" s="73"/>
      <c r="C373" s="73"/>
      <c r="D373" s="7"/>
      <c r="E373" s="96" t="s">
        <v>305</v>
      </c>
      <c r="F373" s="175">
        <v>0</v>
      </c>
      <c r="G373" s="407"/>
      <c r="H373" s="175">
        <v>0</v>
      </c>
      <c r="I373" s="175">
        <v>0</v>
      </c>
      <c r="J373" s="407"/>
      <c r="K373" s="175">
        <v>0</v>
      </c>
      <c r="L373" s="175">
        <v>0</v>
      </c>
      <c r="M373" s="407"/>
      <c r="N373" s="175">
        <v>0</v>
      </c>
    </row>
    <row r="374" spans="1:14" x14ac:dyDescent="0.3">
      <c r="A374" s="73"/>
      <c r="B374" s="73"/>
      <c r="C374" s="73"/>
      <c r="D374" s="7"/>
      <c r="E374" s="96" t="s">
        <v>301</v>
      </c>
      <c r="F374" s="175">
        <v>0</v>
      </c>
      <c r="G374" s="407"/>
      <c r="H374" s="175">
        <v>0</v>
      </c>
      <c r="I374" s="175">
        <v>0</v>
      </c>
      <c r="J374" s="407"/>
      <c r="K374" s="175">
        <v>0</v>
      </c>
      <c r="L374" s="175">
        <v>0</v>
      </c>
      <c r="M374" s="407"/>
      <c r="N374" s="175">
        <v>0</v>
      </c>
    </row>
    <row r="375" spans="1:14" x14ac:dyDescent="0.3">
      <c r="A375" s="73"/>
      <c r="B375" s="73"/>
      <c r="C375" s="73"/>
      <c r="D375" s="7"/>
      <c r="E375" s="96" t="s">
        <v>296</v>
      </c>
      <c r="F375" s="9">
        <v>0</v>
      </c>
      <c r="G375" s="412"/>
      <c r="H375" s="9">
        <v>0</v>
      </c>
      <c r="I375" s="9">
        <v>0</v>
      </c>
      <c r="J375" s="412"/>
      <c r="K375" s="9">
        <v>0</v>
      </c>
      <c r="L375" s="9">
        <v>0</v>
      </c>
      <c r="M375" s="412"/>
      <c r="N375" s="9">
        <v>0</v>
      </c>
    </row>
    <row r="376" spans="1:14" ht="27" x14ac:dyDescent="0.3">
      <c r="A376" s="30"/>
      <c r="B376" s="30"/>
      <c r="C376" s="30" t="s">
        <v>276</v>
      </c>
      <c r="D376" s="30"/>
      <c r="E376" s="79" t="s">
        <v>275</v>
      </c>
      <c r="F376" s="28">
        <f t="shared" ref="F376:L376" si="60">F377+F401+F410+F422</f>
        <v>43464.903129999999</v>
      </c>
      <c r="G376" s="410"/>
      <c r="H376" s="28">
        <f>H377+H401+H410+H422</f>
        <v>43464.903129999999</v>
      </c>
      <c r="I376" s="28">
        <f t="shared" si="60"/>
        <v>21701.51139</v>
      </c>
      <c r="J376" s="410"/>
      <c r="K376" s="28">
        <f>K377+K401+K410+K422</f>
        <v>21701.51139</v>
      </c>
      <c r="L376" s="28">
        <f t="shared" si="60"/>
        <v>28702.199999999997</v>
      </c>
      <c r="M376" s="410"/>
      <c r="N376" s="28">
        <f>N377+N401+N410+N422</f>
        <v>28702.199999999997</v>
      </c>
    </row>
    <row r="377" spans="1:14" ht="27" x14ac:dyDescent="0.3">
      <c r="A377" s="153"/>
      <c r="B377" s="153"/>
      <c r="C377" s="153" t="s">
        <v>304</v>
      </c>
      <c r="D377" s="153"/>
      <c r="E377" s="164" t="s">
        <v>303</v>
      </c>
      <c r="F377" s="155">
        <f>F378+F382+F386+F388+F390+F392+F394+F397</f>
        <v>8890.348</v>
      </c>
      <c r="G377" s="411"/>
      <c r="H377" s="155">
        <f>H378+H382+H386+H388+H390+H392+H394+H397</f>
        <v>8890.348</v>
      </c>
      <c r="I377" s="155">
        <f>I378+I382+I386+I388+I390+I392+I394+I397</f>
        <v>0</v>
      </c>
      <c r="J377" s="411"/>
      <c r="K377" s="155">
        <f>K378+K382+K386+K388+K390+K392+K394+K397</f>
        <v>0</v>
      </c>
      <c r="L377" s="155">
        <f>L378+L382+L386+L388+L390+L392+L394+L397</f>
        <v>1562.3</v>
      </c>
      <c r="M377" s="411"/>
      <c r="N377" s="155">
        <f>N378+N382+N386+N388+N390+N392+N394+N397</f>
        <v>1562.3</v>
      </c>
    </row>
    <row r="378" spans="1:14" s="23" customFormat="1" x14ac:dyDescent="0.3">
      <c r="A378" s="60"/>
      <c r="B378" s="60"/>
      <c r="C378" s="73" t="s">
        <v>733</v>
      </c>
      <c r="D378" s="7"/>
      <c r="E378" s="97" t="s">
        <v>734</v>
      </c>
      <c r="F378" s="175">
        <f>F379</f>
        <v>55.6</v>
      </c>
      <c r="G378" s="407"/>
      <c r="H378" s="175">
        <f>H379</f>
        <v>55.6</v>
      </c>
      <c r="I378" s="9">
        <v>0</v>
      </c>
      <c r="J378" s="412"/>
      <c r="K378" s="9">
        <v>0</v>
      </c>
      <c r="L378" s="9">
        <v>0</v>
      </c>
      <c r="M378" s="412"/>
      <c r="N378" s="9">
        <v>0</v>
      </c>
    </row>
    <row r="379" spans="1:14" s="23" customFormat="1" x14ac:dyDescent="0.3">
      <c r="A379" s="60"/>
      <c r="B379" s="60"/>
      <c r="C379" s="7"/>
      <c r="D379" s="7" t="s">
        <v>12</v>
      </c>
      <c r="E379" s="6" t="s">
        <v>11</v>
      </c>
      <c r="F379" s="175">
        <f>F380+F381</f>
        <v>55.6</v>
      </c>
      <c r="G379" s="407"/>
      <c r="H379" s="175">
        <f>H380+H381</f>
        <v>55.6</v>
      </c>
      <c r="I379" s="9">
        <v>0</v>
      </c>
      <c r="J379" s="412"/>
      <c r="K379" s="9">
        <v>0</v>
      </c>
      <c r="L379" s="9">
        <v>0</v>
      </c>
      <c r="M379" s="412"/>
      <c r="N379" s="9">
        <v>0</v>
      </c>
    </row>
    <row r="380" spans="1:14" s="23" customFormat="1" x14ac:dyDescent="0.3">
      <c r="A380" s="60"/>
      <c r="B380" s="60"/>
      <c r="C380" s="7"/>
      <c r="D380" s="7"/>
      <c r="E380" s="96" t="s">
        <v>296</v>
      </c>
      <c r="F380" s="175">
        <v>27.8</v>
      </c>
      <c r="G380" s="407"/>
      <c r="H380" s="175">
        <v>27.8</v>
      </c>
      <c r="I380" s="9">
        <v>0</v>
      </c>
      <c r="J380" s="412"/>
      <c r="K380" s="9">
        <v>0</v>
      </c>
      <c r="L380" s="9">
        <v>0</v>
      </c>
      <c r="M380" s="412"/>
      <c r="N380" s="9">
        <v>0</v>
      </c>
    </row>
    <row r="381" spans="1:14" s="23" customFormat="1" x14ac:dyDescent="0.3">
      <c r="A381" s="60"/>
      <c r="B381" s="60"/>
      <c r="C381" s="7"/>
      <c r="D381" s="7"/>
      <c r="E381" s="96" t="s">
        <v>302</v>
      </c>
      <c r="F381" s="175">
        <v>27.8</v>
      </c>
      <c r="G381" s="407"/>
      <c r="H381" s="175">
        <v>27.8</v>
      </c>
      <c r="I381" s="9">
        <v>0</v>
      </c>
      <c r="J381" s="412"/>
      <c r="K381" s="9">
        <v>0</v>
      </c>
      <c r="L381" s="9">
        <v>0</v>
      </c>
      <c r="M381" s="412"/>
      <c r="N381" s="9">
        <v>0</v>
      </c>
    </row>
    <row r="382" spans="1:14" s="23" customFormat="1" ht="40.200000000000003" x14ac:dyDescent="0.3">
      <c r="A382" s="60"/>
      <c r="B382" s="60"/>
      <c r="C382" s="73" t="s">
        <v>736</v>
      </c>
      <c r="D382" s="7"/>
      <c r="E382" s="97" t="s">
        <v>735</v>
      </c>
      <c r="F382" s="175">
        <f>F383</f>
        <v>100.44799999999999</v>
      </c>
      <c r="G382" s="407"/>
      <c r="H382" s="175">
        <f>H383</f>
        <v>100.44799999999999</v>
      </c>
      <c r="I382" s="9">
        <v>0</v>
      </c>
      <c r="J382" s="412"/>
      <c r="K382" s="9">
        <v>0</v>
      </c>
      <c r="L382" s="9">
        <v>0</v>
      </c>
      <c r="M382" s="412"/>
      <c r="N382" s="9">
        <v>0</v>
      </c>
    </row>
    <row r="383" spans="1:14" s="23" customFormat="1" x14ac:dyDescent="0.3">
      <c r="A383" s="60"/>
      <c r="B383" s="60"/>
      <c r="C383" s="7"/>
      <c r="D383" s="7" t="s">
        <v>12</v>
      </c>
      <c r="E383" s="6" t="s">
        <v>11</v>
      </c>
      <c r="F383" s="175">
        <f>F384+F385</f>
        <v>100.44799999999999</v>
      </c>
      <c r="G383" s="407"/>
      <c r="H383" s="175">
        <f>H384+H385</f>
        <v>100.44799999999999</v>
      </c>
      <c r="I383" s="9">
        <v>0</v>
      </c>
      <c r="J383" s="412"/>
      <c r="K383" s="9">
        <v>0</v>
      </c>
      <c r="L383" s="9">
        <v>0</v>
      </c>
      <c r="M383" s="412"/>
      <c r="N383" s="9">
        <v>0</v>
      </c>
    </row>
    <row r="384" spans="1:14" s="23" customFormat="1" x14ac:dyDescent="0.3">
      <c r="A384" s="60"/>
      <c r="B384" s="60"/>
      <c r="C384" s="7"/>
      <c r="D384" s="7"/>
      <c r="E384" s="96" t="s">
        <v>296</v>
      </c>
      <c r="F384" s="175">
        <v>50.223999999999997</v>
      </c>
      <c r="G384" s="407"/>
      <c r="H384" s="175">
        <v>50.223999999999997</v>
      </c>
      <c r="I384" s="9">
        <v>0</v>
      </c>
      <c r="J384" s="412"/>
      <c r="K384" s="9">
        <v>0</v>
      </c>
      <c r="L384" s="9">
        <v>0</v>
      </c>
      <c r="M384" s="412"/>
      <c r="N384" s="9">
        <v>0</v>
      </c>
    </row>
    <row r="385" spans="1:14" s="23" customFormat="1" x14ac:dyDescent="0.3">
      <c r="A385" s="60"/>
      <c r="B385" s="60"/>
      <c r="C385" s="7"/>
      <c r="D385" s="7"/>
      <c r="E385" s="96" t="s">
        <v>302</v>
      </c>
      <c r="F385" s="175">
        <v>50.223999999999997</v>
      </c>
      <c r="G385" s="407"/>
      <c r="H385" s="175">
        <v>50.223999999999997</v>
      </c>
      <c r="I385" s="9">
        <v>0</v>
      </c>
      <c r="J385" s="412"/>
      <c r="K385" s="9">
        <v>0</v>
      </c>
      <c r="L385" s="9">
        <v>0</v>
      </c>
      <c r="M385" s="412"/>
      <c r="N385" s="9">
        <v>0</v>
      </c>
    </row>
    <row r="386" spans="1:14" ht="26.4" x14ac:dyDescent="0.3">
      <c r="A386" s="54"/>
      <c r="B386" s="54"/>
      <c r="C386" s="54" t="s">
        <v>300</v>
      </c>
      <c r="D386" s="54"/>
      <c r="E386" s="10" t="s">
        <v>299</v>
      </c>
      <c r="F386" s="5">
        <f>F387</f>
        <v>3194.7</v>
      </c>
      <c r="G386" s="425"/>
      <c r="H386" s="5">
        <f>H387</f>
        <v>3194.7</v>
      </c>
      <c r="I386" s="5">
        <f>I387</f>
        <v>0</v>
      </c>
      <c r="J386" s="425"/>
      <c r="K386" s="5">
        <f>K387</f>
        <v>0</v>
      </c>
      <c r="L386" s="5">
        <f>L387</f>
        <v>0</v>
      </c>
      <c r="M386" s="425"/>
      <c r="N386" s="5">
        <f>N387</f>
        <v>0</v>
      </c>
    </row>
    <row r="387" spans="1:14" x14ac:dyDescent="0.3">
      <c r="A387" s="54"/>
      <c r="B387" s="54"/>
      <c r="C387" s="54"/>
      <c r="D387" s="7" t="s">
        <v>12</v>
      </c>
      <c r="E387" s="6" t="s">
        <v>11</v>
      </c>
      <c r="F387" s="5">
        <v>3194.7</v>
      </c>
      <c r="G387" s="425"/>
      <c r="H387" s="5">
        <v>3194.7</v>
      </c>
      <c r="I387" s="5">
        <v>0</v>
      </c>
      <c r="J387" s="425"/>
      <c r="K387" s="5">
        <v>0</v>
      </c>
      <c r="L387" s="5">
        <v>0</v>
      </c>
      <c r="M387" s="425"/>
      <c r="N387" s="5">
        <v>0</v>
      </c>
    </row>
    <row r="388" spans="1:14" ht="26.4" x14ac:dyDescent="0.3">
      <c r="A388" s="54"/>
      <c r="B388" s="54"/>
      <c r="C388" s="54" t="s">
        <v>298</v>
      </c>
      <c r="D388" s="54"/>
      <c r="E388" s="10" t="s">
        <v>297</v>
      </c>
      <c r="F388" s="5">
        <f>F389</f>
        <v>1922</v>
      </c>
      <c r="G388" s="425"/>
      <c r="H388" s="5">
        <f>H389</f>
        <v>1922</v>
      </c>
      <c r="I388" s="5">
        <f>I389</f>
        <v>0</v>
      </c>
      <c r="J388" s="425"/>
      <c r="K388" s="5">
        <f>K389</f>
        <v>0</v>
      </c>
      <c r="L388" s="5">
        <f>L389</f>
        <v>1562.3</v>
      </c>
      <c r="M388" s="425"/>
      <c r="N388" s="5">
        <f>N389</f>
        <v>1562.3</v>
      </c>
    </row>
    <row r="389" spans="1:14" x14ac:dyDescent="0.3">
      <c r="A389" s="54"/>
      <c r="B389" s="54"/>
      <c r="C389" s="54"/>
      <c r="D389" s="7" t="s">
        <v>12</v>
      </c>
      <c r="E389" s="6" t="s">
        <v>11</v>
      </c>
      <c r="F389" s="175">
        <v>1922</v>
      </c>
      <c r="G389" s="407"/>
      <c r="H389" s="175">
        <v>1922</v>
      </c>
      <c r="I389" s="175">
        <v>0</v>
      </c>
      <c r="J389" s="407"/>
      <c r="K389" s="175">
        <v>0</v>
      </c>
      <c r="L389" s="175">
        <v>1562.3</v>
      </c>
      <c r="M389" s="407"/>
      <c r="N389" s="175">
        <v>1562.3</v>
      </c>
    </row>
    <row r="390" spans="1:14" ht="36" customHeight="1" x14ac:dyDescent="0.3">
      <c r="A390" s="54"/>
      <c r="B390" s="54"/>
      <c r="C390" s="54" t="s">
        <v>607</v>
      </c>
      <c r="D390" s="7"/>
      <c r="E390" s="96" t="s">
        <v>543</v>
      </c>
      <c r="F390" s="9">
        <f>F391</f>
        <v>1069.5</v>
      </c>
      <c r="G390" s="412"/>
      <c r="H390" s="9">
        <f>H391</f>
        <v>1069.5</v>
      </c>
      <c r="I390" s="9">
        <v>0</v>
      </c>
      <c r="J390" s="412"/>
      <c r="K390" s="9">
        <v>0</v>
      </c>
      <c r="L390" s="9">
        <v>0</v>
      </c>
      <c r="M390" s="412"/>
      <c r="N390" s="9">
        <v>0</v>
      </c>
    </row>
    <row r="391" spans="1:14" x14ac:dyDescent="0.3">
      <c r="A391" s="54"/>
      <c r="B391" s="54"/>
      <c r="C391" s="54"/>
      <c r="D391" s="7" t="s">
        <v>12</v>
      </c>
      <c r="E391" s="6" t="s">
        <v>11</v>
      </c>
      <c r="F391" s="175">
        <v>1069.5</v>
      </c>
      <c r="G391" s="407"/>
      <c r="H391" s="175">
        <v>1069.5</v>
      </c>
      <c r="I391" s="9">
        <v>0</v>
      </c>
      <c r="J391" s="412"/>
      <c r="K391" s="9">
        <v>0</v>
      </c>
      <c r="L391" s="9">
        <v>0</v>
      </c>
      <c r="M391" s="412"/>
      <c r="N391" s="9">
        <v>0</v>
      </c>
    </row>
    <row r="392" spans="1:14" x14ac:dyDescent="0.3">
      <c r="A392" s="54"/>
      <c r="B392" s="54"/>
      <c r="C392" s="54" t="s">
        <v>668</v>
      </c>
      <c r="D392" s="199"/>
      <c r="E392" s="203" t="s">
        <v>669</v>
      </c>
      <c r="F392" s="9">
        <v>0</v>
      </c>
      <c r="G392" s="412"/>
      <c r="H392" s="9">
        <v>0</v>
      </c>
      <c r="I392" s="9">
        <v>0</v>
      </c>
      <c r="J392" s="412"/>
      <c r="K392" s="9">
        <v>0</v>
      </c>
      <c r="L392" s="9">
        <v>0</v>
      </c>
      <c r="M392" s="412"/>
      <c r="N392" s="9">
        <v>0</v>
      </c>
    </row>
    <row r="393" spans="1:14" x14ac:dyDescent="0.3">
      <c r="A393" s="54"/>
      <c r="B393" s="54"/>
      <c r="C393" s="54"/>
      <c r="D393" s="7" t="s">
        <v>12</v>
      </c>
      <c r="E393" s="6" t="s">
        <v>11</v>
      </c>
      <c r="F393" s="9">
        <v>0</v>
      </c>
      <c r="G393" s="412"/>
      <c r="H393" s="9">
        <v>0</v>
      </c>
      <c r="I393" s="9">
        <v>0</v>
      </c>
      <c r="J393" s="412"/>
      <c r="K393" s="9">
        <v>0</v>
      </c>
      <c r="L393" s="9">
        <v>0</v>
      </c>
      <c r="M393" s="412"/>
      <c r="N393" s="9">
        <v>0</v>
      </c>
    </row>
    <row r="394" spans="1:14" x14ac:dyDescent="0.3">
      <c r="A394" s="54"/>
      <c r="B394" s="54"/>
      <c r="C394" s="7" t="s">
        <v>730</v>
      </c>
      <c r="D394" s="7"/>
      <c r="E394" s="203" t="s">
        <v>683</v>
      </c>
      <c r="F394" s="9">
        <f>F395</f>
        <v>1708.6</v>
      </c>
      <c r="G394" s="412"/>
      <c r="H394" s="9">
        <f>H395</f>
        <v>1708.6</v>
      </c>
      <c r="I394" s="9">
        <v>0</v>
      </c>
      <c r="J394" s="412"/>
      <c r="K394" s="9">
        <v>0</v>
      </c>
      <c r="L394" s="9">
        <v>0</v>
      </c>
      <c r="M394" s="412"/>
      <c r="N394" s="9">
        <v>0</v>
      </c>
    </row>
    <row r="395" spans="1:14" x14ac:dyDescent="0.3">
      <c r="A395" s="54"/>
      <c r="B395" s="54"/>
      <c r="C395" s="54"/>
      <c r="D395" s="7" t="s">
        <v>12</v>
      </c>
      <c r="E395" s="6" t="s">
        <v>11</v>
      </c>
      <c r="F395" s="211">
        <v>1708.6</v>
      </c>
      <c r="G395" s="407"/>
      <c r="H395" s="211">
        <v>1708.6</v>
      </c>
      <c r="I395" s="9">
        <v>0</v>
      </c>
      <c r="J395" s="412"/>
      <c r="K395" s="9">
        <v>0</v>
      </c>
      <c r="L395" s="9">
        <v>0</v>
      </c>
      <c r="M395" s="412"/>
      <c r="N395" s="9">
        <v>0</v>
      </c>
    </row>
    <row r="396" spans="1:14" x14ac:dyDescent="0.3">
      <c r="A396" s="54"/>
      <c r="B396" s="54"/>
      <c r="C396" s="54"/>
      <c r="D396" s="7"/>
      <c r="E396" s="96" t="s">
        <v>296</v>
      </c>
      <c r="F396" s="9">
        <v>0</v>
      </c>
      <c r="G396" s="412"/>
      <c r="H396" s="9">
        <v>0</v>
      </c>
      <c r="I396" s="9">
        <v>0</v>
      </c>
      <c r="J396" s="412"/>
      <c r="K396" s="9">
        <v>0</v>
      </c>
      <c r="L396" s="9">
        <v>0</v>
      </c>
      <c r="M396" s="412"/>
      <c r="N396" s="9">
        <v>0</v>
      </c>
    </row>
    <row r="397" spans="1:14" ht="27" x14ac:dyDescent="0.3">
      <c r="A397" s="54"/>
      <c r="B397" s="54"/>
      <c r="C397" s="54" t="s">
        <v>544</v>
      </c>
      <c r="D397" s="7"/>
      <c r="E397" s="6" t="s">
        <v>545</v>
      </c>
      <c r="F397" s="176">
        <f>F398+F399+F400</f>
        <v>839.5</v>
      </c>
      <c r="G397" s="408"/>
      <c r="H397" s="176">
        <f>H398+H399+H400</f>
        <v>839.5</v>
      </c>
      <c r="I397" s="176">
        <f>I398+I399+I400</f>
        <v>0</v>
      </c>
      <c r="J397" s="408"/>
      <c r="K397" s="176">
        <f>K398+K399+K400</f>
        <v>0</v>
      </c>
      <c r="L397" s="176">
        <f>L398+L399+L400</f>
        <v>0</v>
      </c>
      <c r="M397" s="408"/>
      <c r="N397" s="176">
        <f>N398+N399+N400</f>
        <v>0</v>
      </c>
    </row>
    <row r="398" spans="1:14" x14ac:dyDescent="0.3">
      <c r="A398" s="54"/>
      <c r="B398" s="54"/>
      <c r="C398" s="54"/>
      <c r="D398" s="7" t="s">
        <v>12</v>
      </c>
      <c r="E398" s="6" t="s">
        <v>11</v>
      </c>
      <c r="F398" s="175">
        <v>0</v>
      </c>
      <c r="G398" s="407"/>
      <c r="H398" s="175">
        <v>0</v>
      </c>
      <c r="I398" s="175">
        <v>0</v>
      </c>
      <c r="J398" s="407"/>
      <c r="K398" s="175">
        <v>0</v>
      </c>
      <c r="L398" s="177">
        <v>0</v>
      </c>
      <c r="M398" s="434"/>
      <c r="N398" s="177">
        <v>0</v>
      </c>
    </row>
    <row r="399" spans="1:14" ht="26.4" x14ac:dyDescent="0.3">
      <c r="A399" s="54"/>
      <c r="B399" s="54"/>
      <c r="C399" s="54"/>
      <c r="D399" s="7" t="s">
        <v>57</v>
      </c>
      <c r="E399" s="10" t="s">
        <v>56</v>
      </c>
      <c r="F399" s="175">
        <f>352.5+296+191</f>
        <v>839.5</v>
      </c>
      <c r="G399" s="407"/>
      <c r="H399" s="175">
        <f>352.5+296+191</f>
        <v>839.5</v>
      </c>
      <c r="I399" s="177">
        <v>0</v>
      </c>
      <c r="J399" s="434"/>
      <c r="K399" s="177">
        <v>0</v>
      </c>
      <c r="L399" s="177">
        <v>0</v>
      </c>
      <c r="M399" s="434"/>
      <c r="N399" s="177">
        <v>0</v>
      </c>
    </row>
    <row r="400" spans="1:14" x14ac:dyDescent="0.3">
      <c r="A400" s="54"/>
      <c r="B400" s="54"/>
      <c r="C400" s="54"/>
      <c r="D400" s="7" t="s">
        <v>22</v>
      </c>
      <c r="E400" s="6" t="s">
        <v>21</v>
      </c>
      <c r="F400" s="177">
        <v>0</v>
      </c>
      <c r="G400" s="434"/>
      <c r="H400" s="177">
        <v>0</v>
      </c>
      <c r="I400" s="177">
        <v>0</v>
      </c>
      <c r="J400" s="434"/>
      <c r="K400" s="177">
        <v>0</v>
      </c>
      <c r="L400" s="177">
        <v>0</v>
      </c>
      <c r="M400" s="434"/>
      <c r="N400" s="177">
        <v>0</v>
      </c>
    </row>
    <row r="401" spans="1:14" x14ac:dyDescent="0.3">
      <c r="A401" s="153"/>
      <c r="B401" s="153"/>
      <c r="C401" s="153" t="s">
        <v>644</v>
      </c>
      <c r="D401" s="160"/>
      <c r="E401" s="164" t="s">
        <v>643</v>
      </c>
      <c r="F401" s="165">
        <f>F402+F406</f>
        <v>6555.3551299999999</v>
      </c>
      <c r="G401" s="406"/>
      <c r="H401" s="165">
        <f>H402+H406</f>
        <v>6555.3551299999999</v>
      </c>
      <c r="I401" s="165">
        <f>I402+I406</f>
        <v>780.71139000000005</v>
      </c>
      <c r="J401" s="406"/>
      <c r="K401" s="165">
        <f>K402+K406</f>
        <v>780.71139000000005</v>
      </c>
      <c r="L401" s="165">
        <f>L402+L406</f>
        <v>0</v>
      </c>
      <c r="M401" s="406"/>
      <c r="N401" s="165">
        <f>N402+N406</f>
        <v>0</v>
      </c>
    </row>
    <row r="402" spans="1:14" ht="27" x14ac:dyDescent="0.3">
      <c r="A402" s="202"/>
      <c r="B402" s="202"/>
      <c r="C402" s="7" t="s">
        <v>645</v>
      </c>
      <c r="D402" s="7"/>
      <c r="E402" s="11" t="s">
        <v>758</v>
      </c>
      <c r="F402" s="175">
        <f t="shared" ref="F402:N402" si="61">F403</f>
        <v>715.17863</v>
      </c>
      <c r="G402" s="407"/>
      <c r="H402" s="175">
        <f t="shared" si="61"/>
        <v>715.17863</v>
      </c>
      <c r="I402" s="175">
        <f t="shared" si="61"/>
        <v>0</v>
      </c>
      <c r="J402" s="407"/>
      <c r="K402" s="175">
        <f t="shared" si="61"/>
        <v>0</v>
      </c>
      <c r="L402" s="175">
        <f t="shared" si="61"/>
        <v>0</v>
      </c>
      <c r="M402" s="407"/>
      <c r="N402" s="175">
        <f t="shared" si="61"/>
        <v>0</v>
      </c>
    </row>
    <row r="403" spans="1:14" x14ac:dyDescent="0.3">
      <c r="A403" s="202"/>
      <c r="B403" s="202"/>
      <c r="C403" s="7"/>
      <c r="D403" s="7" t="s">
        <v>12</v>
      </c>
      <c r="E403" s="6" t="s">
        <v>11</v>
      </c>
      <c r="F403" s="212">
        <f>F404+F405</f>
        <v>715.17863</v>
      </c>
      <c r="G403" s="434"/>
      <c r="H403" s="212">
        <f>H404+H405</f>
        <v>715.17863</v>
      </c>
      <c r="I403" s="212">
        <v>0</v>
      </c>
      <c r="J403" s="434"/>
      <c r="K403" s="212">
        <v>0</v>
      </c>
      <c r="L403" s="212">
        <v>0</v>
      </c>
      <c r="M403" s="434"/>
      <c r="N403" s="212">
        <v>0</v>
      </c>
    </row>
    <row r="404" spans="1:14" x14ac:dyDescent="0.3">
      <c r="A404" s="202"/>
      <c r="B404" s="202"/>
      <c r="C404" s="7"/>
      <c r="D404" s="7"/>
      <c r="E404" s="6" t="s">
        <v>599</v>
      </c>
      <c r="F404" s="175">
        <v>643.66075999999998</v>
      </c>
      <c r="G404" s="407"/>
      <c r="H404" s="175">
        <v>643.66075999999998</v>
      </c>
      <c r="I404" s="212">
        <v>0</v>
      </c>
      <c r="J404" s="434"/>
      <c r="K404" s="212">
        <v>0</v>
      </c>
      <c r="L404" s="212">
        <v>0</v>
      </c>
      <c r="M404" s="434"/>
      <c r="N404" s="212">
        <v>0</v>
      </c>
    </row>
    <row r="405" spans="1:14" x14ac:dyDescent="0.3">
      <c r="A405" s="202"/>
      <c r="B405" s="202"/>
      <c r="C405" s="83"/>
      <c r="D405" s="7"/>
      <c r="E405" s="6" t="s">
        <v>69</v>
      </c>
      <c r="F405" s="175">
        <v>71.517870000000002</v>
      </c>
      <c r="G405" s="407"/>
      <c r="H405" s="175">
        <v>71.517870000000002</v>
      </c>
      <c r="I405" s="212">
        <v>0</v>
      </c>
      <c r="J405" s="434"/>
      <c r="K405" s="212">
        <v>0</v>
      </c>
      <c r="L405" s="212">
        <v>0</v>
      </c>
      <c r="M405" s="434"/>
      <c r="N405" s="212">
        <v>0</v>
      </c>
    </row>
    <row r="406" spans="1:14" ht="41.25" customHeight="1" x14ac:dyDescent="0.3">
      <c r="A406" s="202"/>
      <c r="B406" s="202"/>
      <c r="C406" s="7" t="s">
        <v>741</v>
      </c>
      <c r="D406" s="199"/>
      <c r="E406" s="11" t="s">
        <v>759</v>
      </c>
      <c r="F406" s="175">
        <f t="shared" ref="F406:N406" si="62">F407</f>
        <v>5840.1764999999996</v>
      </c>
      <c r="G406" s="407"/>
      <c r="H406" s="175">
        <f t="shared" si="62"/>
        <v>5840.1764999999996</v>
      </c>
      <c r="I406" s="211">
        <f t="shared" si="62"/>
        <v>780.71139000000005</v>
      </c>
      <c r="J406" s="407"/>
      <c r="K406" s="211">
        <f t="shared" si="62"/>
        <v>780.71139000000005</v>
      </c>
      <c r="L406" s="211">
        <f t="shared" si="62"/>
        <v>0</v>
      </c>
      <c r="M406" s="407"/>
      <c r="N406" s="211">
        <f t="shared" si="62"/>
        <v>0</v>
      </c>
    </row>
    <row r="407" spans="1:14" x14ac:dyDescent="0.3">
      <c r="A407" s="202"/>
      <c r="B407" s="202"/>
      <c r="C407" s="204"/>
      <c r="D407" s="7" t="s">
        <v>12</v>
      </c>
      <c r="E407" s="6" t="s">
        <v>11</v>
      </c>
      <c r="F407" s="175">
        <f>F408+F409</f>
        <v>5840.1764999999996</v>
      </c>
      <c r="G407" s="407"/>
      <c r="H407" s="175">
        <f>H408+H409</f>
        <v>5840.1764999999996</v>
      </c>
      <c r="I407" s="212">
        <f>I409</f>
        <v>780.71139000000005</v>
      </c>
      <c r="J407" s="434"/>
      <c r="K407" s="212">
        <f>K409</f>
        <v>780.71139000000005</v>
      </c>
      <c r="L407" s="212">
        <v>0</v>
      </c>
      <c r="M407" s="434"/>
      <c r="N407" s="212">
        <v>0</v>
      </c>
    </row>
    <row r="408" spans="1:14" x14ac:dyDescent="0.3">
      <c r="A408" s="202"/>
      <c r="B408" s="202"/>
      <c r="C408" s="7"/>
      <c r="D408" s="7"/>
      <c r="E408" s="6" t="s">
        <v>599</v>
      </c>
      <c r="F408" s="175">
        <v>5256.1588499999998</v>
      </c>
      <c r="G408" s="407"/>
      <c r="H408" s="175">
        <v>5256.1588499999998</v>
      </c>
      <c r="I408" s="212"/>
      <c r="J408" s="434"/>
      <c r="K408" s="212"/>
      <c r="L408" s="212">
        <v>0</v>
      </c>
      <c r="M408" s="434"/>
      <c r="N408" s="212">
        <v>0</v>
      </c>
    </row>
    <row r="409" spans="1:14" x14ac:dyDescent="0.3">
      <c r="A409" s="202"/>
      <c r="B409" s="202"/>
      <c r="C409" s="204"/>
      <c r="D409" s="199"/>
      <c r="E409" s="6" t="s">
        <v>69</v>
      </c>
      <c r="F409" s="175">
        <v>584.01765</v>
      </c>
      <c r="G409" s="407"/>
      <c r="H409" s="175">
        <v>584.01765</v>
      </c>
      <c r="I409" s="212">
        <v>780.71139000000005</v>
      </c>
      <c r="J409" s="434"/>
      <c r="K409" s="212">
        <v>780.71139000000005</v>
      </c>
      <c r="L409" s="212">
        <v>0</v>
      </c>
      <c r="M409" s="434"/>
      <c r="N409" s="212">
        <v>0</v>
      </c>
    </row>
    <row r="410" spans="1:14" x14ac:dyDescent="0.3">
      <c r="A410" s="153"/>
      <c r="B410" s="153"/>
      <c r="C410" s="153" t="s">
        <v>274</v>
      </c>
      <c r="D410" s="160"/>
      <c r="E410" s="164" t="s">
        <v>273</v>
      </c>
      <c r="F410" s="155">
        <f>F413+F415+F417+F419+F411</f>
        <v>1717.1</v>
      </c>
      <c r="G410" s="411"/>
      <c r="H410" s="155">
        <f>H413+H415+H417+H419+H411</f>
        <v>1717.1</v>
      </c>
      <c r="I410" s="155">
        <f>I413+I415+I417+I419+I411</f>
        <v>0</v>
      </c>
      <c r="J410" s="411"/>
      <c r="K410" s="155">
        <f>K413+K415+K417+K419+K411</f>
        <v>0</v>
      </c>
      <c r="L410" s="155">
        <f>L413+L415+L417+L419+L411</f>
        <v>837.8</v>
      </c>
      <c r="M410" s="411"/>
      <c r="N410" s="155">
        <f>N413+N415+N417+N419+N411</f>
        <v>837.8</v>
      </c>
    </row>
    <row r="411" spans="1:14" x14ac:dyDescent="0.3">
      <c r="A411" s="8"/>
      <c r="B411" s="8"/>
      <c r="C411" s="7" t="s">
        <v>740</v>
      </c>
      <c r="D411" s="80"/>
      <c r="E411" s="11" t="s">
        <v>684</v>
      </c>
      <c r="F411" s="5">
        <f>F412</f>
        <v>0</v>
      </c>
      <c r="G411" s="425"/>
      <c r="H411" s="5">
        <f>H412</f>
        <v>0</v>
      </c>
      <c r="I411" s="5">
        <f>I412</f>
        <v>0</v>
      </c>
      <c r="J411" s="425"/>
      <c r="K411" s="5">
        <f>K412</f>
        <v>0</v>
      </c>
      <c r="L411" s="5">
        <f>L412</f>
        <v>0</v>
      </c>
      <c r="M411" s="425"/>
      <c r="N411" s="5">
        <f>N412</f>
        <v>0</v>
      </c>
    </row>
    <row r="412" spans="1:14" x14ac:dyDescent="0.3">
      <c r="A412" s="8"/>
      <c r="B412" s="8"/>
      <c r="C412" s="60"/>
      <c r="D412" s="7" t="s">
        <v>12</v>
      </c>
      <c r="E412" s="6" t="s">
        <v>11</v>
      </c>
      <c r="F412" s="175">
        <f>250-250</f>
        <v>0</v>
      </c>
      <c r="G412" s="407"/>
      <c r="H412" s="175">
        <f>250-250</f>
        <v>0</v>
      </c>
      <c r="I412" s="175">
        <v>0</v>
      </c>
      <c r="J412" s="407"/>
      <c r="K412" s="175">
        <v>0</v>
      </c>
      <c r="L412" s="175">
        <f>350-350</f>
        <v>0</v>
      </c>
      <c r="M412" s="407"/>
      <c r="N412" s="175">
        <f>350-350</f>
        <v>0</v>
      </c>
    </row>
    <row r="413" spans="1:14" x14ac:dyDescent="0.3">
      <c r="A413" s="8"/>
      <c r="B413" s="8"/>
      <c r="C413" s="7" t="s">
        <v>295</v>
      </c>
      <c r="D413" s="80"/>
      <c r="E413" s="11" t="s">
        <v>294</v>
      </c>
      <c r="F413" s="5">
        <f>F414</f>
        <v>458.3</v>
      </c>
      <c r="G413" s="425"/>
      <c r="H413" s="5">
        <f>H414</f>
        <v>458.3</v>
      </c>
      <c r="I413" s="5">
        <f>I414</f>
        <v>0</v>
      </c>
      <c r="J413" s="425"/>
      <c r="K413" s="5">
        <f>K414</f>
        <v>0</v>
      </c>
      <c r="L413" s="5">
        <f>L414</f>
        <v>0</v>
      </c>
      <c r="M413" s="425"/>
      <c r="N413" s="5">
        <f>N414</f>
        <v>0</v>
      </c>
    </row>
    <row r="414" spans="1:14" x14ac:dyDescent="0.3">
      <c r="A414" s="8"/>
      <c r="B414" s="8"/>
      <c r="C414" s="60"/>
      <c r="D414" s="7" t="s">
        <v>12</v>
      </c>
      <c r="E414" s="6" t="s">
        <v>11</v>
      </c>
      <c r="F414" s="175">
        <v>458.3</v>
      </c>
      <c r="G414" s="407"/>
      <c r="H414" s="175">
        <v>458.3</v>
      </c>
      <c r="I414" s="5">
        <v>0</v>
      </c>
      <c r="J414" s="425"/>
      <c r="K414" s="5">
        <v>0</v>
      </c>
      <c r="L414" s="5">
        <v>0</v>
      </c>
      <c r="M414" s="425"/>
      <c r="N414" s="5">
        <v>0</v>
      </c>
    </row>
    <row r="415" spans="1:14" x14ac:dyDescent="0.3">
      <c r="A415" s="8"/>
      <c r="B415" s="8"/>
      <c r="C415" s="7" t="s">
        <v>293</v>
      </c>
      <c r="D415" s="73"/>
      <c r="E415" s="11" t="s">
        <v>292</v>
      </c>
      <c r="F415" s="5">
        <f>F416</f>
        <v>702</v>
      </c>
      <c r="G415" s="425"/>
      <c r="H415" s="5">
        <f>H416</f>
        <v>702</v>
      </c>
      <c r="I415" s="5">
        <f t="shared" ref="I415:N415" si="63">I416</f>
        <v>0</v>
      </c>
      <c r="J415" s="425"/>
      <c r="K415" s="5">
        <f t="shared" si="63"/>
        <v>0</v>
      </c>
      <c r="L415" s="5">
        <f t="shared" si="63"/>
        <v>281</v>
      </c>
      <c r="M415" s="425"/>
      <c r="N415" s="5">
        <f t="shared" si="63"/>
        <v>281</v>
      </c>
    </row>
    <row r="416" spans="1:14" x14ac:dyDescent="0.3">
      <c r="A416" s="8"/>
      <c r="B416" s="8"/>
      <c r="C416" s="83"/>
      <c r="D416" s="7" t="s">
        <v>12</v>
      </c>
      <c r="E416" s="6" t="s">
        <v>11</v>
      </c>
      <c r="F416" s="175">
        <v>702</v>
      </c>
      <c r="G416" s="407"/>
      <c r="H416" s="175">
        <v>702</v>
      </c>
      <c r="I416" s="175">
        <v>0</v>
      </c>
      <c r="J416" s="407"/>
      <c r="K416" s="175">
        <v>0</v>
      </c>
      <c r="L416" s="175">
        <v>281</v>
      </c>
      <c r="M416" s="407"/>
      <c r="N416" s="175">
        <v>281</v>
      </c>
    </row>
    <row r="417" spans="1:14" x14ac:dyDescent="0.3">
      <c r="A417" s="8"/>
      <c r="B417" s="8"/>
      <c r="C417" s="7" t="s">
        <v>608</v>
      </c>
      <c r="D417" s="7"/>
      <c r="E417" s="6" t="s">
        <v>546</v>
      </c>
      <c r="F417" s="5">
        <f>F418</f>
        <v>556.79999999999995</v>
      </c>
      <c r="G417" s="425"/>
      <c r="H417" s="5">
        <f>H418</f>
        <v>556.79999999999995</v>
      </c>
      <c r="I417" s="5">
        <f>I418</f>
        <v>0</v>
      </c>
      <c r="J417" s="425"/>
      <c r="K417" s="5">
        <f>K418</f>
        <v>0</v>
      </c>
      <c r="L417" s="5">
        <f>L418</f>
        <v>556.79999999999995</v>
      </c>
      <c r="M417" s="425"/>
      <c r="N417" s="5">
        <f>N418</f>
        <v>556.79999999999995</v>
      </c>
    </row>
    <row r="418" spans="1:14" ht="26.4" x14ac:dyDescent="0.3">
      <c r="A418" s="8"/>
      <c r="B418" s="8"/>
      <c r="C418" s="83"/>
      <c r="D418" s="7" t="s">
        <v>57</v>
      </c>
      <c r="E418" s="10" t="s">
        <v>56</v>
      </c>
      <c r="F418" s="175">
        <v>556.79999999999995</v>
      </c>
      <c r="G418" s="407"/>
      <c r="H418" s="175">
        <v>556.79999999999995</v>
      </c>
      <c r="I418" s="175">
        <v>0</v>
      </c>
      <c r="J418" s="407"/>
      <c r="K418" s="175">
        <v>0</v>
      </c>
      <c r="L418" s="175">
        <v>556.79999999999995</v>
      </c>
      <c r="M418" s="407"/>
      <c r="N418" s="175">
        <v>556.79999999999995</v>
      </c>
    </row>
    <row r="419" spans="1:14" ht="53.4" x14ac:dyDescent="0.3">
      <c r="A419" s="54"/>
      <c r="B419" s="54"/>
      <c r="C419" s="7" t="s">
        <v>551</v>
      </c>
      <c r="D419" s="7"/>
      <c r="E419" s="6" t="s">
        <v>552</v>
      </c>
      <c r="F419" s="9">
        <v>0</v>
      </c>
      <c r="G419" s="412"/>
      <c r="H419" s="9">
        <v>0</v>
      </c>
      <c r="I419" s="9">
        <v>0</v>
      </c>
      <c r="J419" s="412"/>
      <c r="K419" s="9">
        <v>0</v>
      </c>
      <c r="L419" s="9">
        <v>0</v>
      </c>
      <c r="M419" s="412"/>
      <c r="N419" s="9">
        <v>0</v>
      </c>
    </row>
    <row r="420" spans="1:14" x14ac:dyDescent="0.3">
      <c r="A420" s="54"/>
      <c r="B420" s="54"/>
      <c r="C420" s="83"/>
      <c r="D420" s="7" t="s">
        <v>12</v>
      </c>
      <c r="E420" s="6" t="s">
        <v>11</v>
      </c>
      <c r="F420" s="9">
        <v>0</v>
      </c>
      <c r="G420" s="412"/>
      <c r="H420" s="9">
        <v>0</v>
      </c>
      <c r="I420" s="9">
        <v>0</v>
      </c>
      <c r="J420" s="412"/>
      <c r="K420" s="9">
        <v>0</v>
      </c>
      <c r="L420" s="9">
        <v>0</v>
      </c>
      <c r="M420" s="412"/>
      <c r="N420" s="9">
        <v>0</v>
      </c>
    </row>
    <row r="421" spans="1:14" x14ac:dyDescent="0.3">
      <c r="A421" s="54"/>
      <c r="B421" s="54"/>
      <c r="C421" s="83"/>
      <c r="D421" s="7"/>
      <c r="E421" s="6" t="s">
        <v>69</v>
      </c>
      <c r="F421" s="9">
        <v>0</v>
      </c>
      <c r="G421" s="412"/>
      <c r="H421" s="9">
        <v>0</v>
      </c>
      <c r="I421" s="9">
        <v>0</v>
      </c>
      <c r="J421" s="412"/>
      <c r="K421" s="9">
        <v>0</v>
      </c>
      <c r="L421" s="9">
        <v>0</v>
      </c>
      <c r="M421" s="412"/>
      <c r="N421" s="9">
        <v>0</v>
      </c>
    </row>
    <row r="422" spans="1:14" x14ac:dyDescent="0.3">
      <c r="A422" s="153"/>
      <c r="B422" s="153"/>
      <c r="C422" s="153" t="s">
        <v>291</v>
      </c>
      <c r="D422" s="153"/>
      <c r="E422" s="164" t="s">
        <v>290</v>
      </c>
      <c r="F422" s="155">
        <f t="shared" ref="F422:N423" si="64">F423</f>
        <v>26302.1</v>
      </c>
      <c r="G422" s="411"/>
      <c r="H422" s="155">
        <f t="shared" si="64"/>
        <v>26302.1</v>
      </c>
      <c r="I422" s="155">
        <f t="shared" si="64"/>
        <v>20920.8</v>
      </c>
      <c r="J422" s="411"/>
      <c r="K422" s="155">
        <f t="shared" si="64"/>
        <v>20920.8</v>
      </c>
      <c r="L422" s="155">
        <f t="shared" si="64"/>
        <v>26302.1</v>
      </c>
      <c r="M422" s="411"/>
      <c r="N422" s="155">
        <f t="shared" si="64"/>
        <v>26302.1</v>
      </c>
    </row>
    <row r="423" spans="1:14" x14ac:dyDescent="0.3">
      <c r="A423" s="8"/>
      <c r="B423" s="8"/>
      <c r="C423" s="7" t="s">
        <v>289</v>
      </c>
      <c r="D423" s="7"/>
      <c r="E423" s="95" t="s">
        <v>288</v>
      </c>
      <c r="F423" s="9">
        <f t="shared" si="64"/>
        <v>26302.1</v>
      </c>
      <c r="G423" s="412"/>
      <c r="H423" s="9">
        <f t="shared" si="64"/>
        <v>26302.1</v>
      </c>
      <c r="I423" s="9">
        <f t="shared" si="64"/>
        <v>20920.8</v>
      </c>
      <c r="J423" s="412"/>
      <c r="K423" s="9">
        <f t="shared" si="64"/>
        <v>20920.8</v>
      </c>
      <c r="L423" s="9">
        <f t="shared" si="64"/>
        <v>26302.1</v>
      </c>
      <c r="M423" s="412"/>
      <c r="N423" s="9">
        <f t="shared" si="64"/>
        <v>26302.1</v>
      </c>
    </row>
    <row r="424" spans="1:14" ht="26.4" x14ac:dyDescent="0.3">
      <c r="A424" s="8"/>
      <c r="B424" s="8"/>
      <c r="C424" s="7"/>
      <c r="D424" s="7" t="s">
        <v>57</v>
      </c>
      <c r="E424" s="10" t="s">
        <v>56</v>
      </c>
      <c r="F424" s="175">
        <v>26302.1</v>
      </c>
      <c r="G424" s="407"/>
      <c r="H424" s="175">
        <v>26302.1</v>
      </c>
      <c r="I424" s="175">
        <f>20806.8+114</f>
        <v>20920.8</v>
      </c>
      <c r="J424" s="407"/>
      <c r="K424" s="175">
        <f>20806.8+114</f>
        <v>20920.8</v>
      </c>
      <c r="L424" s="175">
        <f>26188.1+114</f>
        <v>26302.1</v>
      </c>
      <c r="M424" s="407"/>
      <c r="N424" s="175">
        <f>26188.1+114</f>
        <v>26302.1</v>
      </c>
    </row>
    <row r="425" spans="1:14" ht="26.4" x14ac:dyDescent="0.3">
      <c r="A425" s="53"/>
      <c r="B425" s="33"/>
      <c r="C425" s="34" t="s">
        <v>287</v>
      </c>
      <c r="D425" s="33"/>
      <c r="E425" s="32" t="s">
        <v>286</v>
      </c>
      <c r="F425" s="31">
        <f>F426+F432</f>
        <v>8028.7210099999993</v>
      </c>
      <c r="G425" s="423"/>
      <c r="H425" s="31">
        <f>H426+H432</f>
        <v>8028.7210099999993</v>
      </c>
      <c r="I425" s="31">
        <f>I426+I432</f>
        <v>8064.9380900000015</v>
      </c>
      <c r="J425" s="423"/>
      <c r="K425" s="31">
        <f>K426+K432</f>
        <v>8064.9380900000015</v>
      </c>
      <c r="L425" s="31">
        <f>L426+L432</f>
        <v>8127.3156800000006</v>
      </c>
      <c r="M425" s="423"/>
      <c r="N425" s="31">
        <f>N426+N432</f>
        <v>8127.3156800000006</v>
      </c>
    </row>
    <row r="426" spans="1:14" ht="27" x14ac:dyDescent="0.3">
      <c r="A426" s="168"/>
      <c r="B426" s="158"/>
      <c r="C426" s="205" t="s">
        <v>651</v>
      </c>
      <c r="D426" s="160"/>
      <c r="E426" s="208" t="s">
        <v>653</v>
      </c>
      <c r="F426" s="165">
        <f t="shared" ref="F426:N427" si="65">F427</f>
        <v>6029.2760399999997</v>
      </c>
      <c r="G426" s="406"/>
      <c r="H426" s="165">
        <f t="shared" si="65"/>
        <v>6029.2760399999997</v>
      </c>
      <c r="I426" s="165">
        <f t="shared" si="65"/>
        <v>5789.1429700000008</v>
      </c>
      <c r="J426" s="406"/>
      <c r="K426" s="165">
        <f t="shared" si="65"/>
        <v>5789.1429700000008</v>
      </c>
      <c r="L426" s="165">
        <f t="shared" si="65"/>
        <v>5854.0556400000005</v>
      </c>
      <c r="M426" s="406"/>
      <c r="N426" s="165">
        <f t="shared" si="65"/>
        <v>5854.0556400000005</v>
      </c>
    </row>
    <row r="427" spans="1:14" ht="27" x14ac:dyDescent="0.3">
      <c r="A427" s="20"/>
      <c r="B427" s="22"/>
      <c r="C427" s="207" t="s">
        <v>652</v>
      </c>
      <c r="D427" s="54"/>
      <c r="E427" s="6" t="s">
        <v>620</v>
      </c>
      <c r="F427" s="175">
        <f t="shared" si="65"/>
        <v>6029.2760399999997</v>
      </c>
      <c r="G427" s="407"/>
      <c r="H427" s="175">
        <f t="shared" si="65"/>
        <v>6029.2760399999997</v>
      </c>
      <c r="I427" s="175">
        <f t="shared" si="65"/>
        <v>5789.1429700000008</v>
      </c>
      <c r="J427" s="407"/>
      <c r="K427" s="175">
        <f t="shared" si="65"/>
        <v>5789.1429700000008</v>
      </c>
      <c r="L427" s="175">
        <f t="shared" si="65"/>
        <v>5854.0556400000005</v>
      </c>
      <c r="M427" s="407"/>
      <c r="N427" s="175">
        <f t="shared" si="65"/>
        <v>5854.0556400000005</v>
      </c>
    </row>
    <row r="428" spans="1:14" x14ac:dyDescent="0.3">
      <c r="A428" s="20"/>
      <c r="B428" s="22"/>
      <c r="C428" s="94"/>
      <c r="D428" s="7" t="s">
        <v>12</v>
      </c>
      <c r="E428" s="6" t="s">
        <v>11</v>
      </c>
      <c r="F428" s="175">
        <f>F429+F430+F431</f>
        <v>6029.2760399999997</v>
      </c>
      <c r="G428" s="407"/>
      <c r="H428" s="175">
        <f>H429+H430+H431</f>
        <v>6029.2760399999997</v>
      </c>
      <c r="I428" s="175">
        <f>I429+I430+I431</f>
        <v>5789.1429700000008</v>
      </c>
      <c r="J428" s="407"/>
      <c r="K428" s="175">
        <f>K429+K430+K431</f>
        <v>5789.1429700000008</v>
      </c>
      <c r="L428" s="175">
        <f>L429+L430+L431</f>
        <v>5854.0556400000005</v>
      </c>
      <c r="M428" s="407"/>
      <c r="N428" s="175">
        <f>N429+N430+N431</f>
        <v>5854.0556400000005</v>
      </c>
    </row>
    <row r="429" spans="1:14" x14ac:dyDescent="0.3">
      <c r="A429" s="20"/>
      <c r="B429" s="22"/>
      <c r="C429" s="94"/>
      <c r="D429" s="7"/>
      <c r="E429" s="6" t="s">
        <v>101</v>
      </c>
      <c r="F429" s="175">
        <v>5209.2945</v>
      </c>
      <c r="G429" s="407"/>
      <c r="H429" s="175">
        <v>5209.2945</v>
      </c>
      <c r="I429" s="175">
        <v>5001.81952</v>
      </c>
      <c r="J429" s="407"/>
      <c r="K429" s="175">
        <v>5001.81952</v>
      </c>
      <c r="L429" s="175">
        <v>5057.9040800000002</v>
      </c>
      <c r="M429" s="407"/>
      <c r="N429" s="175">
        <v>5057.9040800000002</v>
      </c>
    </row>
    <row r="430" spans="1:14" x14ac:dyDescent="0.3">
      <c r="A430" s="20"/>
      <c r="B430" s="22"/>
      <c r="C430" s="94"/>
      <c r="D430" s="7"/>
      <c r="E430" s="6" t="s">
        <v>100</v>
      </c>
      <c r="F430" s="175">
        <v>217.05394000000001</v>
      </c>
      <c r="G430" s="407"/>
      <c r="H430" s="175">
        <v>217.05394000000001</v>
      </c>
      <c r="I430" s="175">
        <v>208.40915000000001</v>
      </c>
      <c r="J430" s="407"/>
      <c r="K430" s="175">
        <v>208.40915000000001</v>
      </c>
      <c r="L430" s="175">
        <v>210.74600000000001</v>
      </c>
      <c r="M430" s="407"/>
      <c r="N430" s="175">
        <v>210.74600000000001</v>
      </c>
    </row>
    <row r="431" spans="1:14" x14ac:dyDescent="0.3">
      <c r="A431" s="20"/>
      <c r="B431" s="22"/>
      <c r="C431" s="94"/>
      <c r="D431" s="7"/>
      <c r="E431" s="6" t="s">
        <v>97</v>
      </c>
      <c r="F431" s="175">
        <v>602.92759999999998</v>
      </c>
      <c r="G431" s="407"/>
      <c r="H431" s="175">
        <v>602.92759999999998</v>
      </c>
      <c r="I431" s="175">
        <v>578.91430000000003</v>
      </c>
      <c r="J431" s="407"/>
      <c r="K431" s="175">
        <v>578.91430000000003</v>
      </c>
      <c r="L431" s="175">
        <v>585.40556000000004</v>
      </c>
      <c r="M431" s="407"/>
      <c r="N431" s="175">
        <v>585.40556000000004</v>
      </c>
    </row>
    <row r="432" spans="1:14" ht="27" x14ac:dyDescent="0.3">
      <c r="A432" s="153"/>
      <c r="B432" s="153"/>
      <c r="C432" s="153" t="s">
        <v>285</v>
      </c>
      <c r="D432" s="160"/>
      <c r="E432" s="154" t="s">
        <v>284</v>
      </c>
      <c r="F432" s="155">
        <f>F433</f>
        <v>1999.44497</v>
      </c>
      <c r="G432" s="411"/>
      <c r="H432" s="155">
        <f>H433</f>
        <v>1999.44497</v>
      </c>
      <c r="I432" s="155">
        <f>I433</f>
        <v>2275.7951200000002</v>
      </c>
      <c r="J432" s="411"/>
      <c r="K432" s="155">
        <f>K433</f>
        <v>2275.7951200000002</v>
      </c>
      <c r="L432" s="155">
        <f>L433</f>
        <v>2273.2600400000001</v>
      </c>
      <c r="M432" s="411"/>
      <c r="N432" s="155">
        <f>N433</f>
        <v>2273.2600400000001</v>
      </c>
    </row>
    <row r="433" spans="1:14" ht="26.4" x14ac:dyDescent="0.3">
      <c r="A433" s="8"/>
      <c r="B433" s="8"/>
      <c r="C433" s="94" t="s">
        <v>283</v>
      </c>
      <c r="D433" s="54"/>
      <c r="E433" s="10" t="s">
        <v>611</v>
      </c>
      <c r="F433" s="9">
        <f>F435+F436</f>
        <v>1999.44497</v>
      </c>
      <c r="G433" s="412"/>
      <c r="H433" s="9">
        <f>H435+H436</f>
        <v>1999.44497</v>
      </c>
      <c r="I433" s="9">
        <f>I435+I436</f>
        <v>2275.7951200000002</v>
      </c>
      <c r="J433" s="412"/>
      <c r="K433" s="9">
        <f>K435+K436</f>
        <v>2275.7951200000002</v>
      </c>
      <c r="L433" s="9">
        <f>L435+L436</f>
        <v>2273.2600400000001</v>
      </c>
      <c r="M433" s="412"/>
      <c r="N433" s="9">
        <f>N435+N436</f>
        <v>2273.2600400000001</v>
      </c>
    </row>
    <row r="434" spans="1:14" x14ac:dyDescent="0.3">
      <c r="A434" s="8"/>
      <c r="B434" s="8"/>
      <c r="C434" s="94"/>
      <c r="D434" s="7" t="s">
        <v>12</v>
      </c>
      <c r="E434" s="6" t="s">
        <v>11</v>
      </c>
      <c r="F434" s="9">
        <f>F435+F436</f>
        <v>1999.44497</v>
      </c>
      <c r="G434" s="412"/>
      <c r="H434" s="9">
        <f>H435+H436</f>
        <v>1999.44497</v>
      </c>
      <c r="I434" s="9">
        <f>I435+I436</f>
        <v>2275.7951200000002</v>
      </c>
      <c r="J434" s="412"/>
      <c r="K434" s="9">
        <f>K435+K436</f>
        <v>2275.7951200000002</v>
      </c>
      <c r="L434" s="9">
        <f>L435+L436</f>
        <v>2273.2600400000001</v>
      </c>
      <c r="M434" s="412"/>
      <c r="N434" s="9">
        <f>N435+N436</f>
        <v>2273.2600400000001</v>
      </c>
    </row>
    <row r="435" spans="1:14" x14ac:dyDescent="0.3">
      <c r="A435" s="8"/>
      <c r="B435" s="8"/>
      <c r="C435" s="94"/>
      <c r="D435" s="7"/>
      <c r="E435" s="6" t="s">
        <v>100</v>
      </c>
      <c r="F435" s="175">
        <v>1799.50047</v>
      </c>
      <c r="G435" s="407"/>
      <c r="H435" s="175">
        <v>1799.50047</v>
      </c>
      <c r="I435" s="175">
        <v>2048.2156100000002</v>
      </c>
      <c r="J435" s="407"/>
      <c r="K435" s="175">
        <v>2048.2156100000002</v>
      </c>
      <c r="L435" s="175">
        <v>2045.9340400000001</v>
      </c>
      <c r="M435" s="407"/>
      <c r="N435" s="175">
        <v>2045.9340400000001</v>
      </c>
    </row>
    <row r="436" spans="1:14" x14ac:dyDescent="0.3">
      <c r="A436" s="8"/>
      <c r="B436" s="8"/>
      <c r="C436" s="94"/>
      <c r="D436" s="7"/>
      <c r="E436" s="6" t="s">
        <v>97</v>
      </c>
      <c r="F436" s="175">
        <v>199.94450000000001</v>
      </c>
      <c r="G436" s="407"/>
      <c r="H436" s="175">
        <v>199.94450000000001</v>
      </c>
      <c r="I436" s="175">
        <v>227.57951</v>
      </c>
      <c r="J436" s="407"/>
      <c r="K436" s="175">
        <v>227.57951</v>
      </c>
      <c r="L436" s="175">
        <v>227.32599999999999</v>
      </c>
      <c r="M436" s="407"/>
      <c r="N436" s="175">
        <v>227.32599999999999</v>
      </c>
    </row>
    <row r="437" spans="1:14" x14ac:dyDescent="0.3">
      <c r="A437" s="25"/>
      <c r="B437" s="25"/>
      <c r="C437" s="17" t="s">
        <v>18</v>
      </c>
      <c r="D437" s="101"/>
      <c r="E437" s="16" t="s">
        <v>17</v>
      </c>
      <c r="F437" s="15">
        <f>F438</f>
        <v>143.30000000000001</v>
      </c>
      <c r="G437" s="432"/>
      <c r="H437" s="15">
        <f>H438</f>
        <v>143.30000000000001</v>
      </c>
      <c r="I437" s="15">
        <f t="shared" ref="I437:N439" si="66">I438</f>
        <v>0</v>
      </c>
      <c r="J437" s="432"/>
      <c r="K437" s="15">
        <f t="shared" si="66"/>
        <v>0</v>
      </c>
      <c r="L437" s="15">
        <f t="shared" si="66"/>
        <v>0</v>
      </c>
      <c r="M437" s="432"/>
      <c r="N437" s="15">
        <f t="shared" si="66"/>
        <v>0</v>
      </c>
    </row>
    <row r="438" spans="1:14" ht="27" x14ac:dyDescent="0.3">
      <c r="A438" s="238"/>
      <c r="B438" s="238"/>
      <c r="C438" s="238" t="s">
        <v>16</v>
      </c>
      <c r="D438" s="238"/>
      <c r="E438" s="239" t="s">
        <v>15</v>
      </c>
      <c r="F438" s="240">
        <f>F439</f>
        <v>143.30000000000001</v>
      </c>
      <c r="G438" s="428"/>
      <c r="H438" s="240">
        <f>H439</f>
        <v>143.30000000000001</v>
      </c>
      <c r="I438" s="240">
        <f t="shared" si="66"/>
        <v>0</v>
      </c>
      <c r="J438" s="428"/>
      <c r="K438" s="240">
        <f t="shared" si="66"/>
        <v>0</v>
      </c>
      <c r="L438" s="240">
        <f t="shared" si="66"/>
        <v>0</v>
      </c>
      <c r="M438" s="428"/>
      <c r="N438" s="240">
        <f t="shared" si="66"/>
        <v>0</v>
      </c>
    </row>
    <row r="439" spans="1:14" ht="27" x14ac:dyDescent="0.3">
      <c r="A439" s="228"/>
      <c r="B439" s="228"/>
      <c r="C439" s="73" t="s">
        <v>621</v>
      </c>
      <c r="D439" s="54"/>
      <c r="E439" s="110" t="s">
        <v>622</v>
      </c>
      <c r="F439" s="175">
        <f>F440</f>
        <v>143.30000000000001</v>
      </c>
      <c r="G439" s="407"/>
      <c r="H439" s="175">
        <f>H440</f>
        <v>143.30000000000001</v>
      </c>
      <c r="I439" s="175">
        <f t="shared" si="66"/>
        <v>0</v>
      </c>
      <c r="J439" s="407"/>
      <c r="K439" s="175">
        <f t="shared" si="66"/>
        <v>0</v>
      </c>
      <c r="L439" s="175">
        <f t="shared" si="66"/>
        <v>0</v>
      </c>
      <c r="M439" s="407"/>
      <c r="N439" s="175">
        <f t="shared" si="66"/>
        <v>0</v>
      </c>
    </row>
    <row r="440" spans="1:14" ht="27" x14ac:dyDescent="0.3">
      <c r="A440" s="228"/>
      <c r="B440" s="228"/>
      <c r="C440" s="22"/>
      <c r="D440" s="7" t="s">
        <v>57</v>
      </c>
      <c r="E440" s="6" t="s">
        <v>56</v>
      </c>
      <c r="F440" s="175">
        <f>143.4-0.1</f>
        <v>143.30000000000001</v>
      </c>
      <c r="G440" s="407"/>
      <c r="H440" s="175">
        <f>143.4-0.1</f>
        <v>143.30000000000001</v>
      </c>
      <c r="I440" s="248">
        <v>0</v>
      </c>
      <c r="J440" s="407"/>
      <c r="K440" s="248">
        <v>0</v>
      </c>
      <c r="L440" s="248">
        <v>0</v>
      </c>
      <c r="M440" s="407"/>
      <c r="N440" s="248">
        <v>0</v>
      </c>
    </row>
    <row r="441" spans="1:14" x14ac:dyDescent="0.3">
      <c r="A441" s="8"/>
      <c r="B441" s="22" t="s">
        <v>282</v>
      </c>
      <c r="C441" s="21"/>
      <c r="D441" s="20"/>
      <c r="E441" s="19" t="s">
        <v>281</v>
      </c>
      <c r="F441" s="26">
        <v>0</v>
      </c>
      <c r="G441" s="424"/>
      <c r="H441" s="26">
        <v>0</v>
      </c>
      <c r="I441" s="26">
        <v>0</v>
      </c>
      <c r="J441" s="424"/>
      <c r="K441" s="26">
        <v>0</v>
      </c>
      <c r="L441" s="26">
        <v>0</v>
      </c>
      <c r="M441" s="424"/>
      <c r="N441" s="26">
        <v>0</v>
      </c>
    </row>
    <row r="442" spans="1:14" x14ac:dyDescent="0.3">
      <c r="A442" s="8"/>
      <c r="B442" s="22" t="s">
        <v>280</v>
      </c>
      <c r="C442" s="21"/>
      <c r="D442" s="20"/>
      <c r="E442" s="19" t="s">
        <v>279</v>
      </c>
      <c r="F442" s="26">
        <v>0</v>
      </c>
      <c r="G442" s="424"/>
      <c r="H442" s="26">
        <v>0</v>
      </c>
      <c r="I442" s="26">
        <v>0</v>
      </c>
      <c r="J442" s="424"/>
      <c r="K442" s="26">
        <v>0</v>
      </c>
      <c r="L442" s="26">
        <v>0</v>
      </c>
      <c r="M442" s="424"/>
      <c r="N442" s="26">
        <v>0</v>
      </c>
    </row>
    <row r="443" spans="1:14" x14ac:dyDescent="0.3">
      <c r="A443" s="8"/>
      <c r="B443" s="22"/>
      <c r="C443" s="21" t="s">
        <v>36</v>
      </c>
      <c r="D443" s="20"/>
      <c r="E443" s="27" t="s">
        <v>35</v>
      </c>
      <c r="F443" s="26">
        <v>0</v>
      </c>
      <c r="G443" s="424"/>
      <c r="H443" s="26">
        <v>0</v>
      </c>
      <c r="I443" s="26">
        <v>0</v>
      </c>
      <c r="J443" s="424"/>
      <c r="K443" s="26">
        <v>0</v>
      </c>
      <c r="L443" s="26">
        <v>0</v>
      </c>
      <c r="M443" s="424"/>
      <c r="N443" s="26">
        <v>0</v>
      </c>
    </row>
    <row r="444" spans="1:14" ht="26.4" x14ac:dyDescent="0.3">
      <c r="A444" s="93"/>
      <c r="B444" s="33"/>
      <c r="C444" s="34" t="s">
        <v>278</v>
      </c>
      <c r="D444" s="33"/>
      <c r="E444" s="32" t="s">
        <v>277</v>
      </c>
      <c r="F444" s="92">
        <v>0</v>
      </c>
      <c r="G444" s="435"/>
      <c r="H444" s="92">
        <v>0</v>
      </c>
      <c r="I444" s="92">
        <v>0</v>
      </c>
      <c r="J444" s="435"/>
      <c r="K444" s="92">
        <v>0</v>
      </c>
      <c r="L444" s="92">
        <v>0</v>
      </c>
      <c r="M444" s="435"/>
      <c r="N444" s="92">
        <v>0</v>
      </c>
    </row>
    <row r="445" spans="1:14" ht="26.4" x14ac:dyDescent="0.3">
      <c r="A445" s="91"/>
      <c r="B445" s="67"/>
      <c r="C445" s="68" t="s">
        <v>276</v>
      </c>
      <c r="D445" s="67"/>
      <c r="E445" s="90" t="s">
        <v>275</v>
      </c>
      <c r="F445" s="89">
        <v>0</v>
      </c>
      <c r="G445" s="436"/>
      <c r="H445" s="89">
        <v>0</v>
      </c>
      <c r="I445" s="89">
        <v>0</v>
      </c>
      <c r="J445" s="436"/>
      <c r="K445" s="89">
        <v>0</v>
      </c>
      <c r="L445" s="89">
        <v>0</v>
      </c>
      <c r="M445" s="436"/>
      <c r="N445" s="89">
        <v>0</v>
      </c>
    </row>
    <row r="446" spans="1:14" x14ac:dyDescent="0.3">
      <c r="A446" s="8"/>
      <c r="B446" s="22"/>
      <c r="C446" s="21" t="s">
        <v>274</v>
      </c>
      <c r="D446" s="22"/>
      <c r="E446" s="88" t="s">
        <v>273</v>
      </c>
      <c r="F446" s="26">
        <v>0</v>
      </c>
      <c r="G446" s="424"/>
      <c r="H446" s="26">
        <v>0</v>
      </c>
      <c r="I446" s="26">
        <v>0</v>
      </c>
      <c r="J446" s="424"/>
      <c r="K446" s="26">
        <v>0</v>
      </c>
      <c r="L446" s="26">
        <v>0</v>
      </c>
      <c r="M446" s="424"/>
      <c r="N446" s="26">
        <v>0</v>
      </c>
    </row>
    <row r="447" spans="1:14" ht="26.4" x14ac:dyDescent="0.3">
      <c r="A447" s="8"/>
      <c r="B447" s="54"/>
      <c r="C447" s="87" t="s">
        <v>272</v>
      </c>
      <c r="D447" s="22"/>
      <c r="E447" s="10" t="s">
        <v>271</v>
      </c>
      <c r="F447" s="9">
        <v>0</v>
      </c>
      <c r="G447" s="412"/>
      <c r="H447" s="9">
        <v>0</v>
      </c>
      <c r="I447" s="9">
        <v>0</v>
      </c>
      <c r="J447" s="412"/>
      <c r="K447" s="9">
        <v>0</v>
      </c>
      <c r="L447" s="9">
        <v>0</v>
      </c>
      <c r="M447" s="412"/>
      <c r="N447" s="9">
        <v>0</v>
      </c>
    </row>
    <row r="448" spans="1:14" x14ac:dyDescent="0.3">
      <c r="A448" s="8"/>
      <c r="B448" s="22"/>
      <c r="C448" s="56"/>
      <c r="D448" s="7" t="s">
        <v>12</v>
      </c>
      <c r="E448" s="6" t="s">
        <v>11</v>
      </c>
      <c r="F448" s="9">
        <v>0</v>
      </c>
      <c r="G448" s="412"/>
      <c r="H448" s="9">
        <v>0</v>
      </c>
      <c r="I448" s="9">
        <v>0</v>
      </c>
      <c r="J448" s="412"/>
      <c r="K448" s="9">
        <v>0</v>
      </c>
      <c r="L448" s="9">
        <v>0</v>
      </c>
      <c r="M448" s="412"/>
      <c r="N448" s="9">
        <v>0</v>
      </c>
    </row>
    <row r="449" spans="1:14" s="23" customFormat="1" ht="15" customHeight="1" x14ac:dyDescent="0.3">
      <c r="A449" s="86"/>
      <c r="B449" s="86"/>
      <c r="C449" s="7" t="s">
        <v>547</v>
      </c>
      <c r="D449" s="7"/>
      <c r="E449" s="6" t="s">
        <v>548</v>
      </c>
      <c r="F449" s="9">
        <v>0</v>
      </c>
      <c r="G449" s="412"/>
      <c r="H449" s="9">
        <v>0</v>
      </c>
      <c r="I449" s="9">
        <v>0</v>
      </c>
      <c r="J449" s="412"/>
      <c r="K449" s="9">
        <v>0</v>
      </c>
      <c r="L449" s="9">
        <v>0</v>
      </c>
      <c r="M449" s="412"/>
      <c r="N449" s="9">
        <v>0</v>
      </c>
    </row>
    <row r="450" spans="1:14" s="23" customFormat="1" x14ac:dyDescent="0.3">
      <c r="A450" s="86"/>
      <c r="B450" s="86"/>
      <c r="C450" s="54"/>
      <c r="D450" s="7" t="s">
        <v>12</v>
      </c>
      <c r="E450" s="6" t="s">
        <v>11</v>
      </c>
      <c r="F450" s="9">
        <v>0</v>
      </c>
      <c r="G450" s="412"/>
      <c r="H450" s="9">
        <v>0</v>
      </c>
      <c r="I450" s="9">
        <v>0</v>
      </c>
      <c r="J450" s="412"/>
      <c r="K450" s="9">
        <v>0</v>
      </c>
      <c r="L450" s="9">
        <v>0</v>
      </c>
      <c r="M450" s="412"/>
      <c r="N450" s="9">
        <v>0</v>
      </c>
    </row>
    <row r="451" spans="1:14" x14ac:dyDescent="0.3">
      <c r="A451" s="84"/>
      <c r="B451" s="62" t="s">
        <v>121</v>
      </c>
      <c r="C451" s="62"/>
      <c r="D451" s="83"/>
      <c r="E451" s="82" t="s">
        <v>120</v>
      </c>
      <c r="F451" s="81">
        <f t="shared" ref="F451:N454" si="67">F452</f>
        <v>22202.25662</v>
      </c>
      <c r="G451" s="422"/>
      <c r="H451" s="81">
        <f t="shared" si="67"/>
        <v>22202.25662</v>
      </c>
      <c r="I451" s="81">
        <f t="shared" si="67"/>
        <v>0</v>
      </c>
      <c r="J451" s="422"/>
      <c r="K451" s="81">
        <f t="shared" si="67"/>
        <v>0</v>
      </c>
      <c r="L451" s="81">
        <f t="shared" si="67"/>
        <v>0</v>
      </c>
      <c r="M451" s="422"/>
      <c r="N451" s="81">
        <f t="shared" si="67"/>
        <v>0</v>
      </c>
    </row>
    <row r="452" spans="1:14" x14ac:dyDescent="0.3">
      <c r="A452" s="84"/>
      <c r="B452" s="62" t="s">
        <v>119</v>
      </c>
      <c r="C452" s="62"/>
      <c r="D452" s="83"/>
      <c r="E452" s="82" t="s">
        <v>118</v>
      </c>
      <c r="F452" s="81">
        <f t="shared" si="67"/>
        <v>22202.25662</v>
      </c>
      <c r="G452" s="422"/>
      <c r="H452" s="81">
        <f t="shared" si="67"/>
        <v>22202.25662</v>
      </c>
      <c r="I452" s="81">
        <f t="shared" si="67"/>
        <v>0</v>
      </c>
      <c r="J452" s="422"/>
      <c r="K452" s="81">
        <f t="shared" si="67"/>
        <v>0</v>
      </c>
      <c r="L452" s="81">
        <f t="shared" si="67"/>
        <v>0</v>
      </c>
      <c r="M452" s="422"/>
      <c r="N452" s="81">
        <f t="shared" si="67"/>
        <v>0</v>
      </c>
    </row>
    <row r="453" spans="1:14" x14ac:dyDescent="0.3">
      <c r="A453" s="20"/>
      <c r="B453" s="22"/>
      <c r="C453" s="21" t="s">
        <v>36</v>
      </c>
      <c r="D453" s="22"/>
      <c r="E453" s="27" t="s">
        <v>35</v>
      </c>
      <c r="F453" s="26">
        <f t="shared" si="67"/>
        <v>22202.25662</v>
      </c>
      <c r="G453" s="424"/>
      <c r="H453" s="26">
        <f t="shared" si="67"/>
        <v>22202.25662</v>
      </c>
      <c r="I453" s="26">
        <f t="shared" si="67"/>
        <v>0</v>
      </c>
      <c r="J453" s="424"/>
      <c r="K453" s="26">
        <f t="shared" si="67"/>
        <v>0</v>
      </c>
      <c r="L453" s="26">
        <f t="shared" si="67"/>
        <v>0</v>
      </c>
      <c r="M453" s="424"/>
      <c r="N453" s="26">
        <f t="shared" si="67"/>
        <v>0</v>
      </c>
    </row>
    <row r="454" spans="1:14" ht="26.4" x14ac:dyDescent="0.3">
      <c r="A454" s="53"/>
      <c r="B454" s="33"/>
      <c r="C454" s="34" t="s">
        <v>270</v>
      </c>
      <c r="D454" s="33"/>
      <c r="E454" s="32" t="s">
        <v>269</v>
      </c>
      <c r="F454" s="31">
        <f t="shared" si="67"/>
        <v>22202.25662</v>
      </c>
      <c r="G454" s="423"/>
      <c r="H454" s="31">
        <f t="shared" si="67"/>
        <v>22202.25662</v>
      </c>
      <c r="I454" s="31">
        <f t="shared" si="67"/>
        <v>0</v>
      </c>
      <c r="J454" s="423"/>
      <c r="K454" s="31">
        <f t="shared" si="67"/>
        <v>0</v>
      </c>
      <c r="L454" s="31">
        <f t="shared" si="67"/>
        <v>0</v>
      </c>
      <c r="M454" s="423"/>
      <c r="N454" s="31">
        <f t="shared" si="67"/>
        <v>0</v>
      </c>
    </row>
    <row r="455" spans="1:14" ht="27" x14ac:dyDescent="0.3">
      <c r="A455" s="30"/>
      <c r="B455" s="30"/>
      <c r="C455" s="30" t="s">
        <v>268</v>
      </c>
      <c r="D455" s="30"/>
      <c r="E455" s="79" t="s">
        <v>92</v>
      </c>
      <c r="F455" s="28">
        <f t="shared" ref="F455:N457" si="68">F456</f>
        <v>22202.25662</v>
      </c>
      <c r="G455" s="410"/>
      <c r="H455" s="28">
        <f t="shared" si="68"/>
        <v>22202.25662</v>
      </c>
      <c r="I455" s="28">
        <f t="shared" si="68"/>
        <v>0</v>
      </c>
      <c r="J455" s="410"/>
      <c r="K455" s="28">
        <f t="shared" si="68"/>
        <v>0</v>
      </c>
      <c r="L455" s="28">
        <f t="shared" si="68"/>
        <v>0</v>
      </c>
      <c r="M455" s="410"/>
      <c r="N455" s="28">
        <f t="shared" si="68"/>
        <v>0</v>
      </c>
    </row>
    <row r="456" spans="1:14" x14ac:dyDescent="0.3">
      <c r="A456" s="153"/>
      <c r="B456" s="153"/>
      <c r="C456" s="205" t="s">
        <v>654</v>
      </c>
      <c r="D456" s="205"/>
      <c r="E456" s="208" t="s">
        <v>655</v>
      </c>
      <c r="F456" s="155">
        <f>F457+F462</f>
        <v>22202.25662</v>
      </c>
      <c r="G456" s="411"/>
      <c r="H456" s="155">
        <f>H457+H462</f>
        <v>22202.25662</v>
      </c>
      <c r="I456" s="155">
        <f t="shared" si="68"/>
        <v>0</v>
      </c>
      <c r="J456" s="411"/>
      <c r="K456" s="155">
        <f t="shared" si="68"/>
        <v>0</v>
      </c>
      <c r="L456" s="155">
        <f t="shared" si="68"/>
        <v>0</v>
      </c>
      <c r="M456" s="411"/>
      <c r="N456" s="155">
        <f t="shared" si="68"/>
        <v>0</v>
      </c>
    </row>
    <row r="457" spans="1:14" s="23" customFormat="1" ht="27" x14ac:dyDescent="0.3">
      <c r="A457" s="60"/>
      <c r="B457" s="60"/>
      <c r="C457" s="36" t="s">
        <v>656</v>
      </c>
      <c r="D457" s="22"/>
      <c r="E457" s="11" t="s">
        <v>757</v>
      </c>
      <c r="F457" s="9">
        <f t="shared" si="68"/>
        <v>16825.58455</v>
      </c>
      <c r="G457" s="412"/>
      <c r="H457" s="9">
        <f t="shared" si="68"/>
        <v>16825.58455</v>
      </c>
      <c r="I457" s="9">
        <f t="shared" si="68"/>
        <v>0</v>
      </c>
      <c r="J457" s="412"/>
      <c r="K457" s="9">
        <f t="shared" si="68"/>
        <v>0</v>
      </c>
      <c r="L457" s="9">
        <f t="shared" si="68"/>
        <v>0</v>
      </c>
      <c r="M457" s="412"/>
      <c r="N457" s="9">
        <f t="shared" si="68"/>
        <v>0</v>
      </c>
    </row>
    <row r="458" spans="1:14" x14ac:dyDescent="0.3">
      <c r="A458" s="80"/>
      <c r="B458" s="80"/>
      <c r="C458" s="60"/>
      <c r="D458" s="80"/>
      <c r="E458" s="78" t="s">
        <v>267</v>
      </c>
      <c r="F458" s="5">
        <f>F459</f>
        <v>16825.58455</v>
      </c>
      <c r="G458" s="425"/>
      <c r="H458" s="5">
        <f>H459</f>
        <v>16825.58455</v>
      </c>
      <c r="I458" s="5">
        <v>0</v>
      </c>
      <c r="J458" s="425"/>
      <c r="K458" s="5">
        <v>0</v>
      </c>
      <c r="L458" s="5">
        <v>0</v>
      </c>
      <c r="M458" s="425"/>
      <c r="N458" s="5">
        <v>0</v>
      </c>
    </row>
    <row r="459" spans="1:14" ht="27" x14ac:dyDescent="0.3">
      <c r="A459" s="80"/>
      <c r="B459" s="80"/>
      <c r="C459" s="80"/>
      <c r="D459" s="73" t="s">
        <v>248</v>
      </c>
      <c r="E459" s="6" t="s">
        <v>247</v>
      </c>
      <c r="F459" s="5">
        <f>F460+F461</f>
        <v>16825.58455</v>
      </c>
      <c r="G459" s="425"/>
      <c r="H459" s="5">
        <f>H460+H461</f>
        <v>16825.58455</v>
      </c>
      <c r="I459" s="5">
        <v>0</v>
      </c>
      <c r="J459" s="425"/>
      <c r="K459" s="5">
        <v>0</v>
      </c>
      <c r="L459" s="5">
        <v>0</v>
      </c>
      <c r="M459" s="425"/>
      <c r="N459" s="5">
        <v>0</v>
      </c>
    </row>
    <row r="460" spans="1:14" x14ac:dyDescent="0.3">
      <c r="A460" s="80"/>
      <c r="B460" s="80"/>
      <c r="C460" s="80"/>
      <c r="D460" s="73"/>
      <c r="E460" s="6" t="s">
        <v>149</v>
      </c>
      <c r="F460" s="248">
        <v>16808.758959999999</v>
      </c>
      <c r="G460" s="407"/>
      <c r="H460" s="248">
        <v>16808.758959999999</v>
      </c>
      <c r="I460" s="5">
        <v>0</v>
      </c>
      <c r="J460" s="425"/>
      <c r="K460" s="5">
        <v>0</v>
      </c>
      <c r="L460" s="5">
        <v>0</v>
      </c>
      <c r="M460" s="425"/>
      <c r="N460" s="5">
        <v>0</v>
      </c>
    </row>
    <row r="461" spans="1:14" x14ac:dyDescent="0.3">
      <c r="A461" s="80"/>
      <c r="B461" s="80"/>
      <c r="C461" s="80"/>
      <c r="D461" s="73"/>
      <c r="E461" s="6" t="s">
        <v>148</v>
      </c>
      <c r="F461" s="58">
        <v>16.825589999999998</v>
      </c>
      <c r="G461" s="437"/>
      <c r="H461" s="58">
        <v>16.825589999999998</v>
      </c>
      <c r="I461" s="5">
        <v>0</v>
      </c>
      <c r="J461" s="425"/>
      <c r="K461" s="5">
        <v>0</v>
      </c>
      <c r="L461" s="5">
        <v>0</v>
      </c>
      <c r="M461" s="425"/>
      <c r="N461" s="5">
        <v>0</v>
      </c>
    </row>
    <row r="462" spans="1:14" ht="27" x14ac:dyDescent="0.3">
      <c r="A462" s="8"/>
      <c r="B462" s="8"/>
      <c r="C462" s="36" t="s">
        <v>686</v>
      </c>
      <c r="D462" s="22"/>
      <c r="E462" s="11" t="s">
        <v>722</v>
      </c>
      <c r="F462" s="58">
        <f>F464</f>
        <v>5376.6720700000005</v>
      </c>
      <c r="G462" s="437"/>
      <c r="H462" s="58">
        <f>H464</f>
        <v>5376.6720700000005</v>
      </c>
      <c r="I462" s="58">
        <v>0</v>
      </c>
      <c r="J462" s="437"/>
      <c r="K462" s="58">
        <v>0</v>
      </c>
      <c r="L462" s="58">
        <v>0</v>
      </c>
      <c r="M462" s="437"/>
      <c r="N462" s="58">
        <v>0</v>
      </c>
    </row>
    <row r="463" spans="1:14" x14ac:dyDescent="0.3">
      <c r="A463" s="228"/>
      <c r="B463" s="228"/>
      <c r="C463" s="236"/>
      <c r="D463" s="231"/>
      <c r="E463" s="132" t="s">
        <v>677</v>
      </c>
      <c r="F463" s="235">
        <f>F464</f>
        <v>5376.6720700000005</v>
      </c>
      <c r="G463" s="437"/>
      <c r="H463" s="235">
        <f>H464</f>
        <v>5376.6720700000005</v>
      </c>
      <c r="I463" s="235"/>
      <c r="J463" s="437"/>
      <c r="K463" s="235"/>
      <c r="L463" s="235"/>
      <c r="M463" s="437"/>
      <c r="N463" s="235"/>
    </row>
    <row r="464" spans="1:14" x14ac:dyDescent="0.3">
      <c r="A464" s="8"/>
      <c r="B464" s="8"/>
      <c r="C464" s="22"/>
      <c r="D464" s="7" t="s">
        <v>12</v>
      </c>
      <c r="E464" s="6" t="s">
        <v>11</v>
      </c>
      <c r="F464" s="58">
        <f>F465+F466</f>
        <v>5376.6720700000005</v>
      </c>
      <c r="G464" s="437"/>
      <c r="H464" s="58">
        <f>H465+H466</f>
        <v>5376.6720700000005</v>
      </c>
      <c r="I464" s="58">
        <v>0</v>
      </c>
      <c r="J464" s="437"/>
      <c r="K464" s="58">
        <v>0</v>
      </c>
      <c r="L464" s="58">
        <v>0</v>
      </c>
      <c r="M464" s="437"/>
      <c r="N464" s="58">
        <v>0</v>
      </c>
    </row>
    <row r="465" spans="1:14" x14ac:dyDescent="0.3">
      <c r="A465" s="228"/>
      <c r="B465" s="228"/>
      <c r="C465" s="231"/>
      <c r="D465" s="234"/>
      <c r="E465" s="6" t="s">
        <v>100</v>
      </c>
      <c r="F465" s="235">
        <v>4000</v>
      </c>
      <c r="G465" s="437"/>
      <c r="H465" s="235">
        <v>4000</v>
      </c>
      <c r="I465" s="235"/>
      <c r="J465" s="437"/>
      <c r="K465" s="235"/>
      <c r="L465" s="235"/>
      <c r="M465" s="437"/>
      <c r="N465" s="235"/>
    </row>
    <row r="466" spans="1:14" x14ac:dyDescent="0.3">
      <c r="A466" s="8"/>
      <c r="B466" s="8"/>
      <c r="C466" s="22"/>
      <c r="D466" s="54"/>
      <c r="E466" s="6" t="s">
        <v>97</v>
      </c>
      <c r="F466" s="58">
        <v>1376.6720700000001</v>
      </c>
      <c r="G466" s="437"/>
      <c r="H466" s="58">
        <v>1376.6720700000001</v>
      </c>
      <c r="I466" s="58">
        <v>0</v>
      </c>
      <c r="J466" s="437"/>
      <c r="K466" s="58">
        <v>0</v>
      </c>
      <c r="L466" s="58">
        <v>0</v>
      </c>
      <c r="M466" s="437"/>
      <c r="N466" s="58">
        <v>0</v>
      </c>
    </row>
    <row r="467" spans="1:14" x14ac:dyDescent="0.3">
      <c r="A467" s="20"/>
      <c r="B467" s="22">
        <v>1000</v>
      </c>
      <c r="C467" s="21"/>
      <c r="D467" s="20"/>
      <c r="E467" s="19" t="s">
        <v>81</v>
      </c>
      <c r="F467" s="26">
        <f t="shared" ref="F467:L467" si="69">F468+F475+F499+F513</f>
        <v>41719.248870000003</v>
      </c>
      <c r="G467" s="424"/>
      <c r="H467" s="26">
        <f>H468+H475+H499+H513</f>
        <v>41719.248870000003</v>
      </c>
      <c r="I467" s="26">
        <f t="shared" si="69"/>
        <v>40576.323819999998</v>
      </c>
      <c r="J467" s="424"/>
      <c r="K467" s="26">
        <f>K468+K475+K499+K513</f>
        <v>40576.323819999998</v>
      </c>
      <c r="L467" s="26">
        <f t="shared" si="69"/>
        <v>11229.64659</v>
      </c>
      <c r="M467" s="424"/>
      <c r="N467" s="26">
        <f>N468+N475+N499+N513</f>
        <v>11229.64659</v>
      </c>
    </row>
    <row r="468" spans="1:14" x14ac:dyDescent="0.3">
      <c r="A468" s="20"/>
      <c r="B468" s="22" t="s">
        <v>266</v>
      </c>
      <c r="C468" s="21"/>
      <c r="D468" s="20"/>
      <c r="E468" s="27" t="s">
        <v>265</v>
      </c>
      <c r="F468" s="26">
        <f t="shared" ref="F468:N473" si="70">F469</f>
        <v>9491</v>
      </c>
      <c r="G468" s="424"/>
      <c r="H468" s="26">
        <f t="shared" si="70"/>
        <v>9491</v>
      </c>
      <c r="I468" s="26">
        <f t="shared" si="70"/>
        <v>9679.6</v>
      </c>
      <c r="J468" s="424"/>
      <c r="K468" s="26">
        <f t="shared" si="70"/>
        <v>9679.6</v>
      </c>
      <c r="L468" s="26">
        <f t="shared" si="70"/>
        <v>9679.6</v>
      </c>
      <c r="M468" s="424"/>
      <c r="N468" s="26">
        <f t="shared" si="70"/>
        <v>9679.6</v>
      </c>
    </row>
    <row r="469" spans="1:14" x14ac:dyDescent="0.3">
      <c r="A469" s="20"/>
      <c r="B469" s="22"/>
      <c r="C469" s="21" t="s">
        <v>36</v>
      </c>
      <c r="D469" s="22"/>
      <c r="E469" s="27" t="s">
        <v>35</v>
      </c>
      <c r="F469" s="26">
        <f t="shared" si="70"/>
        <v>9491</v>
      </c>
      <c r="G469" s="424"/>
      <c r="H469" s="26">
        <f t="shared" si="70"/>
        <v>9491</v>
      </c>
      <c r="I469" s="26">
        <f t="shared" si="70"/>
        <v>9679.6</v>
      </c>
      <c r="J469" s="424"/>
      <c r="K469" s="26">
        <f t="shared" si="70"/>
        <v>9679.6</v>
      </c>
      <c r="L469" s="26">
        <f t="shared" si="70"/>
        <v>9679.6</v>
      </c>
      <c r="M469" s="424"/>
      <c r="N469" s="26">
        <f t="shared" si="70"/>
        <v>9679.6</v>
      </c>
    </row>
    <row r="470" spans="1:14" ht="26.4" x14ac:dyDescent="0.3">
      <c r="A470" s="53"/>
      <c r="B470" s="33"/>
      <c r="C470" s="34" t="s">
        <v>34</v>
      </c>
      <c r="D470" s="33"/>
      <c r="E470" s="32" t="s">
        <v>33</v>
      </c>
      <c r="F470" s="31">
        <f t="shared" si="70"/>
        <v>9491</v>
      </c>
      <c r="G470" s="423"/>
      <c r="H470" s="31">
        <f t="shared" si="70"/>
        <v>9491</v>
      </c>
      <c r="I470" s="31">
        <f t="shared" si="70"/>
        <v>9679.6</v>
      </c>
      <c r="J470" s="423"/>
      <c r="K470" s="31">
        <f t="shared" si="70"/>
        <v>9679.6</v>
      </c>
      <c r="L470" s="31">
        <f t="shared" si="70"/>
        <v>9679.6</v>
      </c>
      <c r="M470" s="423"/>
      <c r="N470" s="31">
        <f t="shared" si="70"/>
        <v>9679.6</v>
      </c>
    </row>
    <row r="471" spans="1:14" ht="27" x14ac:dyDescent="0.3">
      <c r="A471" s="30"/>
      <c r="B471" s="30"/>
      <c r="C471" s="30" t="s">
        <v>32</v>
      </c>
      <c r="D471" s="30"/>
      <c r="E471" s="79" t="s">
        <v>31</v>
      </c>
      <c r="F471" s="28">
        <f t="shared" si="70"/>
        <v>9491</v>
      </c>
      <c r="G471" s="410"/>
      <c r="H471" s="28">
        <f t="shared" si="70"/>
        <v>9491</v>
      </c>
      <c r="I471" s="28">
        <f t="shared" si="70"/>
        <v>9679.6</v>
      </c>
      <c r="J471" s="410"/>
      <c r="K471" s="28">
        <f t="shared" si="70"/>
        <v>9679.6</v>
      </c>
      <c r="L471" s="28">
        <f t="shared" si="70"/>
        <v>9679.6</v>
      </c>
      <c r="M471" s="410"/>
      <c r="N471" s="28">
        <f t="shared" si="70"/>
        <v>9679.6</v>
      </c>
    </row>
    <row r="472" spans="1:14" ht="40.200000000000003" x14ac:dyDescent="0.3">
      <c r="A472" s="153"/>
      <c r="B472" s="153"/>
      <c r="C472" s="153" t="s">
        <v>30</v>
      </c>
      <c r="D472" s="153"/>
      <c r="E472" s="154" t="s">
        <v>29</v>
      </c>
      <c r="F472" s="155">
        <f t="shared" si="70"/>
        <v>9491</v>
      </c>
      <c r="G472" s="411"/>
      <c r="H472" s="155">
        <f t="shared" si="70"/>
        <v>9491</v>
      </c>
      <c r="I472" s="155">
        <f t="shared" si="70"/>
        <v>9679.6</v>
      </c>
      <c r="J472" s="411"/>
      <c r="K472" s="155">
        <f t="shared" si="70"/>
        <v>9679.6</v>
      </c>
      <c r="L472" s="155">
        <f t="shared" si="70"/>
        <v>9679.6</v>
      </c>
      <c r="M472" s="411"/>
      <c r="N472" s="155">
        <f t="shared" si="70"/>
        <v>9679.6</v>
      </c>
    </row>
    <row r="473" spans="1:14" ht="27" x14ac:dyDescent="0.3">
      <c r="A473" s="8"/>
      <c r="B473" s="8"/>
      <c r="C473" s="7" t="s">
        <v>264</v>
      </c>
      <c r="D473" s="7"/>
      <c r="E473" s="63" t="s">
        <v>263</v>
      </c>
      <c r="F473" s="9">
        <f t="shared" si="70"/>
        <v>9491</v>
      </c>
      <c r="G473" s="412"/>
      <c r="H473" s="9">
        <f t="shared" si="70"/>
        <v>9491</v>
      </c>
      <c r="I473" s="9">
        <f t="shared" si="70"/>
        <v>9679.6</v>
      </c>
      <c r="J473" s="412"/>
      <c r="K473" s="9">
        <f t="shared" si="70"/>
        <v>9679.6</v>
      </c>
      <c r="L473" s="9">
        <f t="shared" si="70"/>
        <v>9679.6</v>
      </c>
      <c r="M473" s="412"/>
      <c r="N473" s="9">
        <f t="shared" si="70"/>
        <v>9679.6</v>
      </c>
    </row>
    <row r="474" spans="1:14" x14ac:dyDescent="0.3">
      <c r="A474" s="8"/>
      <c r="B474" s="8"/>
      <c r="C474" s="7"/>
      <c r="D474" s="7" t="s">
        <v>71</v>
      </c>
      <c r="E474" s="6" t="s">
        <v>70</v>
      </c>
      <c r="F474" s="175">
        <v>9491</v>
      </c>
      <c r="G474" s="407"/>
      <c r="H474" s="175">
        <v>9491</v>
      </c>
      <c r="I474" s="175">
        <v>9679.6</v>
      </c>
      <c r="J474" s="407"/>
      <c r="K474" s="175">
        <v>9679.6</v>
      </c>
      <c r="L474" s="175">
        <v>9679.6</v>
      </c>
      <c r="M474" s="407"/>
      <c r="N474" s="175">
        <v>9679.6</v>
      </c>
    </row>
    <row r="475" spans="1:14" x14ac:dyDescent="0.3">
      <c r="A475" s="20"/>
      <c r="B475" s="22" t="s">
        <v>262</v>
      </c>
      <c r="C475" s="21"/>
      <c r="D475" s="20"/>
      <c r="E475" s="19" t="s">
        <v>80</v>
      </c>
      <c r="F475" s="26">
        <f t="shared" ref="F475:N475" si="71">F476</f>
        <v>19552.944750000002</v>
      </c>
      <c r="G475" s="424"/>
      <c r="H475" s="26">
        <f t="shared" si="71"/>
        <v>19552.944750000002</v>
      </c>
      <c r="I475" s="26">
        <f t="shared" si="71"/>
        <v>1583.8705499999999</v>
      </c>
      <c r="J475" s="424"/>
      <c r="K475" s="26">
        <f t="shared" si="71"/>
        <v>1583.8705499999999</v>
      </c>
      <c r="L475" s="26">
        <f t="shared" si="71"/>
        <v>1504.4</v>
      </c>
      <c r="M475" s="424"/>
      <c r="N475" s="26">
        <f t="shared" si="71"/>
        <v>1504.4</v>
      </c>
    </row>
    <row r="476" spans="1:14" x14ac:dyDescent="0.3">
      <c r="A476" s="20"/>
      <c r="B476" s="22"/>
      <c r="C476" s="21" t="s">
        <v>36</v>
      </c>
      <c r="D476" s="22"/>
      <c r="E476" s="27" t="s">
        <v>35</v>
      </c>
      <c r="F476" s="26">
        <f>F487+F491+F477</f>
        <v>19552.944750000002</v>
      </c>
      <c r="G476" s="424"/>
      <c r="H476" s="26">
        <f>H487+H491+H477</f>
        <v>19552.944750000002</v>
      </c>
      <c r="I476" s="26">
        <f>I487+I491</f>
        <v>1583.8705499999999</v>
      </c>
      <c r="J476" s="424"/>
      <c r="K476" s="26">
        <f>K487+K491</f>
        <v>1583.8705499999999</v>
      </c>
      <c r="L476" s="26">
        <f>L487+L491</f>
        <v>1504.4</v>
      </c>
      <c r="M476" s="424"/>
      <c r="N476" s="26">
        <f>N487+N491</f>
        <v>1504.4</v>
      </c>
    </row>
    <row r="477" spans="1:14" ht="26.4" x14ac:dyDescent="0.3">
      <c r="A477" s="53"/>
      <c r="B477" s="33"/>
      <c r="C477" s="34" t="s">
        <v>244</v>
      </c>
      <c r="D477" s="33"/>
      <c r="E477" s="32" t="s">
        <v>243</v>
      </c>
      <c r="F477" s="31">
        <f>F478+F481</f>
        <v>4110.5702199999996</v>
      </c>
      <c r="G477" s="423"/>
      <c r="H477" s="31">
        <f>H478+H481</f>
        <v>4110.5702199999996</v>
      </c>
      <c r="I477" s="31">
        <f t="shared" ref="I477:N477" si="72">I478</f>
        <v>0</v>
      </c>
      <c r="J477" s="423"/>
      <c r="K477" s="31">
        <f t="shared" si="72"/>
        <v>0</v>
      </c>
      <c r="L477" s="31">
        <f t="shared" si="72"/>
        <v>0</v>
      </c>
      <c r="M477" s="423"/>
      <c r="N477" s="31">
        <f t="shared" si="72"/>
        <v>0</v>
      </c>
    </row>
    <row r="478" spans="1:14" ht="27" x14ac:dyDescent="0.3">
      <c r="A478" s="153"/>
      <c r="B478" s="153"/>
      <c r="C478" s="153" t="s">
        <v>696</v>
      </c>
      <c r="D478" s="153"/>
      <c r="E478" s="154" t="s">
        <v>688</v>
      </c>
      <c r="F478" s="165">
        <f t="shared" ref="F478:N479" si="73">F479</f>
        <v>2368.9870000000001</v>
      </c>
      <c r="G478" s="406"/>
      <c r="H478" s="165">
        <f t="shared" si="73"/>
        <v>2368.9870000000001</v>
      </c>
      <c r="I478" s="165">
        <f t="shared" si="73"/>
        <v>0</v>
      </c>
      <c r="J478" s="406"/>
      <c r="K478" s="165">
        <f t="shared" si="73"/>
        <v>0</v>
      </c>
      <c r="L478" s="165">
        <f t="shared" si="73"/>
        <v>0</v>
      </c>
      <c r="M478" s="406"/>
      <c r="N478" s="165">
        <f t="shared" si="73"/>
        <v>0</v>
      </c>
    </row>
    <row r="479" spans="1:14" ht="27" x14ac:dyDescent="0.3">
      <c r="A479" s="230"/>
      <c r="B479" s="231"/>
      <c r="C479" s="7" t="s">
        <v>721</v>
      </c>
      <c r="D479" s="7"/>
      <c r="E479" s="6" t="s">
        <v>687</v>
      </c>
      <c r="F479" s="175">
        <f t="shared" si="73"/>
        <v>2368.9870000000001</v>
      </c>
      <c r="G479" s="407"/>
      <c r="H479" s="175">
        <f t="shared" si="73"/>
        <v>2368.9870000000001</v>
      </c>
      <c r="I479" s="175">
        <f t="shared" si="73"/>
        <v>0</v>
      </c>
      <c r="J479" s="407"/>
      <c r="K479" s="175">
        <f t="shared" si="73"/>
        <v>0</v>
      </c>
      <c r="L479" s="175">
        <f t="shared" si="73"/>
        <v>0</v>
      </c>
      <c r="M479" s="407"/>
      <c r="N479" s="175">
        <f t="shared" si="73"/>
        <v>0</v>
      </c>
    </row>
    <row r="480" spans="1:14" x14ac:dyDescent="0.3">
      <c r="A480" s="230"/>
      <c r="B480" s="231"/>
      <c r="C480" s="7"/>
      <c r="D480" s="7" t="s">
        <v>71</v>
      </c>
      <c r="E480" s="6" t="s">
        <v>70</v>
      </c>
      <c r="F480" s="175">
        <v>2368.9870000000001</v>
      </c>
      <c r="G480" s="407"/>
      <c r="H480" s="175">
        <v>2368.9870000000001</v>
      </c>
      <c r="I480" s="175">
        <v>0</v>
      </c>
      <c r="J480" s="407"/>
      <c r="K480" s="175">
        <v>0</v>
      </c>
      <c r="L480" s="175">
        <v>0</v>
      </c>
      <c r="M480" s="407"/>
      <c r="N480" s="175">
        <v>0</v>
      </c>
    </row>
    <row r="481" spans="1:14" ht="27" x14ac:dyDescent="0.3">
      <c r="A481" s="153"/>
      <c r="B481" s="153"/>
      <c r="C481" s="153" t="s">
        <v>554</v>
      </c>
      <c r="D481" s="153"/>
      <c r="E481" s="154" t="s">
        <v>555</v>
      </c>
      <c r="F481" s="165">
        <f t="shared" ref="F481:N482" si="74">F482</f>
        <v>1741.58322</v>
      </c>
      <c r="G481" s="406"/>
      <c r="H481" s="165">
        <f t="shared" si="74"/>
        <v>1741.58322</v>
      </c>
      <c r="I481" s="165">
        <f t="shared" si="74"/>
        <v>0</v>
      </c>
      <c r="J481" s="406"/>
      <c r="K481" s="165">
        <f t="shared" si="74"/>
        <v>0</v>
      </c>
      <c r="L481" s="165">
        <f t="shared" si="74"/>
        <v>0</v>
      </c>
      <c r="M481" s="406"/>
      <c r="N481" s="165">
        <f t="shared" si="74"/>
        <v>0</v>
      </c>
    </row>
    <row r="482" spans="1:14" ht="27" x14ac:dyDescent="0.3">
      <c r="A482" s="230"/>
      <c r="B482" s="231"/>
      <c r="C482" s="7" t="s">
        <v>744</v>
      </c>
      <c r="D482" s="7"/>
      <c r="E482" s="274" t="s">
        <v>761</v>
      </c>
      <c r="F482" s="175">
        <f t="shared" si="74"/>
        <v>1741.58322</v>
      </c>
      <c r="G482" s="407"/>
      <c r="H482" s="175">
        <f t="shared" si="74"/>
        <v>1741.58322</v>
      </c>
      <c r="I482" s="175">
        <f t="shared" si="74"/>
        <v>0</v>
      </c>
      <c r="J482" s="407"/>
      <c r="K482" s="175">
        <f t="shared" si="74"/>
        <v>0</v>
      </c>
      <c r="L482" s="175">
        <f t="shared" si="74"/>
        <v>0</v>
      </c>
      <c r="M482" s="407"/>
      <c r="N482" s="175">
        <f t="shared" si="74"/>
        <v>0</v>
      </c>
    </row>
    <row r="483" spans="1:14" x14ac:dyDescent="0.3">
      <c r="A483" s="230"/>
      <c r="B483" s="231"/>
      <c r="C483" s="7"/>
      <c r="D483" s="7" t="s">
        <v>71</v>
      </c>
      <c r="E483" s="6" t="s">
        <v>70</v>
      </c>
      <c r="F483" s="175">
        <f>F485+F486</f>
        <v>1741.58322</v>
      </c>
      <c r="G483" s="407"/>
      <c r="H483" s="175">
        <f>H485+H486</f>
        <v>1741.58322</v>
      </c>
      <c r="I483" s="175">
        <f>I485+I486</f>
        <v>0</v>
      </c>
      <c r="J483" s="407"/>
      <c r="K483" s="175">
        <f>K485+K486</f>
        <v>0</v>
      </c>
      <c r="L483" s="175">
        <f>L485+L486</f>
        <v>0</v>
      </c>
      <c r="M483" s="407"/>
      <c r="N483" s="175">
        <f>N485+N486</f>
        <v>0</v>
      </c>
    </row>
    <row r="484" spans="1:14" x14ac:dyDescent="0.3">
      <c r="A484" s="230"/>
      <c r="B484" s="231"/>
      <c r="C484" s="7"/>
      <c r="D484" s="7"/>
      <c r="E484" s="6" t="s">
        <v>305</v>
      </c>
      <c r="F484" s="175">
        <v>0</v>
      </c>
      <c r="G484" s="407"/>
      <c r="H484" s="175">
        <v>0</v>
      </c>
      <c r="I484" s="175">
        <v>0</v>
      </c>
      <c r="J484" s="407"/>
      <c r="K484" s="175">
        <v>0</v>
      </c>
      <c r="L484" s="175">
        <v>0</v>
      </c>
      <c r="M484" s="407"/>
      <c r="N484" s="175">
        <v>0</v>
      </c>
    </row>
    <row r="485" spans="1:14" x14ac:dyDescent="0.3">
      <c r="A485" s="230"/>
      <c r="B485" s="231"/>
      <c r="C485" s="7"/>
      <c r="D485" s="7"/>
      <c r="E485" s="96" t="s">
        <v>301</v>
      </c>
      <c r="F485" s="175">
        <v>1718.6676500000001</v>
      </c>
      <c r="G485" s="407"/>
      <c r="H485" s="175">
        <v>1718.6676500000001</v>
      </c>
      <c r="I485" s="175">
        <v>0</v>
      </c>
      <c r="J485" s="407"/>
      <c r="K485" s="175">
        <v>0</v>
      </c>
      <c r="L485" s="175">
        <v>0</v>
      </c>
      <c r="M485" s="407"/>
      <c r="N485" s="175">
        <v>0</v>
      </c>
    </row>
    <row r="486" spans="1:14" x14ac:dyDescent="0.3">
      <c r="A486" s="230"/>
      <c r="B486" s="231"/>
      <c r="C486" s="7"/>
      <c r="D486" s="7"/>
      <c r="E486" s="96" t="s">
        <v>296</v>
      </c>
      <c r="F486" s="175">
        <v>22.915569999999999</v>
      </c>
      <c r="G486" s="407"/>
      <c r="H486" s="175">
        <v>22.915569999999999</v>
      </c>
      <c r="I486" s="175">
        <v>0</v>
      </c>
      <c r="J486" s="407"/>
      <c r="K486" s="175">
        <v>0</v>
      </c>
      <c r="L486" s="175">
        <v>0</v>
      </c>
      <c r="M486" s="407"/>
      <c r="N486" s="175">
        <v>0</v>
      </c>
    </row>
    <row r="487" spans="1:14" ht="26.4" x14ac:dyDescent="0.3">
      <c r="A487" s="53"/>
      <c r="B487" s="33"/>
      <c r="C487" s="34" t="s">
        <v>261</v>
      </c>
      <c r="D487" s="33"/>
      <c r="E487" s="32" t="s">
        <v>260</v>
      </c>
      <c r="F487" s="31">
        <f t="shared" ref="F487:N489" si="75">F488</f>
        <v>1504.4</v>
      </c>
      <c r="G487" s="423"/>
      <c r="H487" s="31">
        <f t="shared" si="75"/>
        <v>1504.4</v>
      </c>
      <c r="I487" s="31">
        <f t="shared" si="75"/>
        <v>0</v>
      </c>
      <c r="J487" s="423"/>
      <c r="K487" s="31">
        <f t="shared" si="75"/>
        <v>0</v>
      </c>
      <c r="L487" s="31">
        <f t="shared" si="75"/>
        <v>1504.4</v>
      </c>
      <c r="M487" s="423"/>
      <c r="N487" s="31">
        <f t="shared" si="75"/>
        <v>1504.4</v>
      </c>
    </row>
    <row r="488" spans="1:14" ht="27" x14ac:dyDescent="0.3">
      <c r="A488" s="153"/>
      <c r="B488" s="153"/>
      <c r="C488" s="153" t="s">
        <v>259</v>
      </c>
      <c r="D488" s="153"/>
      <c r="E488" s="154" t="s">
        <v>258</v>
      </c>
      <c r="F488" s="155">
        <f t="shared" si="75"/>
        <v>1504.4</v>
      </c>
      <c r="G488" s="411"/>
      <c r="H488" s="155">
        <f t="shared" si="75"/>
        <v>1504.4</v>
      </c>
      <c r="I488" s="155">
        <f t="shared" si="75"/>
        <v>0</v>
      </c>
      <c r="J488" s="411"/>
      <c r="K488" s="155">
        <f t="shared" si="75"/>
        <v>0</v>
      </c>
      <c r="L488" s="155">
        <f t="shared" si="75"/>
        <v>1504.4</v>
      </c>
      <c r="M488" s="411"/>
      <c r="N488" s="155">
        <f t="shared" si="75"/>
        <v>1504.4</v>
      </c>
    </row>
    <row r="489" spans="1:14" ht="27" x14ac:dyDescent="0.3">
      <c r="A489" s="8"/>
      <c r="B489" s="8"/>
      <c r="C489" s="7" t="s">
        <v>257</v>
      </c>
      <c r="D489" s="7"/>
      <c r="E489" s="78" t="s">
        <v>256</v>
      </c>
      <c r="F489" s="9">
        <f t="shared" si="75"/>
        <v>1504.4</v>
      </c>
      <c r="G489" s="412"/>
      <c r="H489" s="9">
        <f t="shared" si="75"/>
        <v>1504.4</v>
      </c>
      <c r="I489" s="9">
        <f t="shared" si="75"/>
        <v>0</v>
      </c>
      <c r="J489" s="412"/>
      <c r="K489" s="9">
        <f t="shared" si="75"/>
        <v>0</v>
      </c>
      <c r="L489" s="9">
        <f t="shared" si="75"/>
        <v>1504.4</v>
      </c>
      <c r="M489" s="412"/>
      <c r="N489" s="9">
        <f t="shared" si="75"/>
        <v>1504.4</v>
      </c>
    </row>
    <row r="490" spans="1:14" x14ac:dyDescent="0.3">
      <c r="A490" s="8"/>
      <c r="B490" s="8"/>
      <c r="C490" s="7"/>
      <c r="D490" s="7" t="s">
        <v>71</v>
      </c>
      <c r="E490" s="6" t="s">
        <v>70</v>
      </c>
      <c r="F490" s="175">
        <v>1504.4</v>
      </c>
      <c r="G490" s="407"/>
      <c r="H490" s="175">
        <v>1504.4</v>
      </c>
      <c r="I490" s="175">
        <v>0</v>
      </c>
      <c r="J490" s="407"/>
      <c r="K490" s="175">
        <v>0</v>
      </c>
      <c r="L490" s="175">
        <v>1504.4</v>
      </c>
      <c r="M490" s="407"/>
      <c r="N490" s="175">
        <v>1504.4</v>
      </c>
    </row>
    <row r="491" spans="1:14" ht="40.200000000000003" x14ac:dyDescent="0.3">
      <c r="A491" s="53"/>
      <c r="B491" s="33"/>
      <c r="C491" s="170" t="s">
        <v>329</v>
      </c>
      <c r="D491" s="174"/>
      <c r="E491" s="173" t="s">
        <v>571</v>
      </c>
      <c r="F491" s="92">
        <f t="shared" ref="F491:N491" si="76">F492</f>
        <v>13937.974530000001</v>
      </c>
      <c r="G491" s="435"/>
      <c r="H491" s="92">
        <f t="shared" si="76"/>
        <v>13937.974530000001</v>
      </c>
      <c r="I491" s="92">
        <f t="shared" si="76"/>
        <v>1583.8705499999999</v>
      </c>
      <c r="J491" s="435"/>
      <c r="K491" s="92">
        <f t="shared" si="76"/>
        <v>1583.8705499999999</v>
      </c>
      <c r="L491" s="92">
        <f t="shared" si="76"/>
        <v>0</v>
      </c>
      <c r="M491" s="435"/>
      <c r="N491" s="92">
        <f t="shared" si="76"/>
        <v>0</v>
      </c>
    </row>
    <row r="492" spans="1:14" x14ac:dyDescent="0.3">
      <c r="A492" s="153"/>
      <c r="B492" s="153"/>
      <c r="C492" s="153" t="s">
        <v>704</v>
      </c>
      <c r="D492" s="160"/>
      <c r="E492" s="154" t="s">
        <v>705</v>
      </c>
      <c r="F492" s="165">
        <f>F493+F495+F497</f>
        <v>13937.974530000001</v>
      </c>
      <c r="G492" s="406"/>
      <c r="H492" s="165">
        <f>H493+H495+H497</f>
        <v>13937.974530000001</v>
      </c>
      <c r="I492" s="165">
        <f>I493+I495+I497</f>
        <v>1583.8705499999999</v>
      </c>
      <c r="J492" s="406"/>
      <c r="K492" s="165">
        <f>K493+K495+K497</f>
        <v>1583.8705499999999</v>
      </c>
      <c r="L492" s="165">
        <f>L493+L495+L497</f>
        <v>0</v>
      </c>
      <c r="M492" s="406"/>
      <c r="N492" s="165">
        <f>N493+N495+N497</f>
        <v>0</v>
      </c>
    </row>
    <row r="493" spans="1:14" ht="40.200000000000003" x14ac:dyDescent="0.3">
      <c r="A493" s="8"/>
      <c r="B493" s="8"/>
      <c r="C493" s="151" t="s">
        <v>706</v>
      </c>
      <c r="D493" s="151"/>
      <c r="E493" s="152" t="s">
        <v>711</v>
      </c>
      <c r="F493" s="175">
        <f>F494</f>
        <v>6893.0713400000004</v>
      </c>
      <c r="G493" s="407"/>
      <c r="H493" s="175">
        <f>H494</f>
        <v>6893.0713400000004</v>
      </c>
      <c r="I493" s="175">
        <f t="shared" ref="I493:N493" si="77">I494</f>
        <v>0</v>
      </c>
      <c r="J493" s="407"/>
      <c r="K493" s="175">
        <f t="shared" si="77"/>
        <v>0</v>
      </c>
      <c r="L493" s="175">
        <f t="shared" si="77"/>
        <v>0</v>
      </c>
      <c r="M493" s="407"/>
      <c r="N493" s="175">
        <f t="shared" si="77"/>
        <v>0</v>
      </c>
    </row>
    <row r="494" spans="1:14" x14ac:dyDescent="0.3">
      <c r="A494" s="8"/>
      <c r="B494" s="8"/>
      <c r="C494" s="151"/>
      <c r="D494" s="151">
        <v>800</v>
      </c>
      <c r="E494" s="6" t="s">
        <v>21</v>
      </c>
      <c r="F494" s="175">
        <v>6893.0713400000004</v>
      </c>
      <c r="G494" s="407"/>
      <c r="H494" s="175">
        <v>6893.0713400000004</v>
      </c>
      <c r="I494" s="175">
        <v>0</v>
      </c>
      <c r="J494" s="407"/>
      <c r="K494" s="175">
        <v>0</v>
      </c>
      <c r="L494" s="175">
        <v>0</v>
      </c>
      <c r="M494" s="407"/>
      <c r="N494" s="175">
        <v>0</v>
      </c>
    </row>
    <row r="495" spans="1:14" ht="27" x14ac:dyDescent="0.3">
      <c r="A495" s="8"/>
      <c r="B495" s="8"/>
      <c r="C495" s="151" t="s">
        <v>707</v>
      </c>
      <c r="D495" s="151"/>
      <c r="E495" s="152" t="s">
        <v>709</v>
      </c>
      <c r="F495" s="175">
        <f>F496</f>
        <v>4111.7108600000001</v>
      </c>
      <c r="G495" s="407"/>
      <c r="H495" s="175">
        <f>H496</f>
        <v>4111.7108600000001</v>
      </c>
      <c r="I495" s="175">
        <f t="shared" ref="I495:N495" si="78">I496</f>
        <v>0</v>
      </c>
      <c r="J495" s="407"/>
      <c r="K495" s="175">
        <f t="shared" si="78"/>
        <v>0</v>
      </c>
      <c r="L495" s="175">
        <f t="shared" si="78"/>
        <v>0</v>
      </c>
      <c r="M495" s="407"/>
      <c r="N495" s="175">
        <f t="shared" si="78"/>
        <v>0</v>
      </c>
    </row>
    <row r="496" spans="1:14" x14ac:dyDescent="0.3">
      <c r="A496" s="8"/>
      <c r="B496" s="8"/>
      <c r="C496" s="151"/>
      <c r="D496" s="151">
        <v>800</v>
      </c>
      <c r="E496" s="6" t="s">
        <v>21</v>
      </c>
      <c r="F496" s="175">
        <v>4111.7108600000001</v>
      </c>
      <c r="G496" s="407"/>
      <c r="H496" s="175">
        <v>4111.7108600000001</v>
      </c>
      <c r="I496" s="175">
        <v>0</v>
      </c>
      <c r="J496" s="407"/>
      <c r="K496" s="175">
        <v>0</v>
      </c>
      <c r="L496" s="175">
        <v>0</v>
      </c>
      <c r="M496" s="407"/>
      <c r="N496" s="175">
        <v>0</v>
      </c>
    </row>
    <row r="497" spans="1:14" ht="40.200000000000003" x14ac:dyDescent="0.3">
      <c r="A497" s="8"/>
      <c r="B497" s="8"/>
      <c r="C497" s="151" t="s">
        <v>708</v>
      </c>
      <c r="D497" s="151"/>
      <c r="E497" s="152" t="s">
        <v>710</v>
      </c>
      <c r="F497" s="175">
        <f>F498</f>
        <v>2933.1923299999999</v>
      </c>
      <c r="G497" s="407"/>
      <c r="H497" s="175">
        <f>H498</f>
        <v>2933.1923299999999</v>
      </c>
      <c r="I497" s="175">
        <f t="shared" ref="I497:N497" si="79">I498</f>
        <v>1583.8705499999999</v>
      </c>
      <c r="J497" s="407"/>
      <c r="K497" s="175">
        <f t="shared" si="79"/>
        <v>1583.8705499999999</v>
      </c>
      <c r="L497" s="175">
        <f t="shared" si="79"/>
        <v>0</v>
      </c>
      <c r="M497" s="407"/>
      <c r="N497" s="175">
        <f t="shared" si="79"/>
        <v>0</v>
      </c>
    </row>
    <row r="498" spans="1:14" x14ac:dyDescent="0.3">
      <c r="A498" s="8"/>
      <c r="B498" s="8"/>
      <c r="C498" s="151"/>
      <c r="D498" s="151">
        <v>800</v>
      </c>
      <c r="E498" s="6" t="s">
        <v>21</v>
      </c>
      <c r="F498" s="175">
        <v>2933.1923299999999</v>
      </c>
      <c r="G498" s="407"/>
      <c r="H498" s="175">
        <v>2933.1923299999999</v>
      </c>
      <c r="I498" s="175">
        <v>1583.8705499999999</v>
      </c>
      <c r="J498" s="407"/>
      <c r="K498" s="175">
        <v>1583.8705499999999</v>
      </c>
      <c r="L498" s="175">
        <v>0</v>
      </c>
      <c r="M498" s="407"/>
      <c r="N498" s="175">
        <v>0</v>
      </c>
    </row>
    <row r="499" spans="1:14" x14ac:dyDescent="0.3">
      <c r="A499" s="8"/>
      <c r="B499" s="22">
        <v>1004</v>
      </c>
      <c r="C499" s="21"/>
      <c r="D499" s="20"/>
      <c r="E499" s="19" t="s">
        <v>163</v>
      </c>
      <c r="F499" s="26">
        <f t="shared" ref="F499:N500" si="80">F500</f>
        <v>12672.445</v>
      </c>
      <c r="G499" s="424"/>
      <c r="H499" s="26">
        <f t="shared" si="80"/>
        <v>12672.445</v>
      </c>
      <c r="I499" s="26">
        <f t="shared" si="80"/>
        <v>29290.572</v>
      </c>
      <c r="J499" s="424"/>
      <c r="K499" s="26">
        <f t="shared" si="80"/>
        <v>29290.572</v>
      </c>
      <c r="L499" s="26">
        <f t="shared" si="80"/>
        <v>0</v>
      </c>
      <c r="M499" s="424"/>
      <c r="N499" s="26">
        <f t="shared" si="80"/>
        <v>0</v>
      </c>
    </row>
    <row r="500" spans="1:14" x14ac:dyDescent="0.3">
      <c r="A500" s="8"/>
      <c r="B500" s="22"/>
      <c r="C500" s="21" t="s">
        <v>36</v>
      </c>
      <c r="D500" s="22"/>
      <c r="E500" s="27" t="s">
        <v>162</v>
      </c>
      <c r="F500" s="26">
        <f t="shared" si="80"/>
        <v>12672.445</v>
      </c>
      <c r="G500" s="424"/>
      <c r="H500" s="26">
        <f t="shared" si="80"/>
        <v>12672.445</v>
      </c>
      <c r="I500" s="26">
        <f t="shared" si="80"/>
        <v>29290.572</v>
      </c>
      <c r="J500" s="424"/>
      <c r="K500" s="26">
        <f t="shared" si="80"/>
        <v>29290.572</v>
      </c>
      <c r="L500" s="26">
        <f t="shared" si="80"/>
        <v>0</v>
      </c>
      <c r="M500" s="424"/>
      <c r="N500" s="26">
        <f t="shared" si="80"/>
        <v>0</v>
      </c>
    </row>
    <row r="501" spans="1:14" ht="26.4" x14ac:dyDescent="0.3">
      <c r="A501" s="53"/>
      <c r="B501" s="33"/>
      <c r="C501" s="34" t="s">
        <v>244</v>
      </c>
      <c r="D501" s="33"/>
      <c r="E501" s="32" t="s">
        <v>243</v>
      </c>
      <c r="F501" s="31">
        <f>F502+F510</f>
        <v>12672.445</v>
      </c>
      <c r="G501" s="423"/>
      <c r="H501" s="31">
        <f>H502+H510</f>
        <v>12672.445</v>
      </c>
      <c r="I501" s="31">
        <f>I502+I510</f>
        <v>29290.572</v>
      </c>
      <c r="J501" s="423"/>
      <c r="K501" s="31">
        <f>K502+K510</f>
        <v>29290.572</v>
      </c>
      <c r="L501" s="31">
        <f>L502+L510</f>
        <v>0</v>
      </c>
      <c r="M501" s="423"/>
      <c r="N501" s="31">
        <f>N502+N510</f>
        <v>0</v>
      </c>
    </row>
    <row r="502" spans="1:14" x14ac:dyDescent="0.3">
      <c r="A502" s="153"/>
      <c r="B502" s="153"/>
      <c r="C502" s="153" t="s">
        <v>255</v>
      </c>
      <c r="D502" s="153"/>
      <c r="E502" s="154" t="s">
        <v>254</v>
      </c>
      <c r="F502" s="155">
        <f>F505+F503</f>
        <v>8394.1270000000004</v>
      </c>
      <c r="G502" s="411"/>
      <c r="H502" s="155">
        <f>H505+H503</f>
        <v>8394.1270000000004</v>
      </c>
      <c r="I502" s="155">
        <f>I505+I503</f>
        <v>7898.982</v>
      </c>
      <c r="J502" s="411"/>
      <c r="K502" s="155">
        <f>K505+K503</f>
        <v>7898.982</v>
      </c>
      <c r="L502" s="155">
        <f>L505+L503</f>
        <v>0</v>
      </c>
      <c r="M502" s="411"/>
      <c r="N502" s="155">
        <f>N505+N503</f>
        <v>0</v>
      </c>
    </row>
    <row r="503" spans="1:14" s="23" customFormat="1" ht="53.4" x14ac:dyDescent="0.3">
      <c r="A503" s="60"/>
      <c r="B503" s="60"/>
      <c r="C503" s="7" t="s">
        <v>253</v>
      </c>
      <c r="D503" s="7"/>
      <c r="E503" s="6" t="s">
        <v>674</v>
      </c>
      <c r="F503" s="9">
        <f>F504</f>
        <v>6215.9350000000004</v>
      </c>
      <c r="G503" s="412"/>
      <c r="H503" s="9">
        <f>H504</f>
        <v>6215.9350000000004</v>
      </c>
      <c r="I503" s="9">
        <f>I504</f>
        <v>7898.982</v>
      </c>
      <c r="J503" s="412"/>
      <c r="K503" s="9">
        <f>K504</f>
        <v>7898.982</v>
      </c>
      <c r="L503" s="9">
        <f>L504</f>
        <v>0</v>
      </c>
      <c r="M503" s="412"/>
      <c r="N503" s="9">
        <f>N504</f>
        <v>0</v>
      </c>
    </row>
    <row r="504" spans="1:14" s="23" customFormat="1" x14ac:dyDescent="0.3">
      <c r="A504" s="60"/>
      <c r="B504" s="60"/>
      <c r="C504" s="7"/>
      <c r="D504" s="7" t="s">
        <v>71</v>
      </c>
      <c r="E504" s="6" t="s">
        <v>70</v>
      </c>
      <c r="F504" s="175">
        <v>6215.9350000000004</v>
      </c>
      <c r="G504" s="407"/>
      <c r="H504" s="175">
        <v>6215.9350000000004</v>
      </c>
      <c r="I504" s="175">
        <v>7898.982</v>
      </c>
      <c r="J504" s="407"/>
      <c r="K504" s="175">
        <v>7898.982</v>
      </c>
      <c r="L504" s="175">
        <v>0</v>
      </c>
      <c r="M504" s="407"/>
      <c r="N504" s="175">
        <v>0</v>
      </c>
    </row>
    <row r="505" spans="1:14" ht="40.200000000000003" x14ac:dyDescent="0.3">
      <c r="A505" s="7"/>
      <c r="B505" s="7"/>
      <c r="C505" s="7" t="s">
        <v>252</v>
      </c>
      <c r="D505" s="7"/>
      <c r="E505" s="11" t="s">
        <v>251</v>
      </c>
      <c r="F505" s="9">
        <f>F506</f>
        <v>2178.192</v>
      </c>
      <c r="G505" s="412"/>
      <c r="H505" s="9">
        <f>H506</f>
        <v>2178.192</v>
      </c>
      <c r="I505" s="9">
        <f>I506</f>
        <v>0</v>
      </c>
      <c r="J505" s="412"/>
      <c r="K505" s="9">
        <f>K506</f>
        <v>0</v>
      </c>
      <c r="L505" s="9">
        <f>L506</f>
        <v>0</v>
      </c>
      <c r="M505" s="412"/>
      <c r="N505" s="9">
        <f>N506</f>
        <v>0</v>
      </c>
    </row>
    <row r="506" spans="1:14" x14ac:dyDescent="0.3">
      <c r="A506" s="7"/>
      <c r="B506" s="7"/>
      <c r="C506" s="7"/>
      <c r="D506" s="7" t="s">
        <v>71</v>
      </c>
      <c r="E506" s="6" t="s">
        <v>70</v>
      </c>
      <c r="F506" s="9">
        <f>F509+F508+F507</f>
        <v>2178.192</v>
      </c>
      <c r="G506" s="412"/>
      <c r="H506" s="9">
        <f>H509+H508+H507</f>
        <v>2178.192</v>
      </c>
      <c r="I506" s="9">
        <f>I509</f>
        <v>0</v>
      </c>
      <c r="J506" s="412"/>
      <c r="K506" s="9">
        <f>K509</f>
        <v>0</v>
      </c>
      <c r="L506" s="9">
        <f>L509</f>
        <v>0</v>
      </c>
      <c r="M506" s="412"/>
      <c r="N506" s="9">
        <f>N509</f>
        <v>0</v>
      </c>
    </row>
    <row r="507" spans="1:14" x14ac:dyDescent="0.3">
      <c r="A507" s="7"/>
      <c r="B507" s="7"/>
      <c r="C507" s="7"/>
      <c r="D507" s="7"/>
      <c r="E507" s="6" t="s">
        <v>101</v>
      </c>
      <c r="F507" s="175">
        <v>943.21400000000006</v>
      </c>
      <c r="G507" s="407"/>
      <c r="H507" s="175">
        <v>943.21400000000006</v>
      </c>
      <c r="I507" s="9">
        <v>0</v>
      </c>
      <c r="J507" s="412"/>
      <c r="K507" s="9">
        <v>0</v>
      </c>
      <c r="L507" s="9">
        <v>0</v>
      </c>
      <c r="M507" s="412"/>
      <c r="N507" s="9">
        <v>0</v>
      </c>
    </row>
    <row r="508" spans="1:14" x14ac:dyDescent="0.3">
      <c r="A508" s="7"/>
      <c r="B508" s="7"/>
      <c r="C508" s="7"/>
      <c r="D508" s="7"/>
      <c r="E508" s="6" t="s">
        <v>100</v>
      </c>
      <c r="F508" s="175">
        <v>314.40499999999997</v>
      </c>
      <c r="G508" s="407"/>
      <c r="H508" s="175">
        <v>314.40499999999997</v>
      </c>
      <c r="I508" s="9">
        <v>0</v>
      </c>
      <c r="J508" s="412"/>
      <c r="K508" s="9">
        <v>0</v>
      </c>
      <c r="L508" s="9">
        <v>0</v>
      </c>
      <c r="M508" s="412"/>
      <c r="N508" s="9">
        <v>0</v>
      </c>
    </row>
    <row r="509" spans="1:14" x14ac:dyDescent="0.3">
      <c r="A509" s="7"/>
      <c r="B509" s="7"/>
      <c r="C509" s="7"/>
      <c r="D509" s="7"/>
      <c r="E509" s="6" t="s">
        <v>97</v>
      </c>
      <c r="F509" s="175">
        <v>920.57300000000009</v>
      </c>
      <c r="G509" s="407"/>
      <c r="H509" s="175">
        <v>920.57300000000009</v>
      </c>
      <c r="I509" s="9">
        <v>0</v>
      </c>
      <c r="J509" s="412"/>
      <c r="K509" s="9">
        <v>0</v>
      </c>
      <c r="L509" s="9">
        <v>0</v>
      </c>
      <c r="M509" s="412"/>
      <c r="N509" s="9">
        <v>0</v>
      </c>
    </row>
    <row r="510" spans="1:14" ht="40.200000000000003" x14ac:dyDescent="0.3">
      <c r="A510" s="153"/>
      <c r="B510" s="153"/>
      <c r="C510" s="153" t="s">
        <v>242</v>
      </c>
      <c r="D510" s="153"/>
      <c r="E510" s="154" t="s">
        <v>241</v>
      </c>
      <c r="F510" s="155">
        <f t="shared" ref="F510:N511" si="81">F511</f>
        <v>4278.3180000000002</v>
      </c>
      <c r="G510" s="411"/>
      <c r="H510" s="155">
        <f t="shared" si="81"/>
        <v>4278.3180000000002</v>
      </c>
      <c r="I510" s="155">
        <f t="shared" si="81"/>
        <v>21391.59</v>
      </c>
      <c r="J510" s="411"/>
      <c r="K510" s="155">
        <f t="shared" si="81"/>
        <v>21391.59</v>
      </c>
      <c r="L510" s="155">
        <f t="shared" si="81"/>
        <v>0</v>
      </c>
      <c r="M510" s="411"/>
      <c r="N510" s="155">
        <f t="shared" si="81"/>
        <v>0</v>
      </c>
    </row>
    <row r="511" spans="1:14" ht="57" customHeight="1" x14ac:dyDescent="0.3">
      <c r="A511" s="8"/>
      <c r="B511" s="8"/>
      <c r="C511" s="7" t="s">
        <v>250</v>
      </c>
      <c r="D511" s="7"/>
      <c r="E511" s="77" t="s">
        <v>249</v>
      </c>
      <c r="F511" s="9">
        <f t="shared" si="81"/>
        <v>4278.3180000000002</v>
      </c>
      <c r="G511" s="412"/>
      <c r="H511" s="9">
        <f t="shared" si="81"/>
        <v>4278.3180000000002</v>
      </c>
      <c r="I511" s="9">
        <f t="shared" si="81"/>
        <v>21391.59</v>
      </c>
      <c r="J511" s="412"/>
      <c r="K511" s="9">
        <f t="shared" si="81"/>
        <v>21391.59</v>
      </c>
      <c r="L511" s="9">
        <f t="shared" si="81"/>
        <v>0</v>
      </c>
      <c r="M511" s="412"/>
      <c r="N511" s="9">
        <f t="shared" si="81"/>
        <v>0</v>
      </c>
    </row>
    <row r="512" spans="1:14" ht="27" x14ac:dyDescent="0.3">
      <c r="A512" s="8"/>
      <c r="B512" s="8"/>
      <c r="C512" s="7"/>
      <c r="D512" s="7" t="s">
        <v>248</v>
      </c>
      <c r="E512" s="6" t="s">
        <v>247</v>
      </c>
      <c r="F512" s="175">
        <v>4278.3180000000002</v>
      </c>
      <c r="G512" s="407"/>
      <c r="H512" s="175">
        <v>4278.3180000000002</v>
      </c>
      <c r="I512" s="175">
        <v>21391.59</v>
      </c>
      <c r="J512" s="407"/>
      <c r="K512" s="175">
        <v>21391.59</v>
      </c>
      <c r="L512" s="175">
        <v>0</v>
      </c>
      <c r="M512" s="407"/>
      <c r="N512" s="175">
        <v>0</v>
      </c>
    </row>
    <row r="513" spans="1:14" x14ac:dyDescent="0.3">
      <c r="A513" s="8"/>
      <c r="B513" s="22" t="s">
        <v>246</v>
      </c>
      <c r="C513" s="21"/>
      <c r="D513" s="20"/>
      <c r="E513" s="19" t="s">
        <v>245</v>
      </c>
      <c r="F513" s="26">
        <f t="shared" ref="F513:N517" si="82">F514</f>
        <v>2.8591199999999999</v>
      </c>
      <c r="G513" s="424"/>
      <c r="H513" s="26">
        <f t="shared" si="82"/>
        <v>2.8591199999999999</v>
      </c>
      <c r="I513" s="26">
        <f t="shared" si="82"/>
        <v>22.281269999999999</v>
      </c>
      <c r="J513" s="424"/>
      <c r="K513" s="26">
        <f t="shared" si="82"/>
        <v>22.281269999999999</v>
      </c>
      <c r="L513" s="26">
        <f t="shared" si="82"/>
        <v>45.646590000000003</v>
      </c>
      <c r="M513" s="424"/>
      <c r="N513" s="26">
        <f t="shared" si="82"/>
        <v>45.646590000000003</v>
      </c>
    </row>
    <row r="514" spans="1:14" x14ac:dyDescent="0.3">
      <c r="A514" s="8"/>
      <c r="B514" s="22"/>
      <c r="C514" s="21" t="s">
        <v>36</v>
      </c>
      <c r="D514" s="22"/>
      <c r="E514" s="27" t="s">
        <v>162</v>
      </c>
      <c r="F514" s="26">
        <f t="shared" si="82"/>
        <v>2.8591199999999999</v>
      </c>
      <c r="G514" s="424"/>
      <c r="H514" s="26">
        <f t="shared" si="82"/>
        <v>2.8591199999999999</v>
      </c>
      <c r="I514" s="26">
        <f t="shared" si="82"/>
        <v>22.281269999999999</v>
      </c>
      <c r="J514" s="424"/>
      <c r="K514" s="26">
        <f t="shared" si="82"/>
        <v>22.281269999999999</v>
      </c>
      <c r="L514" s="26">
        <f t="shared" si="82"/>
        <v>45.646590000000003</v>
      </c>
      <c r="M514" s="424"/>
      <c r="N514" s="26">
        <f t="shared" si="82"/>
        <v>45.646590000000003</v>
      </c>
    </row>
    <row r="515" spans="1:14" ht="26.4" x14ac:dyDescent="0.3">
      <c r="A515" s="53"/>
      <c r="B515" s="33"/>
      <c r="C515" s="34" t="s">
        <v>244</v>
      </c>
      <c r="D515" s="33"/>
      <c r="E515" s="32" t="s">
        <v>243</v>
      </c>
      <c r="F515" s="31">
        <f t="shared" si="82"/>
        <v>2.8591199999999999</v>
      </c>
      <c r="G515" s="423"/>
      <c r="H515" s="31">
        <f t="shared" si="82"/>
        <v>2.8591199999999999</v>
      </c>
      <c r="I515" s="31">
        <f t="shared" si="82"/>
        <v>22.281269999999999</v>
      </c>
      <c r="J515" s="423"/>
      <c r="K515" s="31">
        <f t="shared" si="82"/>
        <v>22.281269999999999</v>
      </c>
      <c r="L515" s="31">
        <f t="shared" si="82"/>
        <v>45.646590000000003</v>
      </c>
      <c r="M515" s="423"/>
      <c r="N515" s="31">
        <f t="shared" si="82"/>
        <v>45.646590000000003</v>
      </c>
    </row>
    <row r="516" spans="1:14" ht="40.200000000000003" x14ac:dyDescent="0.3">
      <c r="A516" s="153"/>
      <c r="B516" s="153"/>
      <c r="C516" s="153" t="s">
        <v>242</v>
      </c>
      <c r="D516" s="153"/>
      <c r="E516" s="154" t="s">
        <v>241</v>
      </c>
      <c r="F516" s="155">
        <f t="shared" si="82"/>
        <v>2.8591199999999999</v>
      </c>
      <c r="G516" s="411"/>
      <c r="H516" s="155">
        <f t="shared" si="82"/>
        <v>2.8591199999999999</v>
      </c>
      <c r="I516" s="155">
        <f t="shared" si="82"/>
        <v>22.281269999999999</v>
      </c>
      <c r="J516" s="411"/>
      <c r="K516" s="155">
        <f t="shared" si="82"/>
        <v>22.281269999999999</v>
      </c>
      <c r="L516" s="155">
        <f t="shared" si="82"/>
        <v>45.646590000000003</v>
      </c>
      <c r="M516" s="411"/>
      <c r="N516" s="155">
        <f t="shared" si="82"/>
        <v>45.646590000000003</v>
      </c>
    </row>
    <row r="517" spans="1:14" ht="27" x14ac:dyDescent="0.3">
      <c r="A517" s="8"/>
      <c r="B517" s="8"/>
      <c r="C517" s="7" t="s">
        <v>240</v>
      </c>
      <c r="D517" s="7"/>
      <c r="E517" s="6" t="s">
        <v>239</v>
      </c>
      <c r="F517" s="9">
        <f t="shared" si="82"/>
        <v>2.8591199999999999</v>
      </c>
      <c r="G517" s="412"/>
      <c r="H517" s="9">
        <f t="shared" si="82"/>
        <v>2.8591199999999999</v>
      </c>
      <c r="I517" s="9">
        <f t="shared" si="82"/>
        <v>22.281269999999999</v>
      </c>
      <c r="J517" s="412"/>
      <c r="K517" s="9">
        <f t="shared" si="82"/>
        <v>22.281269999999999</v>
      </c>
      <c r="L517" s="9">
        <f t="shared" si="82"/>
        <v>45.646590000000003</v>
      </c>
      <c r="M517" s="412"/>
      <c r="N517" s="9">
        <f t="shared" si="82"/>
        <v>45.646590000000003</v>
      </c>
    </row>
    <row r="518" spans="1:14" x14ac:dyDescent="0.3">
      <c r="A518" s="8"/>
      <c r="B518" s="8"/>
      <c r="C518" s="7"/>
      <c r="D518" s="7" t="s">
        <v>12</v>
      </c>
      <c r="E518" s="6" t="s">
        <v>11</v>
      </c>
      <c r="F518" s="175">
        <v>2.8591199999999999</v>
      </c>
      <c r="G518" s="407"/>
      <c r="H518" s="175">
        <v>2.8591199999999999</v>
      </c>
      <c r="I518" s="175">
        <v>22.281269999999999</v>
      </c>
      <c r="J518" s="407"/>
      <c r="K518" s="175">
        <v>22.281269999999999</v>
      </c>
      <c r="L518" s="175">
        <v>45.646590000000003</v>
      </c>
      <c r="M518" s="407"/>
      <c r="N518" s="175">
        <v>45.646590000000003</v>
      </c>
    </row>
    <row r="519" spans="1:14" x14ac:dyDescent="0.3">
      <c r="A519" s="52"/>
      <c r="B519" s="22">
        <v>1100</v>
      </c>
      <c r="C519" s="21"/>
      <c r="D519" s="20"/>
      <c r="E519" s="19" t="s">
        <v>68</v>
      </c>
      <c r="F519" s="26">
        <f t="shared" ref="F519:N524" si="83">F520</f>
        <v>3200</v>
      </c>
      <c r="G519" s="26">
        <f t="shared" si="83"/>
        <v>-100</v>
      </c>
      <c r="H519" s="26">
        <f t="shared" si="83"/>
        <v>3100</v>
      </c>
      <c r="I519" s="26">
        <f t="shared" si="83"/>
        <v>0</v>
      </c>
      <c r="J519" s="424"/>
      <c r="K519" s="26">
        <f t="shared" si="83"/>
        <v>0</v>
      </c>
      <c r="L519" s="26">
        <f t="shared" si="83"/>
        <v>0</v>
      </c>
      <c r="M519" s="424"/>
      <c r="N519" s="26">
        <f t="shared" si="83"/>
        <v>0</v>
      </c>
    </row>
    <row r="520" spans="1:14" x14ac:dyDescent="0.3">
      <c r="A520" s="52"/>
      <c r="B520" s="22" t="s">
        <v>67</v>
      </c>
      <c r="C520" s="21"/>
      <c r="D520" s="22"/>
      <c r="E520" s="27" t="s">
        <v>66</v>
      </c>
      <c r="F520" s="26">
        <f t="shared" si="83"/>
        <v>3200</v>
      </c>
      <c r="G520" s="26">
        <f t="shared" si="83"/>
        <v>-100</v>
      </c>
      <c r="H520" s="26">
        <f t="shared" si="83"/>
        <v>3100</v>
      </c>
      <c r="I520" s="26">
        <f t="shared" si="83"/>
        <v>0</v>
      </c>
      <c r="J520" s="424"/>
      <c r="K520" s="26">
        <f t="shared" si="83"/>
        <v>0</v>
      </c>
      <c r="L520" s="26">
        <f t="shared" si="83"/>
        <v>0</v>
      </c>
      <c r="M520" s="424"/>
      <c r="N520" s="26">
        <f t="shared" si="83"/>
        <v>0</v>
      </c>
    </row>
    <row r="521" spans="1:14" x14ac:dyDescent="0.3">
      <c r="A521" s="52"/>
      <c r="B521" s="22"/>
      <c r="C521" s="21" t="s">
        <v>36</v>
      </c>
      <c r="D521" s="22"/>
      <c r="E521" s="27" t="s">
        <v>35</v>
      </c>
      <c r="F521" s="26">
        <f t="shared" si="83"/>
        <v>3200</v>
      </c>
      <c r="G521" s="26">
        <f t="shared" si="83"/>
        <v>-100</v>
      </c>
      <c r="H521" s="26">
        <f t="shared" si="83"/>
        <v>3100</v>
      </c>
      <c r="I521" s="26">
        <f t="shared" si="83"/>
        <v>0</v>
      </c>
      <c r="J521" s="424"/>
      <c r="K521" s="26">
        <f t="shared" si="83"/>
        <v>0</v>
      </c>
      <c r="L521" s="26">
        <f t="shared" si="83"/>
        <v>0</v>
      </c>
      <c r="M521" s="424"/>
      <c r="N521" s="26">
        <f t="shared" si="83"/>
        <v>0</v>
      </c>
    </row>
    <row r="522" spans="1:14" ht="26.4" x14ac:dyDescent="0.3">
      <c r="A522" s="53"/>
      <c r="B522" s="33"/>
      <c r="C522" s="34" t="s">
        <v>261</v>
      </c>
      <c r="D522" s="33"/>
      <c r="E522" s="32" t="s">
        <v>260</v>
      </c>
      <c r="F522" s="31">
        <f t="shared" si="83"/>
        <v>3200</v>
      </c>
      <c r="G522" s="31">
        <f t="shared" si="83"/>
        <v>-100</v>
      </c>
      <c r="H522" s="31">
        <f t="shared" si="83"/>
        <v>3100</v>
      </c>
      <c r="I522" s="31">
        <f t="shared" si="83"/>
        <v>0</v>
      </c>
      <c r="J522" s="423"/>
      <c r="K522" s="31">
        <f t="shared" si="83"/>
        <v>0</v>
      </c>
      <c r="L522" s="31">
        <f t="shared" si="83"/>
        <v>0</v>
      </c>
      <c r="M522" s="423"/>
      <c r="N522" s="31">
        <f t="shared" si="83"/>
        <v>0</v>
      </c>
    </row>
    <row r="523" spans="1:14" ht="27" x14ac:dyDescent="0.3">
      <c r="A523" s="153"/>
      <c r="B523" s="153"/>
      <c r="C523" s="153" t="s">
        <v>361</v>
      </c>
      <c r="D523" s="153"/>
      <c r="E523" s="154" t="s">
        <v>754</v>
      </c>
      <c r="F523" s="155">
        <f t="shared" si="83"/>
        <v>3200</v>
      </c>
      <c r="G523" s="155">
        <f t="shared" si="83"/>
        <v>-100</v>
      </c>
      <c r="H523" s="155">
        <f t="shared" si="83"/>
        <v>3100</v>
      </c>
      <c r="I523" s="155">
        <f t="shared" si="83"/>
        <v>0</v>
      </c>
      <c r="J523" s="411"/>
      <c r="K523" s="155">
        <f t="shared" si="83"/>
        <v>0</v>
      </c>
      <c r="L523" s="155">
        <f t="shared" si="83"/>
        <v>0</v>
      </c>
      <c r="M523" s="411"/>
      <c r="N523" s="155">
        <f t="shared" si="83"/>
        <v>0</v>
      </c>
    </row>
    <row r="524" spans="1:14" x14ac:dyDescent="0.3">
      <c r="A524" s="8"/>
      <c r="B524" s="8"/>
      <c r="C524" s="7" t="s">
        <v>360</v>
      </c>
      <c r="D524" s="7"/>
      <c r="E524" s="78" t="s">
        <v>563</v>
      </c>
      <c r="F524" s="9">
        <f t="shared" si="83"/>
        <v>3200</v>
      </c>
      <c r="G524" s="9">
        <f t="shared" si="83"/>
        <v>-100</v>
      </c>
      <c r="H524" s="9">
        <f t="shared" si="83"/>
        <v>3100</v>
      </c>
      <c r="I524" s="9">
        <f t="shared" si="83"/>
        <v>0</v>
      </c>
      <c r="J524" s="412"/>
      <c r="K524" s="9">
        <f t="shared" si="83"/>
        <v>0</v>
      </c>
      <c r="L524" s="9">
        <f t="shared" si="83"/>
        <v>0</v>
      </c>
      <c r="M524" s="412"/>
      <c r="N524" s="9">
        <f t="shared" si="83"/>
        <v>0</v>
      </c>
    </row>
    <row r="525" spans="1:14" ht="27" x14ac:dyDescent="0.3">
      <c r="A525" s="8"/>
      <c r="B525" s="8"/>
      <c r="C525" s="7"/>
      <c r="D525" s="73" t="s">
        <v>248</v>
      </c>
      <c r="E525" s="6" t="s">
        <v>247</v>
      </c>
      <c r="F525" s="9">
        <v>3200</v>
      </c>
      <c r="G525" s="412">
        <v>-100</v>
      </c>
      <c r="H525" s="9">
        <f>F525-100</f>
        <v>3100</v>
      </c>
      <c r="I525" s="9">
        <v>0</v>
      </c>
      <c r="J525" s="412"/>
      <c r="K525" s="9">
        <v>0</v>
      </c>
      <c r="L525" s="9">
        <v>0</v>
      </c>
      <c r="M525" s="412"/>
      <c r="N525" s="9">
        <v>0</v>
      </c>
    </row>
    <row r="526" spans="1:14" ht="26.4" x14ac:dyDescent="0.3">
      <c r="A526" s="39">
        <v>611</v>
      </c>
      <c r="B526" s="41"/>
      <c r="C526" s="40"/>
      <c r="D526" s="39"/>
      <c r="E526" s="38" t="s">
        <v>238</v>
      </c>
      <c r="F526" s="76">
        <f>F535+F674+F704</f>
        <v>601060.37566000002</v>
      </c>
      <c r="G526" s="76">
        <f>G535+G674+G704+G527</f>
        <v>983.49999999999966</v>
      </c>
      <c r="H526" s="76">
        <f>H535+H674+H704+H527</f>
        <v>602043.87566000002</v>
      </c>
      <c r="I526" s="76">
        <f>I535+I674+I704</f>
        <v>618759.03065000009</v>
      </c>
      <c r="J526" s="76">
        <f>J535+J674+J704+J527</f>
        <v>247.5</v>
      </c>
      <c r="K526" s="76">
        <f>K535+K674+K704+K527</f>
        <v>619006.53065000009</v>
      </c>
      <c r="L526" s="76">
        <f>L535+L674+L704</f>
        <v>572547.52419000003</v>
      </c>
      <c r="M526" s="438"/>
      <c r="N526" s="76">
        <f>N535+N674+N704</f>
        <v>572547.52419000003</v>
      </c>
    </row>
    <row r="527" spans="1:14" s="23" customFormat="1" x14ac:dyDescent="0.3">
      <c r="A527" s="441"/>
      <c r="B527" s="22" t="s">
        <v>341</v>
      </c>
      <c r="C527" s="21"/>
      <c r="D527" s="20"/>
      <c r="E527" s="19" t="s">
        <v>340</v>
      </c>
      <c r="F527" s="442">
        <v>0</v>
      </c>
      <c r="G527" s="442">
        <f t="shared" ref="G527:H533" si="84">G528</f>
        <v>69.400000000000006</v>
      </c>
      <c r="H527" s="442">
        <f t="shared" si="84"/>
        <v>69.400000000000006</v>
      </c>
      <c r="I527" s="442">
        <v>0</v>
      </c>
      <c r="J527" s="442">
        <f t="shared" ref="J527:K533" si="85">J528</f>
        <v>247.5</v>
      </c>
      <c r="K527" s="442">
        <f t="shared" si="85"/>
        <v>247.5</v>
      </c>
      <c r="L527" s="442">
        <v>0</v>
      </c>
      <c r="M527" s="442"/>
      <c r="N527" s="442"/>
    </row>
    <row r="528" spans="1:14" s="23" customFormat="1" x14ac:dyDescent="0.3">
      <c r="A528" s="441"/>
      <c r="B528" s="22" t="s">
        <v>327</v>
      </c>
      <c r="C528" s="21"/>
      <c r="D528" s="20"/>
      <c r="E528" s="19" t="s">
        <v>326</v>
      </c>
      <c r="F528" s="442">
        <v>0</v>
      </c>
      <c r="G528" s="442">
        <f t="shared" si="84"/>
        <v>69.400000000000006</v>
      </c>
      <c r="H528" s="442">
        <f t="shared" si="84"/>
        <v>69.400000000000006</v>
      </c>
      <c r="I528" s="442">
        <v>0</v>
      </c>
      <c r="J528" s="442">
        <f t="shared" si="85"/>
        <v>247.5</v>
      </c>
      <c r="K528" s="442">
        <f t="shared" si="85"/>
        <v>247.5</v>
      </c>
      <c r="L528" s="442">
        <v>0</v>
      </c>
      <c r="M528" s="442"/>
      <c r="N528" s="442"/>
    </row>
    <row r="529" spans="1:14" s="23" customFormat="1" x14ac:dyDescent="0.3">
      <c r="A529" s="441"/>
      <c r="B529" s="54"/>
      <c r="C529" s="21" t="s">
        <v>36</v>
      </c>
      <c r="D529" s="20"/>
      <c r="E529" s="27" t="s">
        <v>35</v>
      </c>
      <c r="F529" s="442">
        <v>0</v>
      </c>
      <c r="G529" s="442">
        <f t="shared" si="84"/>
        <v>69.400000000000006</v>
      </c>
      <c r="H529" s="442">
        <f t="shared" si="84"/>
        <v>69.400000000000006</v>
      </c>
      <c r="I529" s="442">
        <v>0</v>
      </c>
      <c r="J529" s="442">
        <f t="shared" si="85"/>
        <v>247.5</v>
      </c>
      <c r="K529" s="442">
        <f t="shared" si="85"/>
        <v>247.5</v>
      </c>
      <c r="L529" s="442">
        <v>0</v>
      </c>
      <c r="M529" s="442"/>
      <c r="N529" s="442"/>
    </row>
    <row r="530" spans="1:14" s="496" customFormat="1" ht="26.4" x14ac:dyDescent="0.3">
      <c r="A530" s="495"/>
      <c r="B530" s="33"/>
      <c r="C530" s="34" t="s">
        <v>278</v>
      </c>
      <c r="D530" s="33"/>
      <c r="E530" s="32" t="s">
        <v>277</v>
      </c>
      <c r="F530" s="423">
        <v>0</v>
      </c>
      <c r="G530" s="423">
        <f t="shared" si="84"/>
        <v>69.400000000000006</v>
      </c>
      <c r="H530" s="423">
        <f t="shared" si="84"/>
        <v>69.400000000000006</v>
      </c>
      <c r="I530" s="423">
        <v>0</v>
      </c>
      <c r="J530" s="423">
        <f t="shared" si="85"/>
        <v>247.5</v>
      </c>
      <c r="K530" s="423">
        <f t="shared" si="85"/>
        <v>247.5</v>
      </c>
      <c r="L530" s="423">
        <v>0</v>
      </c>
      <c r="M530" s="423"/>
      <c r="N530" s="423"/>
    </row>
    <row r="531" spans="1:14" s="23" customFormat="1" ht="27" x14ac:dyDescent="0.3">
      <c r="A531" s="497"/>
      <c r="B531" s="30"/>
      <c r="C531" s="30" t="s">
        <v>276</v>
      </c>
      <c r="D531" s="30"/>
      <c r="E531" s="79" t="s">
        <v>275</v>
      </c>
      <c r="F531" s="498">
        <v>0</v>
      </c>
      <c r="G531" s="498">
        <f t="shared" si="84"/>
        <v>69.400000000000006</v>
      </c>
      <c r="H531" s="498">
        <f t="shared" si="84"/>
        <v>69.400000000000006</v>
      </c>
      <c r="I531" s="498">
        <v>0</v>
      </c>
      <c r="J531" s="498">
        <f t="shared" si="85"/>
        <v>247.5</v>
      </c>
      <c r="K531" s="498">
        <f t="shared" si="85"/>
        <v>247.5</v>
      </c>
      <c r="L531" s="498">
        <v>0</v>
      </c>
      <c r="M531" s="442"/>
      <c r="N531" s="442"/>
    </row>
    <row r="532" spans="1:14" s="23" customFormat="1" x14ac:dyDescent="0.3">
      <c r="A532" s="499"/>
      <c r="B532" s="153"/>
      <c r="C532" s="153" t="s">
        <v>274</v>
      </c>
      <c r="D532" s="160"/>
      <c r="E532" s="164" t="s">
        <v>273</v>
      </c>
      <c r="F532" s="431">
        <v>0</v>
      </c>
      <c r="G532" s="431">
        <f t="shared" si="84"/>
        <v>69.400000000000006</v>
      </c>
      <c r="H532" s="431">
        <f t="shared" si="84"/>
        <v>69.400000000000006</v>
      </c>
      <c r="I532" s="431">
        <v>0</v>
      </c>
      <c r="J532" s="431">
        <f t="shared" si="85"/>
        <v>247.5</v>
      </c>
      <c r="K532" s="431">
        <f t="shared" si="85"/>
        <v>247.5</v>
      </c>
      <c r="L532" s="431">
        <v>0</v>
      </c>
      <c r="M532" s="442"/>
      <c r="N532" s="442"/>
    </row>
    <row r="533" spans="1:14" s="23" customFormat="1" x14ac:dyDescent="0.3">
      <c r="A533" s="441"/>
      <c r="B533" s="8"/>
      <c r="C533" s="7" t="s">
        <v>325</v>
      </c>
      <c r="D533" s="73"/>
      <c r="E533" s="11" t="s">
        <v>324</v>
      </c>
      <c r="F533" s="443">
        <v>0</v>
      </c>
      <c r="G533" s="443">
        <f t="shared" si="84"/>
        <v>69.400000000000006</v>
      </c>
      <c r="H533" s="443">
        <f t="shared" si="84"/>
        <v>69.400000000000006</v>
      </c>
      <c r="I533" s="443">
        <v>0</v>
      </c>
      <c r="J533" s="443">
        <f t="shared" si="85"/>
        <v>247.5</v>
      </c>
      <c r="K533" s="443">
        <f t="shared" si="85"/>
        <v>247.5</v>
      </c>
      <c r="L533" s="443">
        <v>0</v>
      </c>
      <c r="M533" s="443"/>
      <c r="N533" s="443"/>
    </row>
    <row r="534" spans="1:14" s="23" customFormat="1" ht="27" x14ac:dyDescent="0.3">
      <c r="A534" s="441"/>
      <c r="B534" s="228"/>
      <c r="C534" s="226"/>
      <c r="D534" s="7" t="s">
        <v>57</v>
      </c>
      <c r="E534" s="6" t="s">
        <v>56</v>
      </c>
      <c r="F534" s="443">
        <v>0</v>
      </c>
      <c r="G534" s="443">
        <v>69.400000000000006</v>
      </c>
      <c r="H534" s="443">
        <v>69.400000000000006</v>
      </c>
      <c r="I534" s="443">
        <v>0</v>
      </c>
      <c r="J534" s="443">
        <v>247.5</v>
      </c>
      <c r="K534" s="443">
        <v>247.5</v>
      </c>
      <c r="L534" s="443">
        <v>0</v>
      </c>
      <c r="M534" s="443"/>
      <c r="N534" s="443"/>
    </row>
    <row r="535" spans="1:14" x14ac:dyDescent="0.3">
      <c r="A535" s="36"/>
      <c r="B535" s="22" t="s">
        <v>146</v>
      </c>
      <c r="C535" s="21"/>
      <c r="D535" s="20"/>
      <c r="E535" s="19" t="s">
        <v>145</v>
      </c>
      <c r="F535" s="26">
        <f>F536+F562+F613+F628</f>
        <v>566560.82065999997</v>
      </c>
      <c r="G535" s="26">
        <f>G536+G562+G613+G628</f>
        <v>781.89999999999975</v>
      </c>
      <c r="H535" s="26">
        <f>H536+H562+H613+H628</f>
        <v>567342.72065999999</v>
      </c>
      <c r="I535" s="26">
        <f>I536+I562+I613+I628</f>
        <v>575690.65779000008</v>
      </c>
      <c r="J535" s="424"/>
      <c r="K535" s="26">
        <f>K536+K562+K613+K628</f>
        <v>575690.65779000008</v>
      </c>
      <c r="L535" s="26">
        <f>L536+L562+L613+L628</f>
        <v>540399.79419000004</v>
      </c>
      <c r="M535" s="424"/>
      <c r="N535" s="26">
        <f>N536+N562+N613+N628</f>
        <v>540399.79419000004</v>
      </c>
    </row>
    <row r="536" spans="1:14" x14ac:dyDescent="0.3">
      <c r="A536" s="36"/>
      <c r="B536" s="22" t="s">
        <v>237</v>
      </c>
      <c r="C536" s="21"/>
      <c r="D536" s="20"/>
      <c r="E536" s="19" t="s">
        <v>236</v>
      </c>
      <c r="F536" s="26">
        <f t="shared" ref="F536:N537" si="86">F537</f>
        <v>146116.97809999998</v>
      </c>
      <c r="G536" s="26">
        <f t="shared" si="86"/>
        <v>-1009.4</v>
      </c>
      <c r="H536" s="26">
        <f t="shared" si="86"/>
        <v>145107.57809999996</v>
      </c>
      <c r="I536" s="26">
        <f t="shared" si="86"/>
        <v>138576.7133</v>
      </c>
      <c r="J536" s="424"/>
      <c r="K536" s="26">
        <f t="shared" si="86"/>
        <v>138576.7133</v>
      </c>
      <c r="L536" s="26">
        <f t="shared" si="86"/>
        <v>137173.15219999998</v>
      </c>
      <c r="M536" s="424"/>
      <c r="N536" s="26">
        <f t="shared" si="86"/>
        <v>137173.15219999998</v>
      </c>
    </row>
    <row r="537" spans="1:14" s="74" customFormat="1" x14ac:dyDescent="0.3">
      <c r="A537" s="20"/>
      <c r="B537" s="22"/>
      <c r="C537" s="21" t="s">
        <v>36</v>
      </c>
      <c r="D537" s="20"/>
      <c r="E537" s="27" t="s">
        <v>162</v>
      </c>
      <c r="F537" s="26">
        <f t="shared" si="86"/>
        <v>146116.97809999998</v>
      </c>
      <c r="G537" s="26">
        <f t="shared" si="86"/>
        <v>-1009.4</v>
      </c>
      <c r="H537" s="26">
        <f t="shared" si="86"/>
        <v>145107.57809999996</v>
      </c>
      <c r="I537" s="26">
        <f t="shared" si="86"/>
        <v>138576.7133</v>
      </c>
      <c r="J537" s="424"/>
      <c r="K537" s="26">
        <f t="shared" si="86"/>
        <v>138576.7133</v>
      </c>
      <c r="L537" s="26">
        <f t="shared" si="86"/>
        <v>137173.15219999998</v>
      </c>
      <c r="M537" s="424"/>
      <c r="N537" s="26">
        <f t="shared" si="86"/>
        <v>137173.15219999998</v>
      </c>
    </row>
    <row r="538" spans="1:14" ht="26.4" x14ac:dyDescent="0.3">
      <c r="A538" s="53"/>
      <c r="B538" s="33"/>
      <c r="C538" s="34" t="s">
        <v>79</v>
      </c>
      <c r="D538" s="33"/>
      <c r="E538" s="32" t="s">
        <v>206</v>
      </c>
      <c r="F538" s="31">
        <f>F539+F552+F556</f>
        <v>146116.97809999998</v>
      </c>
      <c r="G538" s="31">
        <f>G539+G552+G556</f>
        <v>-1009.4</v>
      </c>
      <c r="H538" s="31">
        <f>H539+H552+H556</f>
        <v>145107.57809999996</v>
      </c>
      <c r="I538" s="31">
        <f>I539+I552</f>
        <v>138576.7133</v>
      </c>
      <c r="J538" s="423"/>
      <c r="K538" s="31">
        <f>K539+K552</f>
        <v>138576.7133</v>
      </c>
      <c r="L538" s="31">
        <f>L539+L552</f>
        <v>137173.15219999998</v>
      </c>
      <c r="M538" s="423"/>
      <c r="N538" s="31">
        <f>N539+N552</f>
        <v>137173.15219999998</v>
      </c>
    </row>
    <row r="539" spans="1:14" x14ac:dyDescent="0.3">
      <c r="A539" s="30"/>
      <c r="B539" s="30"/>
      <c r="C539" s="30" t="s">
        <v>161</v>
      </c>
      <c r="D539" s="30"/>
      <c r="E539" s="51" t="s">
        <v>160</v>
      </c>
      <c r="F539" s="28">
        <f>F540</f>
        <v>142323.6856</v>
      </c>
      <c r="G539" s="28">
        <f>G540</f>
        <v>-1009.4</v>
      </c>
      <c r="H539" s="28">
        <f>H540</f>
        <v>141314.28559999997</v>
      </c>
      <c r="I539" s="28">
        <f>I540</f>
        <v>137023.44080000001</v>
      </c>
      <c r="J539" s="410"/>
      <c r="K539" s="28">
        <f>K540</f>
        <v>137023.44080000001</v>
      </c>
      <c r="L539" s="28">
        <f>L540</f>
        <v>135706.17259999999</v>
      </c>
      <c r="M539" s="410"/>
      <c r="N539" s="28">
        <f>N540</f>
        <v>135706.17259999999</v>
      </c>
    </row>
    <row r="540" spans="1:14" ht="27" x14ac:dyDescent="0.3">
      <c r="A540" s="153"/>
      <c r="B540" s="153"/>
      <c r="C540" s="153" t="s">
        <v>159</v>
      </c>
      <c r="D540" s="153"/>
      <c r="E540" s="154" t="s">
        <v>177</v>
      </c>
      <c r="F540" s="155">
        <f>F541+F543+F546+F548</f>
        <v>142323.6856</v>
      </c>
      <c r="G540" s="155">
        <f>G541+G543+G546+G548</f>
        <v>-1009.4</v>
      </c>
      <c r="H540" s="155">
        <f>H541+H543+H546+H548</f>
        <v>141314.28559999997</v>
      </c>
      <c r="I540" s="155">
        <f>I541+I543+I546</f>
        <v>137023.44080000001</v>
      </c>
      <c r="J540" s="411"/>
      <c r="K540" s="155">
        <f>K541+K543+K546</f>
        <v>137023.44080000001</v>
      </c>
      <c r="L540" s="155">
        <f>L541+L543+L546</f>
        <v>135706.17259999999</v>
      </c>
      <c r="M540" s="411"/>
      <c r="N540" s="155">
        <f>N541+N543+N546</f>
        <v>135706.17259999999</v>
      </c>
    </row>
    <row r="541" spans="1:14" ht="27" x14ac:dyDescent="0.3">
      <c r="A541" s="8"/>
      <c r="B541" s="8"/>
      <c r="C541" s="7" t="s">
        <v>235</v>
      </c>
      <c r="D541" s="60"/>
      <c r="E541" s="6" t="s">
        <v>234</v>
      </c>
      <c r="F541" s="9">
        <f>F542</f>
        <v>30109</v>
      </c>
      <c r="G541" s="9">
        <f>G542</f>
        <v>-1009.4</v>
      </c>
      <c r="H541" s="9">
        <f>H542</f>
        <v>29099.599999999999</v>
      </c>
      <c r="I541" s="9">
        <f>I542</f>
        <v>30109</v>
      </c>
      <c r="J541" s="412"/>
      <c r="K541" s="9">
        <f>K542</f>
        <v>30109</v>
      </c>
      <c r="L541" s="9">
        <f>L542</f>
        <v>30109</v>
      </c>
      <c r="M541" s="412"/>
      <c r="N541" s="9">
        <f>N542</f>
        <v>30109</v>
      </c>
    </row>
    <row r="542" spans="1:14" ht="27" x14ac:dyDescent="0.3">
      <c r="A542" s="8"/>
      <c r="B542" s="8"/>
      <c r="C542" s="7"/>
      <c r="D542" s="7" t="s">
        <v>57</v>
      </c>
      <c r="E542" s="6" t="s">
        <v>56</v>
      </c>
      <c r="F542" s="175">
        <v>30109</v>
      </c>
      <c r="G542" s="407">
        <v>-1009.4</v>
      </c>
      <c r="H542" s="175">
        <f>F542-1009.4</f>
        <v>29099.599999999999</v>
      </c>
      <c r="I542" s="175">
        <v>30109</v>
      </c>
      <c r="J542" s="407"/>
      <c r="K542" s="175">
        <v>30109</v>
      </c>
      <c r="L542" s="175">
        <v>30109</v>
      </c>
      <c r="M542" s="407"/>
      <c r="N542" s="175">
        <v>30109</v>
      </c>
    </row>
    <row r="543" spans="1:14" ht="40.200000000000003" x14ac:dyDescent="0.3">
      <c r="A543" s="8"/>
      <c r="B543" s="8"/>
      <c r="C543" s="7" t="s">
        <v>233</v>
      </c>
      <c r="D543" s="7"/>
      <c r="E543" s="6" t="s">
        <v>232</v>
      </c>
      <c r="F543" s="9">
        <f>F544+F545</f>
        <v>110421.28559999999</v>
      </c>
      <c r="G543" s="412"/>
      <c r="H543" s="9">
        <f>H544+H545</f>
        <v>110421.28559999999</v>
      </c>
      <c r="I543" s="9">
        <f>I544+I545</f>
        <v>105471.0408</v>
      </c>
      <c r="J543" s="412"/>
      <c r="K543" s="9">
        <f>K544+K545</f>
        <v>105471.0408</v>
      </c>
      <c r="L543" s="9">
        <f>L544+L545</f>
        <v>104153.7726</v>
      </c>
      <c r="M543" s="412"/>
      <c r="N543" s="9">
        <f>N544+N545</f>
        <v>104153.7726</v>
      </c>
    </row>
    <row r="544" spans="1:14" x14ac:dyDescent="0.3">
      <c r="A544" s="8"/>
      <c r="B544" s="8"/>
      <c r="C544" s="7"/>
      <c r="D544" s="7" t="s">
        <v>71</v>
      </c>
      <c r="E544" s="6" t="s">
        <v>70</v>
      </c>
      <c r="F544" s="175">
        <v>23.352499999999999</v>
      </c>
      <c r="G544" s="407"/>
      <c r="H544" s="175">
        <v>23.352499999999999</v>
      </c>
      <c r="I544" s="175"/>
      <c r="J544" s="407"/>
      <c r="K544" s="175"/>
      <c r="L544" s="175"/>
      <c r="M544" s="407"/>
      <c r="N544" s="175"/>
    </row>
    <row r="545" spans="1:14" ht="27" x14ac:dyDescent="0.3">
      <c r="A545" s="8"/>
      <c r="B545" s="8"/>
      <c r="C545" s="7"/>
      <c r="D545" s="7" t="s">
        <v>57</v>
      </c>
      <c r="E545" s="6" t="s">
        <v>56</v>
      </c>
      <c r="F545" s="246">
        <v>110397.93309999999</v>
      </c>
      <c r="G545" s="409"/>
      <c r="H545" s="246">
        <v>110397.93309999999</v>
      </c>
      <c r="I545" s="246">
        <v>105471.0408</v>
      </c>
      <c r="J545" s="409"/>
      <c r="K545" s="246">
        <v>105471.0408</v>
      </c>
      <c r="L545" s="246">
        <v>104153.7726</v>
      </c>
      <c r="M545" s="409"/>
      <c r="N545" s="246">
        <v>104153.7726</v>
      </c>
    </row>
    <row r="546" spans="1:14" x14ac:dyDescent="0.3">
      <c r="A546" s="8"/>
      <c r="B546" s="8"/>
      <c r="C546" s="7" t="s">
        <v>231</v>
      </c>
      <c r="D546" s="7"/>
      <c r="E546" s="6" t="s">
        <v>230</v>
      </c>
      <c r="F546" s="9">
        <f>F547</f>
        <v>1443.4</v>
      </c>
      <c r="G546" s="412"/>
      <c r="H546" s="9">
        <f>H547</f>
        <v>1443.4</v>
      </c>
      <c r="I546" s="9">
        <f>I547</f>
        <v>1443.4</v>
      </c>
      <c r="J546" s="412"/>
      <c r="K546" s="9">
        <f>K547</f>
        <v>1443.4</v>
      </c>
      <c r="L546" s="9">
        <f>L547</f>
        <v>1443.4</v>
      </c>
      <c r="M546" s="412"/>
      <c r="N546" s="9">
        <f>N547</f>
        <v>1443.4</v>
      </c>
    </row>
    <row r="547" spans="1:14" ht="27" x14ac:dyDescent="0.3">
      <c r="A547" s="8"/>
      <c r="B547" s="8"/>
      <c r="C547" s="7"/>
      <c r="D547" s="7" t="s">
        <v>57</v>
      </c>
      <c r="E547" s="6" t="s">
        <v>56</v>
      </c>
      <c r="F547" s="175">
        <v>1443.4</v>
      </c>
      <c r="G547" s="407"/>
      <c r="H547" s="175">
        <v>1443.4</v>
      </c>
      <c r="I547" s="175">
        <v>1443.4</v>
      </c>
      <c r="J547" s="407"/>
      <c r="K547" s="175">
        <v>1443.4</v>
      </c>
      <c r="L547" s="175">
        <v>1443.4</v>
      </c>
      <c r="M547" s="407"/>
      <c r="N547" s="175">
        <v>1443.4</v>
      </c>
    </row>
    <row r="548" spans="1:14" ht="27" x14ac:dyDescent="0.3">
      <c r="A548" s="8"/>
      <c r="B548" s="8"/>
      <c r="C548" s="7" t="s">
        <v>624</v>
      </c>
      <c r="D548" s="7"/>
      <c r="E548" s="6" t="s">
        <v>561</v>
      </c>
      <c r="F548" s="9">
        <f>F549</f>
        <v>350</v>
      </c>
      <c r="G548" s="412"/>
      <c r="H548" s="9">
        <f>H549</f>
        <v>350</v>
      </c>
      <c r="I548" s="9">
        <f>I549</f>
        <v>0</v>
      </c>
      <c r="J548" s="412"/>
      <c r="K548" s="9">
        <f>K549</f>
        <v>0</v>
      </c>
      <c r="L548" s="9">
        <f>L549</f>
        <v>0</v>
      </c>
      <c r="M548" s="412"/>
      <c r="N548" s="9">
        <f>N549</f>
        <v>0</v>
      </c>
    </row>
    <row r="549" spans="1:14" ht="27" x14ac:dyDescent="0.3">
      <c r="A549" s="8"/>
      <c r="B549" s="8"/>
      <c r="C549" s="7"/>
      <c r="D549" s="7" t="s">
        <v>57</v>
      </c>
      <c r="E549" s="6" t="s">
        <v>56</v>
      </c>
      <c r="F549" s="9">
        <f>F550+F551</f>
        <v>350</v>
      </c>
      <c r="G549" s="412"/>
      <c r="H549" s="9">
        <f>H550+H551</f>
        <v>350</v>
      </c>
      <c r="I549" s="9">
        <f>I550+I551</f>
        <v>0</v>
      </c>
      <c r="J549" s="412"/>
      <c r="K549" s="9">
        <f>K550+K551</f>
        <v>0</v>
      </c>
      <c r="L549" s="9">
        <f>L550+L551</f>
        <v>0</v>
      </c>
      <c r="M549" s="412"/>
      <c r="N549" s="9">
        <f>N550+N551</f>
        <v>0</v>
      </c>
    </row>
    <row r="550" spans="1:14" x14ac:dyDescent="0.3">
      <c r="A550" s="8"/>
      <c r="B550" s="8"/>
      <c r="C550" s="7"/>
      <c r="D550" s="7"/>
      <c r="E550" s="6" t="s">
        <v>211</v>
      </c>
      <c r="F550" s="9">
        <v>350</v>
      </c>
      <c r="G550" s="412"/>
      <c r="H550" s="9">
        <v>350</v>
      </c>
      <c r="I550" s="9">
        <v>0</v>
      </c>
      <c r="J550" s="412"/>
      <c r="K550" s="9">
        <v>0</v>
      </c>
      <c r="L550" s="9">
        <v>0</v>
      </c>
      <c r="M550" s="412"/>
      <c r="N550" s="9">
        <v>0</v>
      </c>
    </row>
    <row r="551" spans="1:14" x14ac:dyDescent="0.3">
      <c r="A551" s="8"/>
      <c r="B551" s="8"/>
      <c r="C551" s="7"/>
      <c r="D551" s="7"/>
      <c r="E551" s="6" t="s">
        <v>69</v>
      </c>
      <c r="F551" s="9">
        <v>0</v>
      </c>
      <c r="G551" s="412"/>
      <c r="H551" s="9">
        <v>0</v>
      </c>
      <c r="I551" s="9">
        <v>0</v>
      </c>
      <c r="J551" s="412"/>
      <c r="K551" s="9">
        <v>0</v>
      </c>
      <c r="L551" s="9">
        <v>0</v>
      </c>
      <c r="M551" s="412"/>
      <c r="N551" s="9">
        <v>0</v>
      </c>
    </row>
    <row r="552" spans="1:14" x14ac:dyDescent="0.3">
      <c r="A552" s="30"/>
      <c r="B552" s="30"/>
      <c r="C552" s="30" t="s">
        <v>77</v>
      </c>
      <c r="D552" s="30"/>
      <c r="E552" s="51" t="s">
        <v>76</v>
      </c>
      <c r="F552" s="28">
        <f t="shared" ref="F552:N554" si="87">F553</f>
        <v>1553.2725</v>
      </c>
      <c r="G552" s="410"/>
      <c r="H552" s="28">
        <f t="shared" si="87"/>
        <v>1553.2725</v>
      </c>
      <c r="I552" s="28">
        <f t="shared" si="87"/>
        <v>1553.2725</v>
      </c>
      <c r="J552" s="410"/>
      <c r="K552" s="28">
        <f t="shared" si="87"/>
        <v>1553.2725</v>
      </c>
      <c r="L552" s="28">
        <f t="shared" si="87"/>
        <v>1466.9795999999999</v>
      </c>
      <c r="M552" s="410"/>
      <c r="N552" s="28">
        <f t="shared" si="87"/>
        <v>1466.9795999999999</v>
      </c>
    </row>
    <row r="553" spans="1:14" ht="27" x14ac:dyDescent="0.3">
      <c r="A553" s="153"/>
      <c r="B553" s="153"/>
      <c r="C553" s="153" t="s">
        <v>75</v>
      </c>
      <c r="D553" s="153"/>
      <c r="E553" s="154" t="s">
        <v>74</v>
      </c>
      <c r="F553" s="155">
        <f t="shared" si="87"/>
        <v>1553.2725</v>
      </c>
      <c r="G553" s="411"/>
      <c r="H553" s="155">
        <f t="shared" si="87"/>
        <v>1553.2725</v>
      </c>
      <c r="I553" s="155">
        <f t="shared" si="87"/>
        <v>1553.2725</v>
      </c>
      <c r="J553" s="411"/>
      <c r="K553" s="155">
        <f t="shared" si="87"/>
        <v>1553.2725</v>
      </c>
      <c r="L553" s="155">
        <f t="shared" si="87"/>
        <v>1466.9795999999999</v>
      </c>
      <c r="M553" s="411"/>
      <c r="N553" s="155">
        <f t="shared" si="87"/>
        <v>1466.9795999999999</v>
      </c>
    </row>
    <row r="554" spans="1:14" ht="27" x14ac:dyDescent="0.3">
      <c r="A554" s="7"/>
      <c r="B554" s="7"/>
      <c r="C554" s="7" t="s">
        <v>166</v>
      </c>
      <c r="D554" s="7"/>
      <c r="E554" s="6" t="s">
        <v>165</v>
      </c>
      <c r="F554" s="9">
        <f t="shared" si="87"/>
        <v>1553.2725</v>
      </c>
      <c r="G554" s="412"/>
      <c r="H554" s="9">
        <f t="shared" si="87"/>
        <v>1553.2725</v>
      </c>
      <c r="I554" s="9">
        <f t="shared" si="87"/>
        <v>1553.2725</v>
      </c>
      <c r="J554" s="412"/>
      <c r="K554" s="9">
        <f t="shared" si="87"/>
        <v>1553.2725</v>
      </c>
      <c r="L554" s="9">
        <f t="shared" si="87"/>
        <v>1466.9795999999999</v>
      </c>
      <c r="M554" s="412"/>
      <c r="N554" s="9">
        <f t="shared" si="87"/>
        <v>1466.9795999999999</v>
      </c>
    </row>
    <row r="555" spans="1:14" ht="27" x14ac:dyDescent="0.3">
      <c r="A555" s="7"/>
      <c r="B555" s="7"/>
      <c r="C555" s="7"/>
      <c r="D555" s="72" t="s">
        <v>57</v>
      </c>
      <c r="E555" s="71" t="s">
        <v>56</v>
      </c>
      <c r="F555" s="9">
        <v>1553.2725</v>
      </c>
      <c r="G555" s="412"/>
      <c r="H555" s="9">
        <v>1553.2725</v>
      </c>
      <c r="I555" s="9">
        <v>1553.2725</v>
      </c>
      <c r="J555" s="412"/>
      <c r="K555" s="9">
        <v>1553.2725</v>
      </c>
      <c r="L555" s="9">
        <v>1466.9795999999999</v>
      </c>
      <c r="M555" s="412"/>
      <c r="N555" s="9">
        <v>1466.9795999999999</v>
      </c>
    </row>
    <row r="556" spans="1:14" x14ac:dyDescent="0.3">
      <c r="A556" s="30"/>
      <c r="B556" s="30"/>
      <c r="C556" s="30" t="s">
        <v>210</v>
      </c>
      <c r="D556" s="30"/>
      <c r="E556" s="51" t="s">
        <v>209</v>
      </c>
      <c r="F556" s="28">
        <f>F557</f>
        <v>2240.02</v>
      </c>
      <c r="G556" s="410"/>
      <c r="H556" s="28">
        <f>H557</f>
        <v>2240.02</v>
      </c>
      <c r="I556" s="28">
        <f>I557</f>
        <v>0</v>
      </c>
      <c r="J556" s="410"/>
      <c r="K556" s="28">
        <f>K557</f>
        <v>0</v>
      </c>
      <c r="L556" s="28">
        <f>L557</f>
        <v>0</v>
      </c>
      <c r="M556" s="410"/>
      <c r="N556" s="28">
        <f>N557</f>
        <v>0</v>
      </c>
    </row>
    <row r="557" spans="1:14" ht="27" x14ac:dyDescent="0.3">
      <c r="A557" s="160"/>
      <c r="B557" s="160"/>
      <c r="C557" s="160" t="s">
        <v>208</v>
      </c>
      <c r="D557" s="160"/>
      <c r="E557" s="154" t="s">
        <v>207</v>
      </c>
      <c r="F557" s="155">
        <f>F558+F560</f>
        <v>2240.02</v>
      </c>
      <c r="G557" s="411"/>
      <c r="H557" s="155">
        <f>H558+H560</f>
        <v>2240.02</v>
      </c>
      <c r="I557" s="155">
        <f t="shared" ref="I557:N557" si="88">I558</f>
        <v>0</v>
      </c>
      <c r="J557" s="411"/>
      <c r="K557" s="155">
        <f t="shared" si="88"/>
        <v>0</v>
      </c>
      <c r="L557" s="155">
        <f t="shared" si="88"/>
        <v>0</v>
      </c>
      <c r="M557" s="411"/>
      <c r="N557" s="155">
        <f t="shared" si="88"/>
        <v>0</v>
      </c>
    </row>
    <row r="558" spans="1:14" ht="39.6" x14ac:dyDescent="0.3">
      <c r="A558" s="223"/>
      <c r="B558" s="223"/>
      <c r="C558" s="225" t="s">
        <v>664</v>
      </c>
      <c r="D558" s="222"/>
      <c r="E558" s="241" t="s">
        <v>695</v>
      </c>
      <c r="F558" s="224">
        <f>F559</f>
        <v>1199.5</v>
      </c>
      <c r="G558" s="425"/>
      <c r="H558" s="224">
        <f>H559</f>
        <v>1199.5</v>
      </c>
      <c r="I558" s="224">
        <v>0</v>
      </c>
      <c r="J558" s="425"/>
      <c r="K558" s="224">
        <v>0</v>
      </c>
      <c r="L558" s="224">
        <v>0</v>
      </c>
      <c r="M558" s="425"/>
      <c r="N558" s="224">
        <v>0</v>
      </c>
    </row>
    <row r="559" spans="1:14" ht="27" x14ac:dyDescent="0.3">
      <c r="A559" s="223"/>
      <c r="B559" s="223"/>
      <c r="C559" s="220"/>
      <c r="D559" s="220" t="s">
        <v>57</v>
      </c>
      <c r="E559" s="221" t="s">
        <v>56</v>
      </c>
      <c r="F559" s="211">
        <v>1199.5</v>
      </c>
      <c r="G559" s="407"/>
      <c r="H559" s="211">
        <v>1199.5</v>
      </c>
      <c r="I559" s="224">
        <v>0</v>
      </c>
      <c r="J559" s="425"/>
      <c r="K559" s="224">
        <v>0</v>
      </c>
      <c r="L559" s="224">
        <v>0</v>
      </c>
      <c r="M559" s="425"/>
      <c r="N559" s="224">
        <v>0</v>
      </c>
    </row>
    <row r="560" spans="1:14" x14ac:dyDescent="0.3">
      <c r="A560" s="228"/>
      <c r="B560" s="228"/>
      <c r="C560" s="225" t="s">
        <v>766</v>
      </c>
      <c r="D560" s="226"/>
      <c r="E560" s="262" t="s">
        <v>777</v>
      </c>
      <c r="F560" s="248">
        <f>F561</f>
        <v>1040.52</v>
      </c>
      <c r="G560" s="407"/>
      <c r="H560" s="248">
        <f>H561</f>
        <v>1040.52</v>
      </c>
      <c r="I560" s="229">
        <v>0</v>
      </c>
      <c r="J560" s="425"/>
      <c r="K560" s="229">
        <v>0</v>
      </c>
      <c r="L560" s="229">
        <v>0</v>
      </c>
      <c r="M560" s="425"/>
      <c r="N560" s="229">
        <v>0</v>
      </c>
    </row>
    <row r="561" spans="1:14" ht="27" x14ac:dyDescent="0.3">
      <c r="A561" s="228"/>
      <c r="B561" s="228"/>
      <c r="C561" s="226"/>
      <c r="D561" s="7" t="s">
        <v>57</v>
      </c>
      <c r="E561" s="221" t="s">
        <v>56</v>
      </c>
      <c r="F561" s="248">
        <v>1040.52</v>
      </c>
      <c r="G561" s="407"/>
      <c r="H561" s="248">
        <v>1040.52</v>
      </c>
      <c r="I561" s="229">
        <v>0</v>
      </c>
      <c r="J561" s="425"/>
      <c r="K561" s="229">
        <v>0</v>
      </c>
      <c r="L561" s="229">
        <v>0</v>
      </c>
      <c r="M561" s="425"/>
      <c r="N561" s="229">
        <v>0</v>
      </c>
    </row>
    <row r="562" spans="1:14" x14ac:dyDescent="0.3">
      <c r="A562" s="36"/>
      <c r="B562" s="22" t="s">
        <v>229</v>
      </c>
      <c r="C562" s="21"/>
      <c r="D562" s="20"/>
      <c r="E562" s="19" t="s">
        <v>228</v>
      </c>
      <c r="F562" s="26">
        <f>F563+F609</f>
        <v>361383.39156000002</v>
      </c>
      <c r="G562" s="26">
        <f>G563+G609</f>
        <v>1426.7999999999997</v>
      </c>
      <c r="H562" s="26">
        <f>H563+H609</f>
        <v>362810.19156000001</v>
      </c>
      <c r="I562" s="26">
        <f t="shared" ref="I562:N562" si="89">I563</f>
        <v>379854.84448999999</v>
      </c>
      <c r="J562" s="424"/>
      <c r="K562" s="26">
        <f t="shared" si="89"/>
        <v>379854.84448999999</v>
      </c>
      <c r="L562" s="26">
        <f t="shared" si="89"/>
        <v>342568.34198999999</v>
      </c>
      <c r="M562" s="424"/>
      <c r="N562" s="26">
        <f t="shared" si="89"/>
        <v>342568.34198999999</v>
      </c>
    </row>
    <row r="563" spans="1:14" x14ac:dyDescent="0.3">
      <c r="A563" s="36"/>
      <c r="B563" s="22"/>
      <c r="C563" s="21" t="s">
        <v>36</v>
      </c>
      <c r="D563" s="20"/>
      <c r="E563" s="27" t="s">
        <v>35</v>
      </c>
      <c r="F563" s="26">
        <f>F564</f>
        <v>361383.39156000002</v>
      </c>
      <c r="G563" s="26">
        <f>G564</f>
        <v>279.49999999999989</v>
      </c>
      <c r="H563" s="26">
        <f>H564</f>
        <v>361662.89156000002</v>
      </c>
      <c r="I563" s="26">
        <f t="shared" ref="I563:N563" si="90">I564</f>
        <v>379854.84448999999</v>
      </c>
      <c r="J563" s="424"/>
      <c r="K563" s="26">
        <f t="shared" si="90"/>
        <v>379854.84448999999</v>
      </c>
      <c r="L563" s="26">
        <f t="shared" si="90"/>
        <v>342568.34198999999</v>
      </c>
      <c r="M563" s="424"/>
      <c r="N563" s="26">
        <f t="shared" si="90"/>
        <v>342568.34198999999</v>
      </c>
    </row>
    <row r="564" spans="1:14" ht="26.4" x14ac:dyDescent="0.3">
      <c r="A564" s="53"/>
      <c r="B564" s="33"/>
      <c r="C564" s="34" t="s">
        <v>79</v>
      </c>
      <c r="D564" s="33"/>
      <c r="E564" s="32" t="s">
        <v>206</v>
      </c>
      <c r="F564" s="31">
        <f>F565+F591+F595</f>
        <v>361383.39156000002</v>
      </c>
      <c r="G564" s="31">
        <f>G565+G591+G595</f>
        <v>279.49999999999989</v>
      </c>
      <c r="H564" s="31">
        <f>H565+H591+H595</f>
        <v>361662.89156000002</v>
      </c>
      <c r="I564" s="31">
        <f>I565+I591+I595</f>
        <v>379854.84448999999</v>
      </c>
      <c r="J564" s="423"/>
      <c r="K564" s="31">
        <f>K565+K591+K595</f>
        <v>379854.84448999999</v>
      </c>
      <c r="L564" s="31">
        <f>L565+L591+L595</f>
        <v>342568.34198999999</v>
      </c>
      <c r="M564" s="423"/>
      <c r="N564" s="31">
        <f>N565+N591+N595</f>
        <v>342568.34198999999</v>
      </c>
    </row>
    <row r="565" spans="1:14" x14ac:dyDescent="0.3">
      <c r="A565" s="30"/>
      <c r="B565" s="30"/>
      <c r="C565" s="30" t="s">
        <v>175</v>
      </c>
      <c r="D565" s="30"/>
      <c r="E565" s="51" t="s">
        <v>174</v>
      </c>
      <c r="F565" s="28">
        <f>F566+F575+F584</f>
        <v>350819.35206</v>
      </c>
      <c r="G565" s="28">
        <f>G566+G575+G584</f>
        <v>-594.40000000000009</v>
      </c>
      <c r="H565" s="28">
        <f>H566+H575+H584</f>
        <v>350224.95205999998</v>
      </c>
      <c r="I565" s="28">
        <f>I566+I575+I584</f>
        <v>344218.09099</v>
      </c>
      <c r="J565" s="410"/>
      <c r="K565" s="28">
        <f>K566+K575+K584</f>
        <v>344218.09099</v>
      </c>
      <c r="L565" s="28">
        <f>L566+L575+L584</f>
        <v>336672.68458999996</v>
      </c>
      <c r="M565" s="410"/>
      <c r="N565" s="28">
        <f>N566+N575+N584</f>
        <v>336672.68458999996</v>
      </c>
    </row>
    <row r="566" spans="1:14" ht="27" x14ac:dyDescent="0.3">
      <c r="A566" s="153"/>
      <c r="B566" s="153"/>
      <c r="C566" s="153" t="s">
        <v>227</v>
      </c>
      <c r="D566" s="153"/>
      <c r="E566" s="154" t="s">
        <v>158</v>
      </c>
      <c r="F566" s="155">
        <f>F567+F569+F571</f>
        <v>308386.82516000001</v>
      </c>
      <c r="G566" s="155">
        <f>G567+G569+G571</f>
        <v>-889.7</v>
      </c>
      <c r="H566" s="155">
        <f>H567+H569+H571</f>
        <v>307497.12516</v>
      </c>
      <c r="I566" s="155">
        <f>I567+I569+I571</f>
        <v>302580.32988999999</v>
      </c>
      <c r="J566" s="411"/>
      <c r="K566" s="155">
        <f>K567+K569+K571</f>
        <v>302580.32988999999</v>
      </c>
      <c r="L566" s="155">
        <f>L567+L569+L571</f>
        <v>295945.78578999999</v>
      </c>
      <c r="M566" s="411"/>
      <c r="N566" s="155">
        <f>N567+N569+N571</f>
        <v>295945.78578999999</v>
      </c>
    </row>
    <row r="567" spans="1:14" ht="27" x14ac:dyDescent="0.3">
      <c r="A567" s="8"/>
      <c r="B567" s="8"/>
      <c r="C567" s="7" t="s">
        <v>226</v>
      </c>
      <c r="D567" s="60"/>
      <c r="E567" s="6" t="s">
        <v>225</v>
      </c>
      <c r="F567" s="9">
        <f>F568</f>
        <v>38014.1</v>
      </c>
      <c r="G567" s="9">
        <f>G568</f>
        <v>-889.7</v>
      </c>
      <c r="H567" s="9">
        <f>H568</f>
        <v>37124.400000000001</v>
      </c>
      <c r="I567" s="9">
        <f>I568</f>
        <v>38014.1</v>
      </c>
      <c r="J567" s="412"/>
      <c r="K567" s="9">
        <f>K568</f>
        <v>38014.1</v>
      </c>
      <c r="L567" s="9">
        <f>L568</f>
        <v>38014.1</v>
      </c>
      <c r="M567" s="412"/>
      <c r="N567" s="9">
        <f>N568</f>
        <v>38014.1</v>
      </c>
    </row>
    <row r="568" spans="1:14" ht="27" x14ac:dyDescent="0.3">
      <c r="A568" s="8"/>
      <c r="B568" s="8"/>
      <c r="C568" s="7"/>
      <c r="D568" s="7" t="s">
        <v>57</v>
      </c>
      <c r="E568" s="6" t="s">
        <v>56</v>
      </c>
      <c r="F568" s="175">
        <v>38014.1</v>
      </c>
      <c r="G568" s="407">
        <v>-889.7</v>
      </c>
      <c r="H568" s="175">
        <v>37124.400000000001</v>
      </c>
      <c r="I568" s="175">
        <v>38014.1</v>
      </c>
      <c r="J568" s="407"/>
      <c r="K568" s="175">
        <v>38014.1</v>
      </c>
      <c r="L568" s="175">
        <v>38014.1</v>
      </c>
      <c r="M568" s="407"/>
      <c r="N568" s="175">
        <v>38014.1</v>
      </c>
    </row>
    <row r="569" spans="1:14" ht="40.200000000000003" x14ac:dyDescent="0.3">
      <c r="A569" s="8"/>
      <c r="B569" s="8"/>
      <c r="C569" s="7" t="s">
        <v>224</v>
      </c>
      <c r="D569" s="7"/>
      <c r="E569" s="6" t="s">
        <v>223</v>
      </c>
      <c r="F569" s="9">
        <f>F570</f>
        <v>260129.92516000001</v>
      </c>
      <c r="G569" s="412"/>
      <c r="H569" s="9">
        <f>H570</f>
        <v>260129.92516000001</v>
      </c>
      <c r="I569" s="9">
        <f>I570</f>
        <v>254323.42989</v>
      </c>
      <c r="J569" s="412"/>
      <c r="K569" s="9">
        <f>K570</f>
        <v>254323.42989</v>
      </c>
      <c r="L569" s="9">
        <f>L570</f>
        <v>247688.88579</v>
      </c>
      <c r="M569" s="412"/>
      <c r="N569" s="9">
        <f>N570</f>
        <v>247688.88579</v>
      </c>
    </row>
    <row r="570" spans="1:14" ht="27" x14ac:dyDescent="0.3">
      <c r="A570" s="8"/>
      <c r="B570" s="8"/>
      <c r="C570" s="7"/>
      <c r="D570" s="7" t="s">
        <v>57</v>
      </c>
      <c r="E570" s="6" t="s">
        <v>56</v>
      </c>
      <c r="F570" s="246">
        <v>260129.92516000001</v>
      </c>
      <c r="G570" s="409"/>
      <c r="H570" s="246">
        <v>260129.92516000001</v>
      </c>
      <c r="I570" s="246">
        <v>254323.42989</v>
      </c>
      <c r="J570" s="409"/>
      <c r="K570" s="246">
        <v>254323.42989</v>
      </c>
      <c r="L570" s="246">
        <v>247688.88579</v>
      </c>
      <c r="M570" s="409"/>
      <c r="N570" s="246">
        <v>247688.88579</v>
      </c>
    </row>
    <row r="571" spans="1:14" ht="51" customHeight="1" x14ac:dyDescent="0.3">
      <c r="A571" s="8"/>
      <c r="B571" s="8"/>
      <c r="C571" s="7" t="s">
        <v>222</v>
      </c>
      <c r="D571" s="7"/>
      <c r="E571" s="6" t="s">
        <v>221</v>
      </c>
      <c r="F571" s="75">
        <f>F573+F574</f>
        <v>10242.800000000001</v>
      </c>
      <c r="G571" s="426"/>
      <c r="H571" s="75">
        <f>H573+H574</f>
        <v>10242.800000000001</v>
      </c>
      <c r="I571" s="75">
        <f>I573+I574</f>
        <v>10242.800000000001</v>
      </c>
      <c r="J571" s="426"/>
      <c r="K571" s="75">
        <f>K573+K574</f>
        <v>10242.800000000001</v>
      </c>
      <c r="L571" s="75">
        <f>L573+L574</f>
        <v>10242.800000000001</v>
      </c>
      <c r="M571" s="426"/>
      <c r="N571" s="75">
        <f>N573+N574</f>
        <v>10242.800000000001</v>
      </c>
    </row>
    <row r="572" spans="1:14" ht="27" x14ac:dyDescent="0.3">
      <c r="A572" s="8"/>
      <c r="B572" s="8"/>
      <c r="C572" s="7"/>
      <c r="D572" s="7" t="s">
        <v>57</v>
      </c>
      <c r="E572" s="6" t="s">
        <v>56</v>
      </c>
      <c r="F572" s="75">
        <f>F573+F574</f>
        <v>10242.800000000001</v>
      </c>
      <c r="G572" s="426"/>
      <c r="H572" s="75">
        <f>H573+H574</f>
        <v>10242.800000000001</v>
      </c>
      <c r="I572" s="75">
        <f>I573+I574</f>
        <v>10242.800000000001</v>
      </c>
      <c r="J572" s="426"/>
      <c r="K572" s="75">
        <f>K573+K574</f>
        <v>10242.800000000001</v>
      </c>
      <c r="L572" s="75">
        <f>L573+L574</f>
        <v>10242.800000000001</v>
      </c>
      <c r="M572" s="426"/>
      <c r="N572" s="75">
        <f>N573+N574</f>
        <v>10242.800000000001</v>
      </c>
    </row>
    <row r="573" spans="1:14" x14ac:dyDescent="0.3">
      <c r="A573" s="8"/>
      <c r="B573" s="8"/>
      <c r="C573" s="7"/>
      <c r="D573" s="7"/>
      <c r="E573" s="6" t="s">
        <v>211</v>
      </c>
      <c r="F573" s="175">
        <v>9474.6</v>
      </c>
      <c r="G573" s="407"/>
      <c r="H573" s="175">
        <v>9474.6</v>
      </c>
      <c r="I573" s="175">
        <v>9474.6</v>
      </c>
      <c r="J573" s="407"/>
      <c r="K573" s="175">
        <v>9474.6</v>
      </c>
      <c r="L573" s="175">
        <v>9474.6</v>
      </c>
      <c r="M573" s="407"/>
      <c r="N573" s="175">
        <v>9474.6</v>
      </c>
    </row>
    <row r="574" spans="1:14" x14ac:dyDescent="0.3">
      <c r="A574" s="8"/>
      <c r="B574" s="8"/>
      <c r="C574" s="7"/>
      <c r="D574" s="7"/>
      <c r="E574" s="6" t="s">
        <v>69</v>
      </c>
      <c r="F574" s="175">
        <v>768.2</v>
      </c>
      <c r="G574" s="407"/>
      <c r="H574" s="175">
        <v>768.2</v>
      </c>
      <c r="I574" s="250">
        <v>768.2</v>
      </c>
      <c r="J574" s="250"/>
      <c r="K574" s="250">
        <v>768.2</v>
      </c>
      <c r="L574" s="175">
        <v>768.2</v>
      </c>
      <c r="M574" s="407"/>
      <c r="N574" s="175">
        <v>768.2</v>
      </c>
    </row>
    <row r="575" spans="1:14" ht="40.200000000000003" x14ac:dyDescent="0.3">
      <c r="A575" s="153"/>
      <c r="B575" s="153"/>
      <c r="C575" s="153" t="s">
        <v>173</v>
      </c>
      <c r="D575" s="153"/>
      <c r="E575" s="154" t="s">
        <v>172</v>
      </c>
      <c r="F575" s="155">
        <f>F576+F578+F580+F582</f>
        <v>20129.7</v>
      </c>
      <c r="G575" s="155">
        <f>G576+G578+G580+G582</f>
        <v>295.3</v>
      </c>
      <c r="H575" s="155">
        <f>H576+H578+H580+H582</f>
        <v>20425</v>
      </c>
      <c r="I575" s="155">
        <f>I576+I578+I580+I582</f>
        <v>19391.7</v>
      </c>
      <c r="J575" s="411"/>
      <c r="K575" s="155">
        <f>K576+K578+K580+K582</f>
        <v>19391.7</v>
      </c>
      <c r="L575" s="155">
        <f>L576+L578+L580+L582</f>
        <v>18474.8</v>
      </c>
      <c r="M575" s="411"/>
      <c r="N575" s="155">
        <f>N576+N578+N580+N582</f>
        <v>18474.8</v>
      </c>
    </row>
    <row r="576" spans="1:14" x14ac:dyDescent="0.3">
      <c r="A576" s="8"/>
      <c r="B576" s="8"/>
      <c r="C576" s="7" t="s">
        <v>220</v>
      </c>
      <c r="D576" s="7"/>
      <c r="E576" s="6" t="s">
        <v>219</v>
      </c>
      <c r="F576" s="9">
        <f>F577</f>
        <v>7277.9</v>
      </c>
      <c r="G576" s="9">
        <f>G577</f>
        <v>295.3</v>
      </c>
      <c r="H576" s="9">
        <f>H577</f>
        <v>7573.2</v>
      </c>
      <c r="I576" s="9">
        <f>I577</f>
        <v>7208.4</v>
      </c>
      <c r="J576" s="412"/>
      <c r="K576" s="9">
        <f>K577</f>
        <v>7208.4</v>
      </c>
      <c r="L576" s="9">
        <f>L577</f>
        <v>7277.9</v>
      </c>
      <c r="M576" s="412"/>
      <c r="N576" s="9">
        <f>N577</f>
        <v>7277.9</v>
      </c>
    </row>
    <row r="577" spans="1:14" ht="27" x14ac:dyDescent="0.3">
      <c r="A577" s="8"/>
      <c r="B577" s="8"/>
      <c r="C577" s="7"/>
      <c r="D577" s="7" t="s">
        <v>57</v>
      </c>
      <c r="E577" s="6" t="s">
        <v>56</v>
      </c>
      <c r="F577" s="175">
        <v>7277.9</v>
      </c>
      <c r="G577" s="407">
        <v>295.3</v>
      </c>
      <c r="H577" s="175">
        <f>F577+295.3</f>
        <v>7573.2</v>
      </c>
      <c r="I577" s="175">
        <v>7208.4</v>
      </c>
      <c r="J577" s="407"/>
      <c r="K577" s="175">
        <v>7208.4</v>
      </c>
      <c r="L577" s="175">
        <v>7277.9</v>
      </c>
      <c r="M577" s="407"/>
      <c r="N577" s="175">
        <v>7277.9</v>
      </c>
    </row>
    <row r="578" spans="1:14" ht="27" x14ac:dyDescent="0.3">
      <c r="A578" s="8"/>
      <c r="B578" s="8"/>
      <c r="C578" s="7" t="s">
        <v>218</v>
      </c>
      <c r="D578" s="7"/>
      <c r="E578" s="6" t="s">
        <v>217</v>
      </c>
      <c r="F578" s="9">
        <f>F579</f>
        <v>446.3</v>
      </c>
      <c r="G578" s="412"/>
      <c r="H578" s="9">
        <f>H579</f>
        <v>446.3</v>
      </c>
      <c r="I578" s="9">
        <f>I579</f>
        <v>446.3</v>
      </c>
      <c r="J578" s="412"/>
      <c r="K578" s="9">
        <f>K579</f>
        <v>446.3</v>
      </c>
      <c r="L578" s="9">
        <f>L579</f>
        <v>446.3</v>
      </c>
      <c r="M578" s="412"/>
      <c r="N578" s="9">
        <f>N579</f>
        <v>446.3</v>
      </c>
    </row>
    <row r="579" spans="1:14" ht="27" x14ac:dyDescent="0.3">
      <c r="A579" s="8"/>
      <c r="B579" s="8"/>
      <c r="C579" s="7"/>
      <c r="D579" s="7" t="s">
        <v>57</v>
      </c>
      <c r="E579" s="6" t="s">
        <v>56</v>
      </c>
      <c r="F579" s="175">
        <v>446.3</v>
      </c>
      <c r="G579" s="407"/>
      <c r="H579" s="175">
        <v>446.3</v>
      </c>
      <c r="I579" s="175">
        <v>446.3</v>
      </c>
      <c r="J579" s="407"/>
      <c r="K579" s="175">
        <v>446.3</v>
      </c>
      <c r="L579" s="175">
        <v>446.3</v>
      </c>
      <c r="M579" s="407"/>
      <c r="N579" s="175">
        <v>446.3</v>
      </c>
    </row>
    <row r="580" spans="1:14" ht="27" x14ac:dyDescent="0.3">
      <c r="A580" s="8"/>
      <c r="B580" s="8"/>
      <c r="C580" s="7" t="s">
        <v>216</v>
      </c>
      <c r="D580" s="7"/>
      <c r="E580" s="6" t="s">
        <v>215</v>
      </c>
      <c r="F580" s="9">
        <f>F581</f>
        <v>105</v>
      </c>
      <c r="G580" s="412"/>
      <c r="H580" s="9">
        <f>H581</f>
        <v>105</v>
      </c>
      <c r="I580" s="9">
        <f>I581</f>
        <v>105</v>
      </c>
      <c r="J580" s="412"/>
      <c r="K580" s="9">
        <f>K581</f>
        <v>105</v>
      </c>
      <c r="L580" s="9">
        <f>L581</f>
        <v>105</v>
      </c>
      <c r="M580" s="412"/>
      <c r="N580" s="9">
        <f>N581</f>
        <v>105</v>
      </c>
    </row>
    <row r="581" spans="1:14" ht="27" x14ac:dyDescent="0.3">
      <c r="A581" s="8"/>
      <c r="B581" s="8"/>
      <c r="C581" s="7"/>
      <c r="D581" s="7" t="s">
        <v>57</v>
      </c>
      <c r="E581" s="6" t="s">
        <v>56</v>
      </c>
      <c r="F581" s="175">
        <v>105</v>
      </c>
      <c r="G581" s="407"/>
      <c r="H581" s="175">
        <v>105</v>
      </c>
      <c r="I581" s="175">
        <v>105</v>
      </c>
      <c r="J581" s="407"/>
      <c r="K581" s="175">
        <v>105</v>
      </c>
      <c r="L581" s="175">
        <v>105</v>
      </c>
      <c r="M581" s="407"/>
      <c r="N581" s="175">
        <v>105</v>
      </c>
    </row>
    <row r="582" spans="1:14" ht="27" x14ac:dyDescent="0.3">
      <c r="A582" s="8"/>
      <c r="B582" s="8"/>
      <c r="C582" s="7" t="s">
        <v>213</v>
      </c>
      <c r="D582" s="7"/>
      <c r="E582" s="6" t="s">
        <v>212</v>
      </c>
      <c r="F582" s="9">
        <f>F583</f>
        <v>12300.5</v>
      </c>
      <c r="G582" s="412"/>
      <c r="H582" s="9">
        <f>H583</f>
        <v>12300.5</v>
      </c>
      <c r="I582" s="9">
        <f>I583</f>
        <v>11632</v>
      </c>
      <c r="J582" s="412"/>
      <c r="K582" s="9">
        <f>K583</f>
        <v>11632</v>
      </c>
      <c r="L582" s="9">
        <f>L583</f>
        <v>10645.6</v>
      </c>
      <c r="M582" s="412"/>
      <c r="N582" s="9">
        <f>N583</f>
        <v>10645.6</v>
      </c>
    </row>
    <row r="583" spans="1:14" ht="27" x14ac:dyDescent="0.3">
      <c r="A583" s="8"/>
      <c r="B583" s="8"/>
      <c r="C583" s="7"/>
      <c r="D583" s="7" t="s">
        <v>57</v>
      </c>
      <c r="E583" s="6" t="s">
        <v>56</v>
      </c>
      <c r="F583" s="246">
        <v>12300.5</v>
      </c>
      <c r="G583" s="409"/>
      <c r="H583" s="246">
        <v>12300.5</v>
      </c>
      <c r="I583" s="246">
        <v>11632</v>
      </c>
      <c r="J583" s="409"/>
      <c r="K583" s="246">
        <v>11632</v>
      </c>
      <c r="L583" s="246">
        <v>10645.6</v>
      </c>
      <c r="M583" s="409"/>
      <c r="N583" s="246">
        <v>10645.6</v>
      </c>
    </row>
    <row r="584" spans="1:14" s="74" customFormat="1" ht="27" customHeight="1" x14ac:dyDescent="0.3">
      <c r="A584" s="161"/>
      <c r="B584" s="161"/>
      <c r="C584" s="216" t="s">
        <v>658</v>
      </c>
      <c r="D584" s="217"/>
      <c r="E584" s="218" t="s">
        <v>659</v>
      </c>
      <c r="F584" s="155">
        <f>F585+F587+F589</f>
        <v>22302.8269</v>
      </c>
      <c r="G584" s="411"/>
      <c r="H584" s="155">
        <f>H585+H587+H589</f>
        <v>22302.8269</v>
      </c>
      <c r="I584" s="155">
        <f>I585+I587+I589</f>
        <v>22246.061099999999</v>
      </c>
      <c r="J584" s="411"/>
      <c r="K584" s="155">
        <f>K585+K587+K589</f>
        <v>22246.061099999999</v>
      </c>
      <c r="L584" s="155">
        <f>L585+L587+L589</f>
        <v>22252.0988</v>
      </c>
      <c r="M584" s="411"/>
      <c r="N584" s="155">
        <f>N585+N587+N589</f>
        <v>22252.0988</v>
      </c>
    </row>
    <row r="585" spans="1:14" ht="27" x14ac:dyDescent="0.3">
      <c r="A585" s="8"/>
      <c r="B585" s="8"/>
      <c r="C585" s="199" t="s">
        <v>660</v>
      </c>
      <c r="D585" s="199"/>
      <c r="E585" s="242" t="s">
        <v>690</v>
      </c>
      <c r="F585" s="9">
        <f t="shared" ref="F585:N585" si="91">F586</f>
        <v>416.92689999999999</v>
      </c>
      <c r="G585" s="412"/>
      <c r="H585" s="9">
        <f t="shared" si="91"/>
        <v>416.92689999999999</v>
      </c>
      <c r="I585" s="9">
        <f t="shared" si="91"/>
        <v>540.36109999999996</v>
      </c>
      <c r="J585" s="412"/>
      <c r="K585" s="9">
        <f t="shared" si="91"/>
        <v>540.36109999999996</v>
      </c>
      <c r="L585" s="9">
        <f t="shared" si="91"/>
        <v>546.79880000000003</v>
      </c>
      <c r="M585" s="412"/>
      <c r="N585" s="9">
        <f t="shared" si="91"/>
        <v>546.79880000000003</v>
      </c>
    </row>
    <row r="586" spans="1:14" ht="27" x14ac:dyDescent="0.3">
      <c r="A586" s="8"/>
      <c r="B586" s="8"/>
      <c r="C586" s="7"/>
      <c r="D586" s="7" t="s">
        <v>57</v>
      </c>
      <c r="E586" s="6" t="s">
        <v>56</v>
      </c>
      <c r="F586" s="246">
        <v>416.92689999999999</v>
      </c>
      <c r="G586" s="409"/>
      <c r="H586" s="246">
        <v>416.92689999999999</v>
      </c>
      <c r="I586" s="246">
        <v>540.36109999999996</v>
      </c>
      <c r="J586" s="409"/>
      <c r="K586" s="246">
        <v>540.36109999999996</v>
      </c>
      <c r="L586" s="246">
        <v>546.79880000000003</v>
      </c>
      <c r="M586" s="409"/>
      <c r="N586" s="246">
        <v>546.79880000000003</v>
      </c>
    </row>
    <row r="587" spans="1:14" ht="40.200000000000003" x14ac:dyDescent="0.3">
      <c r="A587" s="228"/>
      <c r="B587" s="228"/>
      <c r="C587" s="199" t="s">
        <v>712</v>
      </c>
      <c r="D587" s="7"/>
      <c r="E587" s="130" t="s">
        <v>713</v>
      </c>
      <c r="F587" s="246">
        <f>F588</f>
        <v>267</v>
      </c>
      <c r="G587" s="409"/>
      <c r="H587" s="246">
        <f>H588</f>
        <v>267</v>
      </c>
      <c r="I587" s="246">
        <f>I588</f>
        <v>267</v>
      </c>
      <c r="J587" s="409"/>
      <c r="K587" s="246">
        <f>K588</f>
        <v>267</v>
      </c>
      <c r="L587" s="246">
        <f>L588</f>
        <v>267</v>
      </c>
      <c r="M587" s="409"/>
      <c r="N587" s="246">
        <f>N588</f>
        <v>267</v>
      </c>
    </row>
    <row r="588" spans="1:14" ht="27" x14ac:dyDescent="0.3">
      <c r="A588" s="228"/>
      <c r="B588" s="228"/>
      <c r="C588" s="7"/>
      <c r="D588" s="7" t="s">
        <v>57</v>
      </c>
      <c r="E588" s="130" t="s">
        <v>56</v>
      </c>
      <c r="F588" s="246">
        <v>267</v>
      </c>
      <c r="G588" s="409"/>
      <c r="H588" s="246">
        <v>267</v>
      </c>
      <c r="I588" s="246">
        <v>267</v>
      </c>
      <c r="J588" s="409"/>
      <c r="K588" s="246">
        <v>267</v>
      </c>
      <c r="L588" s="246">
        <v>267</v>
      </c>
      <c r="M588" s="409"/>
      <c r="N588" s="246">
        <v>267</v>
      </c>
    </row>
    <row r="589" spans="1:14" ht="27" x14ac:dyDescent="0.3">
      <c r="A589" s="8"/>
      <c r="B589" s="8"/>
      <c r="C589" s="7" t="s">
        <v>752</v>
      </c>
      <c r="D589" s="7"/>
      <c r="E589" s="6" t="s">
        <v>214</v>
      </c>
      <c r="F589" s="9">
        <f>F590</f>
        <v>21618.9</v>
      </c>
      <c r="G589" s="412"/>
      <c r="H589" s="9">
        <f>H590</f>
        <v>21618.9</v>
      </c>
      <c r="I589" s="9">
        <f>I590</f>
        <v>21438.7</v>
      </c>
      <c r="J589" s="412"/>
      <c r="K589" s="9">
        <f>K590</f>
        <v>21438.7</v>
      </c>
      <c r="L589" s="9">
        <f>L590</f>
        <v>21438.3</v>
      </c>
      <c r="M589" s="412"/>
      <c r="N589" s="9">
        <f>N590</f>
        <v>21438.3</v>
      </c>
    </row>
    <row r="590" spans="1:14" ht="27" x14ac:dyDescent="0.3">
      <c r="A590" s="8"/>
      <c r="B590" s="8"/>
      <c r="C590" s="7"/>
      <c r="D590" s="7" t="s">
        <v>57</v>
      </c>
      <c r="E590" s="6" t="s">
        <v>56</v>
      </c>
      <c r="F590" s="246">
        <v>21618.9</v>
      </c>
      <c r="G590" s="409"/>
      <c r="H590" s="246">
        <v>21618.9</v>
      </c>
      <c r="I590" s="246">
        <v>21438.7</v>
      </c>
      <c r="J590" s="409"/>
      <c r="K590" s="246">
        <v>21438.7</v>
      </c>
      <c r="L590" s="246">
        <v>21438.3</v>
      </c>
      <c r="M590" s="409"/>
      <c r="N590" s="246">
        <v>21438.3</v>
      </c>
    </row>
    <row r="591" spans="1:14" x14ac:dyDescent="0.3">
      <c r="A591" s="30"/>
      <c r="B591" s="30"/>
      <c r="C591" s="30" t="s">
        <v>77</v>
      </c>
      <c r="D591" s="30"/>
      <c r="E591" s="51" t="s">
        <v>76</v>
      </c>
      <c r="F591" s="28">
        <f t="shared" ref="F591:N593" si="92">F592</f>
        <v>5187.8594999999996</v>
      </c>
      <c r="G591" s="410"/>
      <c r="H591" s="28">
        <f t="shared" si="92"/>
        <v>5187.8594999999996</v>
      </c>
      <c r="I591" s="28">
        <f t="shared" si="92"/>
        <v>5636.7534999999998</v>
      </c>
      <c r="J591" s="410"/>
      <c r="K591" s="28">
        <f t="shared" si="92"/>
        <v>5636.7534999999998</v>
      </c>
      <c r="L591" s="28">
        <f t="shared" si="92"/>
        <v>5895.6574000000001</v>
      </c>
      <c r="M591" s="410"/>
      <c r="N591" s="28">
        <f t="shared" si="92"/>
        <v>5895.6574000000001</v>
      </c>
    </row>
    <row r="592" spans="1:14" ht="27" x14ac:dyDescent="0.3">
      <c r="A592" s="153"/>
      <c r="B592" s="153"/>
      <c r="C592" s="153" t="s">
        <v>75</v>
      </c>
      <c r="D592" s="153"/>
      <c r="E592" s="154" t="s">
        <v>74</v>
      </c>
      <c r="F592" s="155">
        <f t="shared" si="92"/>
        <v>5187.8594999999996</v>
      </c>
      <c r="G592" s="411"/>
      <c r="H592" s="155">
        <f t="shared" si="92"/>
        <v>5187.8594999999996</v>
      </c>
      <c r="I592" s="155">
        <f t="shared" si="92"/>
        <v>5636.7534999999998</v>
      </c>
      <c r="J592" s="411"/>
      <c r="K592" s="155">
        <f t="shared" si="92"/>
        <v>5636.7534999999998</v>
      </c>
      <c r="L592" s="155">
        <f t="shared" si="92"/>
        <v>5895.6574000000001</v>
      </c>
      <c r="M592" s="411"/>
      <c r="N592" s="155">
        <f t="shared" si="92"/>
        <v>5895.6574000000001</v>
      </c>
    </row>
    <row r="593" spans="1:14" ht="27" x14ac:dyDescent="0.3">
      <c r="A593" s="8"/>
      <c r="B593" s="8"/>
      <c r="C593" s="7" t="s">
        <v>166</v>
      </c>
      <c r="D593" s="7"/>
      <c r="E593" s="6" t="s">
        <v>165</v>
      </c>
      <c r="F593" s="9">
        <f t="shared" si="92"/>
        <v>5187.8594999999996</v>
      </c>
      <c r="G593" s="412"/>
      <c r="H593" s="9">
        <f t="shared" si="92"/>
        <v>5187.8594999999996</v>
      </c>
      <c r="I593" s="9">
        <f t="shared" si="92"/>
        <v>5636.7534999999998</v>
      </c>
      <c r="J593" s="412"/>
      <c r="K593" s="9">
        <f t="shared" si="92"/>
        <v>5636.7534999999998</v>
      </c>
      <c r="L593" s="9">
        <f t="shared" si="92"/>
        <v>5895.6574000000001</v>
      </c>
      <c r="M593" s="412"/>
      <c r="N593" s="9">
        <f t="shared" si="92"/>
        <v>5895.6574000000001</v>
      </c>
    </row>
    <row r="594" spans="1:14" ht="27" x14ac:dyDescent="0.3">
      <c r="A594" s="8"/>
      <c r="B594" s="8"/>
      <c r="C594" s="7"/>
      <c r="D594" s="72" t="s">
        <v>57</v>
      </c>
      <c r="E594" s="71" t="s">
        <v>56</v>
      </c>
      <c r="F594" s="9">
        <v>5187.8594999999996</v>
      </c>
      <c r="G594" s="412"/>
      <c r="H594" s="9">
        <v>5187.8594999999996</v>
      </c>
      <c r="I594" s="9">
        <v>5636.7534999999998</v>
      </c>
      <c r="J594" s="412"/>
      <c r="K594" s="9">
        <v>5636.7534999999998</v>
      </c>
      <c r="L594" s="9">
        <v>5895.6574000000001</v>
      </c>
      <c r="M594" s="412"/>
      <c r="N594" s="9">
        <v>5895.6574000000001</v>
      </c>
    </row>
    <row r="595" spans="1:14" x14ac:dyDescent="0.3">
      <c r="A595" s="30"/>
      <c r="B595" s="30"/>
      <c r="C595" s="30" t="s">
        <v>210</v>
      </c>
      <c r="D595" s="30"/>
      <c r="E595" s="51" t="s">
        <v>209</v>
      </c>
      <c r="F595" s="28">
        <f>F596</f>
        <v>5376.18</v>
      </c>
      <c r="G595" s="28">
        <f>G596</f>
        <v>873.9</v>
      </c>
      <c r="H595" s="28">
        <f>H596</f>
        <v>6250.08</v>
      </c>
      <c r="I595" s="28">
        <f>I596</f>
        <v>30000</v>
      </c>
      <c r="J595" s="410"/>
      <c r="K595" s="28">
        <f>K596</f>
        <v>30000</v>
      </c>
      <c r="L595" s="28">
        <f>L596</f>
        <v>0</v>
      </c>
      <c r="M595" s="410"/>
      <c r="N595" s="28">
        <f>N596</f>
        <v>0</v>
      </c>
    </row>
    <row r="596" spans="1:14" ht="27" x14ac:dyDescent="0.3">
      <c r="A596" s="160"/>
      <c r="B596" s="160"/>
      <c r="C596" s="160" t="s">
        <v>208</v>
      </c>
      <c r="D596" s="160"/>
      <c r="E596" s="154" t="s">
        <v>207</v>
      </c>
      <c r="F596" s="155">
        <f>F597+F603+F605+F601+F607</f>
        <v>5376.18</v>
      </c>
      <c r="G596" s="155">
        <f>G597+G603+G605+G601+G607</f>
        <v>873.9</v>
      </c>
      <c r="H596" s="155">
        <f>H597+H603+H605+H601+H607</f>
        <v>6250.08</v>
      </c>
      <c r="I596" s="155">
        <f>I597+I603</f>
        <v>30000</v>
      </c>
      <c r="J596" s="411"/>
      <c r="K596" s="155">
        <f>K597+K603</f>
        <v>30000</v>
      </c>
      <c r="L596" s="155">
        <f>L597+L603</f>
        <v>0</v>
      </c>
      <c r="M596" s="411"/>
      <c r="N596" s="155">
        <f>N597+N603</f>
        <v>0</v>
      </c>
    </row>
    <row r="597" spans="1:14" ht="27" x14ac:dyDescent="0.3">
      <c r="A597" s="213"/>
      <c r="B597" s="213"/>
      <c r="C597" s="7" t="s">
        <v>641</v>
      </c>
      <c r="D597" s="199"/>
      <c r="E597" s="200" t="s">
        <v>642</v>
      </c>
      <c r="F597" s="210">
        <f>F598</f>
        <v>0</v>
      </c>
      <c r="G597" s="425"/>
      <c r="H597" s="210">
        <f>H598</f>
        <v>0</v>
      </c>
      <c r="I597" s="210">
        <f>I598</f>
        <v>30000</v>
      </c>
      <c r="J597" s="425"/>
      <c r="K597" s="210">
        <f>K598</f>
        <v>30000</v>
      </c>
      <c r="L597" s="210">
        <f>L598</f>
        <v>0</v>
      </c>
      <c r="M597" s="425"/>
      <c r="N597" s="210">
        <f>N598</f>
        <v>0</v>
      </c>
    </row>
    <row r="598" spans="1:14" ht="27" x14ac:dyDescent="0.3">
      <c r="A598" s="213"/>
      <c r="B598" s="213"/>
      <c r="C598" s="199"/>
      <c r="D598" s="7" t="s">
        <v>57</v>
      </c>
      <c r="E598" s="130" t="s">
        <v>56</v>
      </c>
      <c r="F598" s="210">
        <f>F600</f>
        <v>0</v>
      </c>
      <c r="G598" s="425"/>
      <c r="H598" s="210">
        <f>H600</f>
        <v>0</v>
      </c>
      <c r="I598" s="210">
        <f>I600+I599</f>
        <v>30000</v>
      </c>
      <c r="J598" s="425"/>
      <c r="K598" s="210">
        <f>K600+K599</f>
        <v>30000</v>
      </c>
      <c r="L598" s="210">
        <f>L600</f>
        <v>0</v>
      </c>
      <c r="M598" s="425"/>
      <c r="N598" s="210">
        <f>N600</f>
        <v>0</v>
      </c>
    </row>
    <row r="599" spans="1:14" x14ac:dyDescent="0.3">
      <c r="A599" s="228"/>
      <c r="B599" s="228"/>
      <c r="C599" s="226"/>
      <c r="D599" s="226"/>
      <c r="E599" s="201" t="s">
        <v>211</v>
      </c>
      <c r="F599" s="229">
        <v>0</v>
      </c>
      <c r="G599" s="425"/>
      <c r="H599" s="229">
        <v>0</v>
      </c>
      <c r="I599" s="229">
        <v>22500</v>
      </c>
      <c r="J599" s="425"/>
      <c r="K599" s="229">
        <v>22500</v>
      </c>
      <c r="L599" s="229">
        <v>0</v>
      </c>
      <c r="M599" s="425"/>
      <c r="N599" s="229">
        <v>0</v>
      </c>
    </row>
    <row r="600" spans="1:14" x14ac:dyDescent="0.3">
      <c r="A600" s="213"/>
      <c r="B600" s="213"/>
      <c r="C600" s="199"/>
      <c r="D600" s="199"/>
      <c r="E600" s="130" t="s">
        <v>69</v>
      </c>
      <c r="F600" s="210">
        <v>0</v>
      </c>
      <c r="G600" s="425"/>
      <c r="H600" s="210">
        <v>0</v>
      </c>
      <c r="I600" s="210">
        <v>7500</v>
      </c>
      <c r="J600" s="425"/>
      <c r="K600" s="210">
        <v>7500</v>
      </c>
      <c r="L600" s="210">
        <v>0</v>
      </c>
      <c r="M600" s="425"/>
      <c r="N600" s="210">
        <v>0</v>
      </c>
    </row>
    <row r="601" spans="1:14" ht="27" x14ac:dyDescent="0.3">
      <c r="A601" s="272"/>
      <c r="B601" s="272"/>
      <c r="C601" s="270" t="s">
        <v>774</v>
      </c>
      <c r="D601" s="268"/>
      <c r="E601" s="271" t="s">
        <v>775</v>
      </c>
      <c r="F601" s="273">
        <f>F602</f>
        <v>821.4</v>
      </c>
      <c r="G601" s="273">
        <f>G602</f>
        <v>642.4</v>
      </c>
      <c r="H601" s="273">
        <f>H602</f>
        <v>1463.8</v>
      </c>
      <c r="I601" s="273">
        <v>0</v>
      </c>
      <c r="J601" s="425"/>
      <c r="K601" s="273">
        <v>0</v>
      </c>
      <c r="L601" s="273">
        <v>0</v>
      </c>
      <c r="M601" s="425"/>
      <c r="N601" s="273">
        <v>0</v>
      </c>
    </row>
    <row r="602" spans="1:14" ht="27" x14ac:dyDescent="0.3">
      <c r="A602" s="272"/>
      <c r="B602" s="272"/>
      <c r="C602" s="270"/>
      <c r="D602" s="268" t="s">
        <v>57</v>
      </c>
      <c r="E602" s="271" t="s">
        <v>56</v>
      </c>
      <c r="F602" s="273">
        <v>821.4</v>
      </c>
      <c r="G602" s="425">
        <v>642.4</v>
      </c>
      <c r="H602" s="273">
        <f>F602+642.4</f>
        <v>1463.8</v>
      </c>
      <c r="I602" s="273">
        <v>0</v>
      </c>
      <c r="J602" s="425"/>
      <c r="K602" s="273">
        <v>0</v>
      </c>
      <c r="L602" s="273">
        <v>0</v>
      </c>
      <c r="M602" s="425"/>
      <c r="N602" s="273">
        <v>0</v>
      </c>
    </row>
    <row r="603" spans="1:14" ht="39.6" x14ac:dyDescent="0.3">
      <c r="A603" s="223"/>
      <c r="B603" s="223"/>
      <c r="C603" s="225" t="s">
        <v>664</v>
      </c>
      <c r="D603" s="222"/>
      <c r="E603" s="241" t="s">
        <v>695</v>
      </c>
      <c r="F603" s="224">
        <f>F604</f>
        <v>1531.3000000000002</v>
      </c>
      <c r="G603" s="224">
        <f>G604</f>
        <v>231.5</v>
      </c>
      <c r="H603" s="224">
        <f>H604</f>
        <v>1762.8000000000002</v>
      </c>
      <c r="I603" s="224">
        <v>0</v>
      </c>
      <c r="J603" s="425"/>
      <c r="K603" s="224">
        <v>0</v>
      </c>
      <c r="L603" s="224">
        <v>0</v>
      </c>
      <c r="M603" s="425"/>
      <c r="N603" s="224">
        <v>0</v>
      </c>
    </row>
    <row r="604" spans="1:14" ht="27" x14ac:dyDescent="0.3">
      <c r="A604" s="223"/>
      <c r="B604" s="223"/>
      <c r="C604" s="220"/>
      <c r="D604" s="220" t="s">
        <v>57</v>
      </c>
      <c r="E604" s="221" t="s">
        <v>56</v>
      </c>
      <c r="F604" s="211">
        <v>1531.3000000000002</v>
      </c>
      <c r="G604" s="407">
        <f>231.5</f>
        <v>231.5</v>
      </c>
      <c r="H604" s="211">
        <f>F604+231.5</f>
        <v>1762.8000000000002</v>
      </c>
      <c r="I604" s="224">
        <v>0</v>
      </c>
      <c r="J604" s="425"/>
      <c r="K604" s="224">
        <v>0</v>
      </c>
      <c r="L604" s="224">
        <v>0</v>
      </c>
      <c r="M604" s="425"/>
      <c r="N604" s="224">
        <v>0</v>
      </c>
    </row>
    <row r="605" spans="1:14" x14ac:dyDescent="0.3">
      <c r="A605" s="228"/>
      <c r="B605" s="228"/>
      <c r="C605" s="225" t="s">
        <v>766</v>
      </c>
      <c r="D605" s="226"/>
      <c r="E605" s="262" t="s">
        <v>777</v>
      </c>
      <c r="F605" s="248">
        <f>F606</f>
        <v>1653.48</v>
      </c>
      <c r="G605" s="407"/>
      <c r="H605" s="248">
        <f>H606</f>
        <v>1653.48</v>
      </c>
      <c r="I605" s="229">
        <v>0</v>
      </c>
      <c r="J605" s="425"/>
      <c r="K605" s="229">
        <v>0</v>
      </c>
      <c r="L605" s="229">
        <v>0</v>
      </c>
      <c r="M605" s="425"/>
      <c r="N605" s="229">
        <v>0</v>
      </c>
    </row>
    <row r="606" spans="1:14" ht="27" x14ac:dyDescent="0.3">
      <c r="A606" s="228"/>
      <c r="B606" s="228"/>
      <c r="C606" s="226"/>
      <c r="D606" s="7" t="s">
        <v>57</v>
      </c>
      <c r="E606" s="221" t="s">
        <v>56</v>
      </c>
      <c r="F606" s="248">
        <v>1653.48</v>
      </c>
      <c r="G606" s="407"/>
      <c r="H606" s="248">
        <v>1653.48</v>
      </c>
      <c r="I606" s="229">
        <v>0</v>
      </c>
      <c r="J606" s="425"/>
      <c r="K606" s="229">
        <v>0</v>
      </c>
      <c r="L606" s="229">
        <v>0</v>
      </c>
      <c r="M606" s="425"/>
      <c r="N606" s="229">
        <v>0</v>
      </c>
    </row>
    <row r="607" spans="1:14" x14ac:dyDescent="0.3">
      <c r="A607" s="284"/>
      <c r="B607" s="284"/>
      <c r="C607" s="225" t="s">
        <v>783</v>
      </c>
      <c r="D607" s="281"/>
      <c r="E607" s="282" t="s">
        <v>784</v>
      </c>
      <c r="F607" s="283">
        <f>F608</f>
        <v>1370</v>
      </c>
      <c r="G607" s="407"/>
      <c r="H607" s="283">
        <f>H608</f>
        <v>1370</v>
      </c>
      <c r="I607" s="285">
        <v>0</v>
      </c>
      <c r="J607" s="425"/>
      <c r="K607" s="285">
        <v>0</v>
      </c>
      <c r="L607" s="285">
        <v>0</v>
      </c>
      <c r="M607" s="425"/>
      <c r="N607" s="285">
        <v>0</v>
      </c>
    </row>
    <row r="608" spans="1:14" ht="27" x14ac:dyDescent="0.3">
      <c r="A608" s="284"/>
      <c r="B608" s="284"/>
      <c r="C608" s="281"/>
      <c r="D608" s="281" t="s">
        <v>57</v>
      </c>
      <c r="E608" s="221" t="s">
        <v>56</v>
      </c>
      <c r="F608" s="283">
        <v>1370</v>
      </c>
      <c r="G608" s="407"/>
      <c r="H608" s="283">
        <v>1370</v>
      </c>
      <c r="I608" s="285">
        <v>0</v>
      </c>
      <c r="J608" s="425"/>
      <c r="K608" s="285">
        <v>0</v>
      </c>
      <c r="L608" s="285">
        <v>0</v>
      </c>
      <c r="M608" s="425"/>
      <c r="N608" s="285">
        <v>0</v>
      </c>
    </row>
    <row r="609" spans="1:14" x14ac:dyDescent="0.3">
      <c r="A609" s="17"/>
      <c r="B609" s="17"/>
      <c r="C609" s="17" t="s">
        <v>18</v>
      </c>
      <c r="D609" s="17"/>
      <c r="E609" s="16" t="s">
        <v>17</v>
      </c>
      <c r="F609" s="15">
        <f t="shared" ref="F609:N610" si="93">F610</f>
        <v>0</v>
      </c>
      <c r="G609" s="15">
        <f t="shared" si="93"/>
        <v>1147.3</v>
      </c>
      <c r="H609" s="15">
        <f t="shared" si="93"/>
        <v>1147.3</v>
      </c>
      <c r="I609" s="15">
        <f t="shared" si="93"/>
        <v>0</v>
      </c>
      <c r="J609" s="432"/>
      <c r="K609" s="15">
        <f t="shared" si="93"/>
        <v>0</v>
      </c>
      <c r="L609" s="15">
        <f t="shared" si="93"/>
        <v>0</v>
      </c>
      <c r="M609" s="432"/>
      <c r="N609" s="15">
        <f t="shared" si="93"/>
        <v>0</v>
      </c>
    </row>
    <row r="610" spans="1:14" ht="27" x14ac:dyDescent="0.3">
      <c r="A610" s="14"/>
      <c r="B610" s="14"/>
      <c r="C610" s="14" t="s">
        <v>16</v>
      </c>
      <c r="D610" s="14"/>
      <c r="E610" s="13" t="s">
        <v>15</v>
      </c>
      <c r="F610" s="12">
        <f t="shared" si="93"/>
        <v>0</v>
      </c>
      <c r="G610" s="12">
        <f t="shared" si="93"/>
        <v>1147.3</v>
      </c>
      <c r="H610" s="12">
        <f t="shared" si="93"/>
        <v>1147.3</v>
      </c>
      <c r="I610" s="12">
        <f t="shared" si="93"/>
        <v>0</v>
      </c>
      <c r="J610" s="428"/>
      <c r="K610" s="12">
        <f t="shared" si="93"/>
        <v>0</v>
      </c>
      <c r="L610" s="12">
        <f t="shared" si="93"/>
        <v>0</v>
      </c>
      <c r="M610" s="428"/>
      <c r="N610" s="12">
        <f t="shared" si="93"/>
        <v>0</v>
      </c>
    </row>
    <row r="611" spans="1:14" x14ac:dyDescent="0.3">
      <c r="A611" s="8"/>
      <c r="B611" s="8"/>
      <c r="C611" s="54" t="s">
        <v>478</v>
      </c>
      <c r="D611" s="54"/>
      <c r="E611" s="10" t="s">
        <v>477</v>
      </c>
      <c r="F611" s="9">
        <v>0</v>
      </c>
      <c r="G611" s="9">
        <f>G612</f>
        <v>1147.3</v>
      </c>
      <c r="H611" s="9">
        <f>H612</f>
        <v>1147.3</v>
      </c>
      <c r="I611" s="9">
        <v>0</v>
      </c>
      <c r="J611" s="412"/>
      <c r="K611" s="9">
        <v>0</v>
      </c>
      <c r="L611" s="9">
        <v>0</v>
      </c>
      <c r="M611" s="412"/>
      <c r="N611" s="9">
        <v>0</v>
      </c>
    </row>
    <row r="612" spans="1:14" ht="27" x14ac:dyDescent="0.3">
      <c r="A612" s="8"/>
      <c r="B612" s="8"/>
      <c r="C612" s="54"/>
      <c r="D612" s="7" t="s">
        <v>57</v>
      </c>
      <c r="E612" s="6" t="s">
        <v>56</v>
      </c>
      <c r="F612" s="9">
        <f>1243.6-1243.6</f>
        <v>0</v>
      </c>
      <c r="G612" s="412">
        <f>547.3+600</f>
        <v>1147.3</v>
      </c>
      <c r="H612" s="9">
        <v>1147.3</v>
      </c>
      <c r="I612" s="9">
        <f>1243.6-1243.6</f>
        <v>0</v>
      </c>
      <c r="J612" s="412"/>
      <c r="K612" s="9">
        <f>1243.6-1243.6</f>
        <v>0</v>
      </c>
      <c r="L612" s="9">
        <f>1243.6-1243.6</f>
        <v>0</v>
      </c>
      <c r="M612" s="412"/>
      <c r="N612" s="9">
        <f>1243.6-1243.6</f>
        <v>0</v>
      </c>
    </row>
    <row r="613" spans="1:14" x14ac:dyDescent="0.3">
      <c r="A613" s="36"/>
      <c r="B613" s="22" t="s">
        <v>144</v>
      </c>
      <c r="C613" s="21"/>
      <c r="D613" s="22"/>
      <c r="E613" s="27" t="s">
        <v>143</v>
      </c>
      <c r="F613" s="26">
        <f t="shared" ref="F613:N616" si="94">F614</f>
        <v>42240.150999999998</v>
      </c>
      <c r="G613" s="424"/>
      <c r="H613" s="26">
        <f t="shared" si="94"/>
        <v>42240.150999999998</v>
      </c>
      <c r="I613" s="26">
        <f t="shared" si="94"/>
        <v>43636.800000000003</v>
      </c>
      <c r="J613" s="424"/>
      <c r="K613" s="26">
        <f t="shared" si="94"/>
        <v>43636.800000000003</v>
      </c>
      <c r="L613" s="26">
        <f t="shared" si="94"/>
        <v>43636.800000000003</v>
      </c>
      <c r="M613" s="424"/>
      <c r="N613" s="26">
        <f t="shared" si="94"/>
        <v>43636.800000000003</v>
      </c>
    </row>
    <row r="614" spans="1:14" x14ac:dyDescent="0.3">
      <c r="A614" s="36"/>
      <c r="B614" s="22"/>
      <c r="C614" s="21" t="s">
        <v>36</v>
      </c>
      <c r="D614" s="20"/>
      <c r="E614" s="27" t="s">
        <v>35</v>
      </c>
      <c r="F614" s="26">
        <f t="shared" si="94"/>
        <v>42240.150999999998</v>
      </c>
      <c r="G614" s="424"/>
      <c r="H614" s="26">
        <f t="shared" si="94"/>
        <v>42240.150999999998</v>
      </c>
      <c r="I614" s="26">
        <f t="shared" si="94"/>
        <v>43636.800000000003</v>
      </c>
      <c r="J614" s="424"/>
      <c r="K614" s="26">
        <f t="shared" si="94"/>
        <v>43636.800000000003</v>
      </c>
      <c r="L614" s="26">
        <f t="shared" si="94"/>
        <v>43636.800000000003</v>
      </c>
      <c r="M614" s="424"/>
      <c r="N614" s="26">
        <f t="shared" si="94"/>
        <v>43636.800000000003</v>
      </c>
    </row>
    <row r="615" spans="1:14" ht="26.4" x14ac:dyDescent="0.3">
      <c r="A615" s="53"/>
      <c r="B615" s="33"/>
      <c r="C615" s="34" t="s">
        <v>79</v>
      </c>
      <c r="D615" s="33"/>
      <c r="E615" s="32" t="s">
        <v>206</v>
      </c>
      <c r="F615" s="31">
        <f>F616+F622</f>
        <v>42240.150999999998</v>
      </c>
      <c r="G615" s="423"/>
      <c r="H615" s="31">
        <f>H616+H622</f>
        <v>42240.150999999998</v>
      </c>
      <c r="I615" s="31">
        <f t="shared" si="94"/>
        <v>43636.800000000003</v>
      </c>
      <c r="J615" s="423"/>
      <c r="K615" s="31">
        <f t="shared" si="94"/>
        <v>43636.800000000003</v>
      </c>
      <c r="L615" s="31">
        <f t="shared" si="94"/>
        <v>43636.800000000003</v>
      </c>
      <c r="M615" s="423"/>
      <c r="N615" s="31">
        <f t="shared" si="94"/>
        <v>43636.800000000003</v>
      </c>
    </row>
    <row r="616" spans="1:14" x14ac:dyDescent="0.3">
      <c r="A616" s="30"/>
      <c r="B616" s="30"/>
      <c r="C616" s="30" t="s">
        <v>201</v>
      </c>
      <c r="D616" s="30"/>
      <c r="E616" s="51" t="s">
        <v>200</v>
      </c>
      <c r="F616" s="28">
        <f t="shared" si="94"/>
        <v>42181.1</v>
      </c>
      <c r="G616" s="410"/>
      <c r="H616" s="28">
        <f t="shared" si="94"/>
        <v>42181.1</v>
      </c>
      <c r="I616" s="28">
        <f t="shared" si="94"/>
        <v>43636.800000000003</v>
      </c>
      <c r="J616" s="410"/>
      <c r="K616" s="28">
        <f t="shared" si="94"/>
        <v>43636.800000000003</v>
      </c>
      <c r="L616" s="28">
        <f t="shared" si="94"/>
        <v>43636.800000000003</v>
      </c>
      <c r="M616" s="410"/>
      <c r="N616" s="28">
        <f t="shared" si="94"/>
        <v>43636.800000000003</v>
      </c>
    </row>
    <row r="617" spans="1:14" ht="27" x14ac:dyDescent="0.3">
      <c r="A617" s="153"/>
      <c r="B617" s="153"/>
      <c r="C617" s="153" t="s">
        <v>199</v>
      </c>
      <c r="D617" s="160"/>
      <c r="E617" s="154" t="s">
        <v>198</v>
      </c>
      <c r="F617" s="155">
        <f>F618+F620</f>
        <v>42181.1</v>
      </c>
      <c r="G617" s="411"/>
      <c r="H617" s="155">
        <f>H618+H620</f>
        <v>42181.1</v>
      </c>
      <c r="I617" s="155">
        <f>I618+I620</f>
        <v>43636.800000000003</v>
      </c>
      <c r="J617" s="411"/>
      <c r="K617" s="155">
        <f>K618+K620</f>
        <v>43636.800000000003</v>
      </c>
      <c r="L617" s="155">
        <f>L618+L620</f>
        <v>43636.800000000003</v>
      </c>
      <c r="M617" s="411"/>
      <c r="N617" s="155">
        <f>N618+N620</f>
        <v>43636.800000000003</v>
      </c>
    </row>
    <row r="618" spans="1:14" ht="30" customHeight="1" x14ac:dyDescent="0.3">
      <c r="A618" s="8"/>
      <c r="B618" s="8"/>
      <c r="C618" s="7" t="s">
        <v>205</v>
      </c>
      <c r="D618" s="60"/>
      <c r="E618" s="6" t="s">
        <v>204</v>
      </c>
      <c r="F618" s="9">
        <f>F619</f>
        <v>26836.3</v>
      </c>
      <c r="G618" s="412"/>
      <c r="H618" s="9">
        <f>H619</f>
        <v>26836.3</v>
      </c>
      <c r="I618" s="9">
        <f>I619</f>
        <v>27848.5</v>
      </c>
      <c r="J618" s="412"/>
      <c r="K618" s="9">
        <f>K619</f>
        <v>27848.5</v>
      </c>
      <c r="L618" s="9">
        <f>L619</f>
        <v>27848.5</v>
      </c>
      <c r="M618" s="412"/>
      <c r="N618" s="9">
        <f>N619</f>
        <v>27848.5</v>
      </c>
    </row>
    <row r="619" spans="1:14" ht="27" x14ac:dyDescent="0.3">
      <c r="A619" s="8"/>
      <c r="B619" s="8"/>
      <c r="C619" s="7"/>
      <c r="D619" s="7" t="s">
        <v>57</v>
      </c>
      <c r="E619" s="6" t="s">
        <v>56</v>
      </c>
      <c r="F619" s="175">
        <v>26836.3</v>
      </c>
      <c r="G619" s="407"/>
      <c r="H619" s="175">
        <v>26836.3</v>
      </c>
      <c r="I619" s="175">
        <v>27848.5</v>
      </c>
      <c r="J619" s="407"/>
      <c r="K619" s="175">
        <v>27848.5</v>
      </c>
      <c r="L619" s="175">
        <v>27848.5</v>
      </c>
      <c r="M619" s="407"/>
      <c r="N619" s="175">
        <v>27848.5</v>
      </c>
    </row>
    <row r="620" spans="1:14" ht="27" customHeight="1" x14ac:dyDescent="0.3">
      <c r="A620" s="8"/>
      <c r="B620" s="8"/>
      <c r="C620" s="7" t="s">
        <v>203</v>
      </c>
      <c r="D620" s="60"/>
      <c r="E620" s="6" t="s">
        <v>202</v>
      </c>
      <c r="F620" s="9">
        <f>F621</f>
        <v>15344.8</v>
      </c>
      <c r="G620" s="412"/>
      <c r="H620" s="9">
        <f>H621</f>
        <v>15344.8</v>
      </c>
      <c r="I620" s="9">
        <f>I621</f>
        <v>15788.3</v>
      </c>
      <c r="J620" s="412"/>
      <c r="K620" s="9">
        <f>K621</f>
        <v>15788.3</v>
      </c>
      <c r="L620" s="9">
        <f>L621</f>
        <v>15788.3</v>
      </c>
      <c r="M620" s="412"/>
      <c r="N620" s="9">
        <f>N621</f>
        <v>15788.3</v>
      </c>
    </row>
    <row r="621" spans="1:14" ht="27" x14ac:dyDescent="0.3">
      <c r="A621" s="8"/>
      <c r="B621" s="8"/>
      <c r="C621" s="7"/>
      <c r="D621" s="7" t="s">
        <v>57</v>
      </c>
      <c r="E621" s="6" t="s">
        <v>56</v>
      </c>
      <c r="F621" s="175">
        <v>15344.8</v>
      </c>
      <c r="G621" s="407"/>
      <c r="H621" s="175">
        <v>15344.8</v>
      </c>
      <c r="I621" s="175">
        <v>15788.3</v>
      </c>
      <c r="J621" s="407"/>
      <c r="K621" s="175">
        <v>15788.3</v>
      </c>
      <c r="L621" s="175">
        <v>15788.3</v>
      </c>
      <c r="M621" s="407"/>
      <c r="N621" s="175">
        <v>15788.3</v>
      </c>
    </row>
    <row r="622" spans="1:14" x14ac:dyDescent="0.3">
      <c r="A622" s="30"/>
      <c r="B622" s="30"/>
      <c r="C622" s="30" t="s">
        <v>210</v>
      </c>
      <c r="D622" s="30"/>
      <c r="E622" s="51" t="s">
        <v>209</v>
      </c>
      <c r="F622" s="28">
        <f>F623</f>
        <v>59.051000000000002</v>
      </c>
      <c r="G622" s="410"/>
      <c r="H622" s="28">
        <f>H623</f>
        <v>59.051000000000002</v>
      </c>
      <c r="I622" s="28">
        <f>I623</f>
        <v>0</v>
      </c>
      <c r="J622" s="410"/>
      <c r="K622" s="28">
        <f>K623</f>
        <v>0</v>
      </c>
      <c r="L622" s="28">
        <f>L623</f>
        <v>0</v>
      </c>
      <c r="M622" s="410"/>
      <c r="N622" s="28">
        <f>N623</f>
        <v>0</v>
      </c>
    </row>
    <row r="623" spans="1:14" ht="27" x14ac:dyDescent="0.3">
      <c r="A623" s="160"/>
      <c r="B623" s="160"/>
      <c r="C623" s="160" t="s">
        <v>208</v>
      </c>
      <c r="D623" s="160"/>
      <c r="E623" s="154" t="s">
        <v>207</v>
      </c>
      <c r="F623" s="155">
        <f>F624</f>
        <v>59.051000000000002</v>
      </c>
      <c r="G623" s="411"/>
      <c r="H623" s="155">
        <f>H624</f>
        <v>59.051000000000002</v>
      </c>
      <c r="I623" s="155">
        <f t="shared" ref="I623:N623" si="95">I624</f>
        <v>0</v>
      </c>
      <c r="J623" s="411"/>
      <c r="K623" s="155">
        <f t="shared" si="95"/>
        <v>0</v>
      </c>
      <c r="L623" s="155">
        <f t="shared" si="95"/>
        <v>0</v>
      </c>
      <c r="M623" s="411"/>
      <c r="N623" s="155">
        <f t="shared" si="95"/>
        <v>0</v>
      </c>
    </row>
    <row r="624" spans="1:14" s="23" customFormat="1" ht="27" x14ac:dyDescent="0.3">
      <c r="A624" s="60"/>
      <c r="B624" s="60"/>
      <c r="C624" s="73" t="s">
        <v>749</v>
      </c>
      <c r="D624" s="7"/>
      <c r="E624" s="97" t="s">
        <v>739</v>
      </c>
      <c r="F624" s="175">
        <f>F625</f>
        <v>59.051000000000002</v>
      </c>
      <c r="G624" s="407"/>
      <c r="H624" s="175">
        <f>H625</f>
        <v>59.051000000000002</v>
      </c>
      <c r="I624" s="9">
        <v>0</v>
      </c>
      <c r="J624" s="412"/>
      <c r="K624" s="9">
        <v>0</v>
      </c>
      <c r="L624" s="9">
        <v>0</v>
      </c>
      <c r="M624" s="412"/>
      <c r="N624" s="9">
        <v>0</v>
      </c>
    </row>
    <row r="625" spans="1:14" s="23" customFormat="1" ht="27" x14ac:dyDescent="0.3">
      <c r="A625" s="60"/>
      <c r="B625" s="60"/>
      <c r="C625" s="7"/>
      <c r="D625" s="7" t="s">
        <v>57</v>
      </c>
      <c r="E625" s="6" t="s">
        <v>56</v>
      </c>
      <c r="F625" s="175">
        <f>F626+F627</f>
        <v>59.051000000000002</v>
      </c>
      <c r="G625" s="407"/>
      <c r="H625" s="175">
        <f>H626+H627</f>
        <v>59.051000000000002</v>
      </c>
      <c r="I625" s="9">
        <v>0</v>
      </c>
      <c r="J625" s="412"/>
      <c r="K625" s="9">
        <v>0</v>
      </c>
      <c r="L625" s="9">
        <v>0</v>
      </c>
      <c r="M625" s="412"/>
      <c r="N625" s="9">
        <v>0</v>
      </c>
    </row>
    <row r="626" spans="1:14" s="23" customFormat="1" x14ac:dyDescent="0.3">
      <c r="A626" s="60"/>
      <c r="B626" s="60"/>
      <c r="C626" s="7"/>
      <c r="D626" s="7"/>
      <c r="E626" s="96" t="s">
        <v>296</v>
      </c>
      <c r="F626" s="175">
        <v>29.525500000000001</v>
      </c>
      <c r="G626" s="407"/>
      <c r="H626" s="175">
        <v>29.525500000000001</v>
      </c>
      <c r="I626" s="9">
        <v>0</v>
      </c>
      <c r="J626" s="412"/>
      <c r="K626" s="9">
        <v>0</v>
      </c>
      <c r="L626" s="9">
        <v>0</v>
      </c>
      <c r="M626" s="412"/>
      <c r="N626" s="9">
        <v>0</v>
      </c>
    </row>
    <row r="627" spans="1:14" s="23" customFormat="1" x14ac:dyDescent="0.3">
      <c r="A627" s="60"/>
      <c r="B627" s="60"/>
      <c r="C627" s="7"/>
      <c r="D627" s="7"/>
      <c r="E627" s="96" t="s">
        <v>302</v>
      </c>
      <c r="F627" s="175">
        <v>29.525500000000001</v>
      </c>
      <c r="G627" s="407"/>
      <c r="H627" s="175">
        <v>29.525500000000001</v>
      </c>
      <c r="I627" s="9">
        <v>0</v>
      </c>
      <c r="J627" s="412"/>
      <c r="K627" s="9">
        <v>0</v>
      </c>
      <c r="L627" s="9">
        <v>0</v>
      </c>
      <c r="M627" s="412"/>
      <c r="N627" s="9">
        <v>0</v>
      </c>
    </row>
    <row r="628" spans="1:14" x14ac:dyDescent="0.3">
      <c r="A628" s="36"/>
      <c r="B628" s="22" t="s">
        <v>128</v>
      </c>
      <c r="C628" s="21"/>
      <c r="D628" s="22"/>
      <c r="E628" s="27" t="s">
        <v>127</v>
      </c>
      <c r="F628" s="26">
        <f>F629+F669</f>
        <v>16820.3</v>
      </c>
      <c r="G628" s="26">
        <f>G629+G669</f>
        <v>364.5</v>
      </c>
      <c r="H628" s="26">
        <f>H629+H669</f>
        <v>17184.8</v>
      </c>
      <c r="I628" s="26">
        <f>I629</f>
        <v>13622.3</v>
      </c>
      <c r="J628" s="424"/>
      <c r="K628" s="26">
        <f>K629</f>
        <v>13622.3</v>
      </c>
      <c r="L628" s="26">
        <f>L629</f>
        <v>17021.5</v>
      </c>
      <c r="M628" s="424"/>
      <c r="N628" s="26">
        <f>N629</f>
        <v>17021.5</v>
      </c>
    </row>
    <row r="629" spans="1:14" x14ac:dyDescent="0.3">
      <c r="A629" s="36"/>
      <c r="B629" s="22"/>
      <c r="C629" s="21" t="s">
        <v>36</v>
      </c>
      <c r="D629" s="22"/>
      <c r="E629" s="27" t="s">
        <v>35</v>
      </c>
      <c r="F629" s="26">
        <f>F630+F636</f>
        <v>16820.3</v>
      </c>
      <c r="G629" s="424"/>
      <c r="H629" s="26">
        <f>H630+H636</f>
        <v>16820.3</v>
      </c>
      <c r="I629" s="26">
        <f>I630+I636</f>
        <v>13622.3</v>
      </c>
      <c r="J629" s="424"/>
      <c r="K629" s="26">
        <f>K630+K636</f>
        <v>13622.3</v>
      </c>
      <c r="L629" s="26">
        <f>L630+L636</f>
        <v>17021.5</v>
      </c>
      <c r="M629" s="424"/>
      <c r="N629" s="26">
        <f>N630+N636</f>
        <v>17021.5</v>
      </c>
    </row>
    <row r="630" spans="1:14" ht="26.4" x14ac:dyDescent="0.3">
      <c r="A630" s="53"/>
      <c r="B630" s="33"/>
      <c r="C630" s="34" t="s">
        <v>34</v>
      </c>
      <c r="D630" s="33"/>
      <c r="E630" s="32" t="s">
        <v>33</v>
      </c>
      <c r="F630" s="31">
        <f t="shared" ref="F630:N632" si="96">F631</f>
        <v>8664.2999999999993</v>
      </c>
      <c r="G630" s="423"/>
      <c r="H630" s="31">
        <f t="shared" si="96"/>
        <v>8664.2999999999993</v>
      </c>
      <c r="I630" s="31">
        <f t="shared" si="96"/>
        <v>9014.1999999999989</v>
      </c>
      <c r="J630" s="423"/>
      <c r="K630" s="31">
        <f t="shared" si="96"/>
        <v>9014.1999999999989</v>
      </c>
      <c r="L630" s="31">
        <f t="shared" si="96"/>
        <v>9026.2999999999993</v>
      </c>
      <c r="M630" s="423"/>
      <c r="N630" s="31">
        <f t="shared" si="96"/>
        <v>9026.2999999999993</v>
      </c>
    </row>
    <row r="631" spans="1:14" ht="27" x14ac:dyDescent="0.3">
      <c r="A631" s="30"/>
      <c r="B631" s="30"/>
      <c r="C631" s="30" t="s">
        <v>32</v>
      </c>
      <c r="D631" s="30"/>
      <c r="E631" s="29" t="s">
        <v>31</v>
      </c>
      <c r="F631" s="28">
        <f t="shared" si="96"/>
        <v>8664.2999999999993</v>
      </c>
      <c r="G631" s="410"/>
      <c r="H631" s="28">
        <f t="shared" si="96"/>
        <v>8664.2999999999993</v>
      </c>
      <c r="I631" s="28">
        <f t="shared" si="96"/>
        <v>9014.1999999999989</v>
      </c>
      <c r="J631" s="410"/>
      <c r="K631" s="28">
        <f t="shared" si="96"/>
        <v>9014.1999999999989</v>
      </c>
      <c r="L631" s="28">
        <f t="shared" si="96"/>
        <v>9026.2999999999993</v>
      </c>
      <c r="M631" s="410"/>
      <c r="N631" s="28">
        <f t="shared" si="96"/>
        <v>9026.2999999999993</v>
      </c>
    </row>
    <row r="632" spans="1:14" ht="40.200000000000003" x14ac:dyDescent="0.3">
      <c r="A632" s="153"/>
      <c r="B632" s="153"/>
      <c r="C632" s="153" t="s">
        <v>30</v>
      </c>
      <c r="D632" s="153"/>
      <c r="E632" s="154" t="s">
        <v>29</v>
      </c>
      <c r="F632" s="155">
        <f t="shared" si="96"/>
        <v>8664.2999999999993</v>
      </c>
      <c r="G632" s="411"/>
      <c r="H632" s="155">
        <f t="shared" si="96"/>
        <v>8664.2999999999993</v>
      </c>
      <c r="I632" s="155">
        <f t="shared" si="96"/>
        <v>9014.1999999999989</v>
      </c>
      <c r="J632" s="411"/>
      <c r="K632" s="155">
        <f t="shared" si="96"/>
        <v>9014.1999999999989</v>
      </c>
      <c r="L632" s="155">
        <f t="shared" si="96"/>
        <v>9026.2999999999993</v>
      </c>
      <c r="M632" s="411"/>
      <c r="N632" s="155">
        <f t="shared" si="96"/>
        <v>9026.2999999999993</v>
      </c>
    </row>
    <row r="633" spans="1:14" ht="26.4" x14ac:dyDescent="0.3">
      <c r="A633" s="8"/>
      <c r="B633" s="8"/>
      <c r="C633" s="7" t="s">
        <v>28</v>
      </c>
      <c r="D633" s="7"/>
      <c r="E633" s="10" t="s">
        <v>27</v>
      </c>
      <c r="F633" s="9">
        <f>F634+F635</f>
        <v>8664.2999999999993</v>
      </c>
      <c r="G633" s="412"/>
      <c r="H633" s="9">
        <f>H634+H635</f>
        <v>8664.2999999999993</v>
      </c>
      <c r="I633" s="9">
        <f>I634+I635</f>
        <v>9014.1999999999989</v>
      </c>
      <c r="J633" s="412"/>
      <c r="K633" s="9">
        <f>K634+K635</f>
        <v>9014.1999999999989</v>
      </c>
      <c r="L633" s="9">
        <f>L634+L635</f>
        <v>9026.2999999999993</v>
      </c>
      <c r="M633" s="412"/>
      <c r="N633" s="9">
        <f>N634+N635</f>
        <v>9026.2999999999993</v>
      </c>
    </row>
    <row r="634" spans="1:14" ht="40.200000000000003" x14ac:dyDescent="0.3">
      <c r="A634" s="8"/>
      <c r="B634" s="8"/>
      <c r="C634" s="7"/>
      <c r="D634" s="7" t="s">
        <v>2</v>
      </c>
      <c r="E634" s="6" t="s">
        <v>1</v>
      </c>
      <c r="F634" s="9">
        <v>8441.7999999999993</v>
      </c>
      <c r="G634" s="412"/>
      <c r="H634" s="9">
        <v>8441.7999999999993</v>
      </c>
      <c r="I634" s="9">
        <v>8803.7999999999993</v>
      </c>
      <c r="J634" s="412"/>
      <c r="K634" s="9">
        <v>8803.7999999999993</v>
      </c>
      <c r="L634" s="9">
        <v>8803.7999999999993</v>
      </c>
      <c r="M634" s="412"/>
      <c r="N634" s="9">
        <v>8803.7999999999993</v>
      </c>
    </row>
    <row r="635" spans="1:14" x14ac:dyDescent="0.3">
      <c r="A635" s="8"/>
      <c r="B635" s="8"/>
      <c r="C635" s="7"/>
      <c r="D635" s="7" t="s">
        <v>12</v>
      </c>
      <c r="E635" s="6" t="s">
        <v>11</v>
      </c>
      <c r="F635" s="9">
        <v>222.5</v>
      </c>
      <c r="G635" s="412"/>
      <c r="H635" s="9">
        <v>222.5</v>
      </c>
      <c r="I635" s="9">
        <v>210.4</v>
      </c>
      <c r="J635" s="412"/>
      <c r="K635" s="9">
        <v>210.4</v>
      </c>
      <c r="L635" s="9">
        <v>222.5</v>
      </c>
      <c r="M635" s="412"/>
      <c r="N635" s="9">
        <v>222.5</v>
      </c>
    </row>
    <row r="636" spans="1:14" ht="26.4" x14ac:dyDescent="0.3">
      <c r="A636" s="53"/>
      <c r="B636" s="33"/>
      <c r="C636" s="34" t="s">
        <v>79</v>
      </c>
      <c r="D636" s="33"/>
      <c r="E636" s="32" t="s">
        <v>78</v>
      </c>
      <c r="F636" s="31">
        <f>F637+F659+F665+F649</f>
        <v>8156</v>
      </c>
      <c r="G636" s="423"/>
      <c r="H636" s="31">
        <f>H637+H659+H665+H649</f>
        <v>8156</v>
      </c>
      <c r="I636" s="31">
        <f>I637+I659+I665+I649</f>
        <v>4608.1000000000004</v>
      </c>
      <c r="J636" s="423"/>
      <c r="K636" s="31">
        <f>K637+K659+K665+K649</f>
        <v>4608.1000000000004</v>
      </c>
      <c r="L636" s="31">
        <f>L637+L659+L665+L649</f>
        <v>7995.2000000000007</v>
      </c>
      <c r="M636" s="423"/>
      <c r="N636" s="31">
        <f>N637+N659+N665+N649</f>
        <v>7995.2000000000007</v>
      </c>
    </row>
    <row r="637" spans="1:14" x14ac:dyDescent="0.3">
      <c r="A637" s="30"/>
      <c r="B637" s="30"/>
      <c r="C637" s="30" t="s">
        <v>201</v>
      </c>
      <c r="D637" s="30"/>
      <c r="E637" s="29" t="s">
        <v>200</v>
      </c>
      <c r="F637" s="28">
        <f>F638</f>
        <v>1039.9000000000001</v>
      </c>
      <c r="G637" s="410"/>
      <c r="H637" s="28">
        <f>H638</f>
        <v>1039.9000000000001</v>
      </c>
      <c r="I637" s="28">
        <f>I638</f>
        <v>0</v>
      </c>
      <c r="J637" s="410"/>
      <c r="K637" s="28">
        <f>K638</f>
        <v>0</v>
      </c>
      <c r="L637" s="28">
        <f>L638</f>
        <v>955.7</v>
      </c>
      <c r="M637" s="410"/>
      <c r="N637" s="28">
        <f>N638</f>
        <v>955.7</v>
      </c>
    </row>
    <row r="638" spans="1:14" ht="27" x14ac:dyDescent="0.3">
      <c r="A638" s="153"/>
      <c r="B638" s="153"/>
      <c r="C638" s="153" t="s">
        <v>199</v>
      </c>
      <c r="D638" s="153"/>
      <c r="E638" s="154" t="s">
        <v>198</v>
      </c>
      <c r="F638" s="155">
        <f>F639+F643+F645+F647+F641</f>
        <v>1039.9000000000001</v>
      </c>
      <c r="G638" s="411"/>
      <c r="H638" s="155">
        <f>H639+H643+H645+H647+H641</f>
        <v>1039.9000000000001</v>
      </c>
      <c r="I638" s="155">
        <f>I639+I643+I645+I647</f>
        <v>0</v>
      </c>
      <c r="J638" s="411"/>
      <c r="K638" s="155">
        <f>K639+K643+K645+K647</f>
        <v>0</v>
      </c>
      <c r="L638" s="155">
        <f>L639+L643+L645+L647</f>
        <v>955.7</v>
      </c>
      <c r="M638" s="411"/>
      <c r="N638" s="155">
        <f>N639+N643+N645+N647</f>
        <v>955.7</v>
      </c>
    </row>
    <row r="639" spans="1:14" x14ac:dyDescent="0.3">
      <c r="A639" s="8"/>
      <c r="B639" s="8"/>
      <c r="C639" s="7" t="s">
        <v>197</v>
      </c>
      <c r="D639" s="7"/>
      <c r="E639" s="130" t="s">
        <v>691</v>
      </c>
      <c r="F639" s="9">
        <f>F640</f>
        <v>463.3</v>
      </c>
      <c r="G639" s="412"/>
      <c r="H639" s="9">
        <f>H640</f>
        <v>463.3</v>
      </c>
      <c r="I639" s="9">
        <f>I640</f>
        <v>0</v>
      </c>
      <c r="J639" s="412"/>
      <c r="K639" s="9">
        <f>K640</f>
        <v>0</v>
      </c>
      <c r="L639" s="9">
        <f>L640</f>
        <v>463.3</v>
      </c>
      <c r="M639" s="412"/>
      <c r="N639" s="9">
        <f>N640</f>
        <v>463.3</v>
      </c>
    </row>
    <row r="640" spans="1:14" ht="27" x14ac:dyDescent="0.3">
      <c r="A640" s="8"/>
      <c r="B640" s="8"/>
      <c r="C640" s="7"/>
      <c r="D640" s="7" t="s">
        <v>57</v>
      </c>
      <c r="E640" s="6" t="s">
        <v>56</v>
      </c>
      <c r="F640" s="175">
        <v>463.3</v>
      </c>
      <c r="G640" s="407"/>
      <c r="H640" s="175">
        <v>463.3</v>
      </c>
      <c r="I640" s="175">
        <v>0</v>
      </c>
      <c r="J640" s="407"/>
      <c r="K640" s="175">
        <v>0</v>
      </c>
      <c r="L640" s="175">
        <v>463.3</v>
      </c>
      <c r="M640" s="407"/>
      <c r="N640" s="175">
        <v>463.3</v>
      </c>
    </row>
    <row r="641" spans="1:14" x14ac:dyDescent="0.3">
      <c r="A641" s="228"/>
      <c r="B641" s="228"/>
      <c r="C641" s="226" t="s">
        <v>764</v>
      </c>
      <c r="D641" s="226"/>
      <c r="E641" s="261" t="s">
        <v>765</v>
      </c>
      <c r="F641" s="248">
        <v>84.2</v>
      </c>
      <c r="G641" s="407"/>
      <c r="H641" s="248">
        <v>84.2</v>
      </c>
      <c r="I641" s="248"/>
      <c r="J641" s="407"/>
      <c r="K641" s="248"/>
      <c r="L641" s="248"/>
      <c r="M641" s="407"/>
      <c r="N641" s="248"/>
    </row>
    <row r="642" spans="1:14" ht="27" x14ac:dyDescent="0.3">
      <c r="A642" s="228"/>
      <c r="B642" s="228"/>
      <c r="C642" s="226"/>
      <c r="D642" s="226" t="s">
        <v>57</v>
      </c>
      <c r="E642" s="261" t="s">
        <v>56</v>
      </c>
      <c r="F642" s="248">
        <v>84.2</v>
      </c>
      <c r="G642" s="407"/>
      <c r="H642" s="248">
        <v>84.2</v>
      </c>
      <c r="I642" s="248"/>
      <c r="J642" s="407"/>
      <c r="K642" s="248"/>
      <c r="L642" s="248"/>
      <c r="M642" s="407"/>
      <c r="N642" s="248"/>
    </row>
    <row r="643" spans="1:14" x14ac:dyDescent="0.3">
      <c r="A643" s="8"/>
      <c r="B643" s="8"/>
      <c r="C643" s="7" t="s">
        <v>196</v>
      </c>
      <c r="D643" s="7"/>
      <c r="E643" s="6" t="s">
        <v>195</v>
      </c>
      <c r="F643" s="9">
        <f>F644</f>
        <v>96.8</v>
      </c>
      <c r="G643" s="412"/>
      <c r="H643" s="9">
        <f>H644</f>
        <v>96.8</v>
      </c>
      <c r="I643" s="9">
        <f>I644</f>
        <v>0</v>
      </c>
      <c r="J643" s="412"/>
      <c r="K643" s="9">
        <f>K644</f>
        <v>0</v>
      </c>
      <c r="L643" s="9">
        <f>L644</f>
        <v>96.8</v>
      </c>
      <c r="M643" s="412"/>
      <c r="N643" s="9">
        <f>N644</f>
        <v>96.8</v>
      </c>
    </row>
    <row r="644" spans="1:14" ht="27" x14ac:dyDescent="0.3">
      <c r="A644" s="8"/>
      <c r="B644" s="8"/>
      <c r="C644" s="7"/>
      <c r="D644" s="7" t="s">
        <v>57</v>
      </c>
      <c r="E644" s="6" t="s">
        <v>56</v>
      </c>
      <c r="F644" s="175">
        <v>96.8</v>
      </c>
      <c r="G644" s="407"/>
      <c r="H644" s="175">
        <v>96.8</v>
      </c>
      <c r="I644" s="175">
        <v>0</v>
      </c>
      <c r="J644" s="407"/>
      <c r="K644" s="175">
        <v>0</v>
      </c>
      <c r="L644" s="175">
        <v>96.8</v>
      </c>
      <c r="M644" s="407"/>
      <c r="N644" s="175">
        <v>96.8</v>
      </c>
    </row>
    <row r="645" spans="1:14" ht="27" customHeight="1" x14ac:dyDescent="0.3">
      <c r="A645" s="8"/>
      <c r="B645" s="8"/>
      <c r="C645" s="7" t="s">
        <v>194</v>
      </c>
      <c r="D645" s="7"/>
      <c r="E645" s="6" t="s">
        <v>193</v>
      </c>
      <c r="F645" s="9">
        <f>F646</f>
        <v>134.4</v>
      </c>
      <c r="G645" s="412"/>
      <c r="H645" s="9">
        <f>H646</f>
        <v>134.4</v>
      </c>
      <c r="I645" s="9">
        <f>I646</f>
        <v>0</v>
      </c>
      <c r="J645" s="412"/>
      <c r="K645" s="9">
        <f>K646</f>
        <v>0</v>
      </c>
      <c r="L645" s="9">
        <f>L646</f>
        <v>134.4</v>
      </c>
      <c r="M645" s="412"/>
      <c r="N645" s="9">
        <f>N646</f>
        <v>134.4</v>
      </c>
    </row>
    <row r="646" spans="1:14" ht="27" x14ac:dyDescent="0.3">
      <c r="A646" s="8"/>
      <c r="B646" s="8"/>
      <c r="C646" s="7"/>
      <c r="D646" s="7" t="s">
        <v>57</v>
      </c>
      <c r="E646" s="6" t="s">
        <v>56</v>
      </c>
      <c r="F646" s="175">
        <v>134.4</v>
      </c>
      <c r="G646" s="407"/>
      <c r="H646" s="175">
        <v>134.4</v>
      </c>
      <c r="I646" s="175">
        <v>0</v>
      </c>
      <c r="J646" s="407"/>
      <c r="K646" s="175">
        <v>0</v>
      </c>
      <c r="L646" s="175">
        <v>134.4</v>
      </c>
      <c r="M646" s="407"/>
      <c r="N646" s="175">
        <v>134.4</v>
      </c>
    </row>
    <row r="647" spans="1:14" ht="14.25" customHeight="1" x14ac:dyDescent="0.3">
      <c r="A647" s="8"/>
      <c r="B647" s="8"/>
      <c r="C647" s="7" t="s">
        <v>192</v>
      </c>
      <c r="D647" s="7"/>
      <c r="E647" s="130" t="s">
        <v>692</v>
      </c>
      <c r="F647" s="9">
        <f>F648</f>
        <v>261.2</v>
      </c>
      <c r="G647" s="412"/>
      <c r="H647" s="9">
        <f>H648</f>
        <v>261.2</v>
      </c>
      <c r="I647" s="9">
        <f>I648</f>
        <v>0</v>
      </c>
      <c r="J647" s="412"/>
      <c r="K647" s="9">
        <f>K648</f>
        <v>0</v>
      </c>
      <c r="L647" s="9">
        <f>L648</f>
        <v>261.2</v>
      </c>
      <c r="M647" s="412"/>
      <c r="N647" s="9">
        <f>N648</f>
        <v>261.2</v>
      </c>
    </row>
    <row r="648" spans="1:14" ht="27" x14ac:dyDescent="0.3">
      <c r="A648" s="8"/>
      <c r="B648" s="8"/>
      <c r="C648" s="7"/>
      <c r="D648" s="7" t="s">
        <v>57</v>
      </c>
      <c r="E648" s="6" t="s">
        <v>56</v>
      </c>
      <c r="F648" s="175">
        <v>261.2</v>
      </c>
      <c r="G648" s="407"/>
      <c r="H648" s="175">
        <v>261.2</v>
      </c>
      <c r="I648" s="175">
        <v>0</v>
      </c>
      <c r="J648" s="407"/>
      <c r="K648" s="175">
        <v>0</v>
      </c>
      <c r="L648" s="175">
        <v>261.2</v>
      </c>
      <c r="M648" s="407"/>
      <c r="N648" s="175">
        <v>261.2</v>
      </c>
    </row>
    <row r="649" spans="1:14" x14ac:dyDescent="0.3">
      <c r="A649" s="30"/>
      <c r="B649" s="30"/>
      <c r="C649" s="30" t="s">
        <v>126</v>
      </c>
      <c r="D649" s="30"/>
      <c r="E649" s="29" t="s">
        <v>125</v>
      </c>
      <c r="F649" s="28">
        <f>F650</f>
        <v>6524.5</v>
      </c>
      <c r="G649" s="410"/>
      <c r="H649" s="28">
        <f>H650</f>
        <v>6524.5</v>
      </c>
      <c r="I649" s="28">
        <f>I650</f>
        <v>4608.1000000000004</v>
      </c>
      <c r="J649" s="410"/>
      <c r="K649" s="28">
        <f>K650</f>
        <v>4608.1000000000004</v>
      </c>
      <c r="L649" s="28">
        <f>L650</f>
        <v>6447.9000000000005</v>
      </c>
      <c r="M649" s="410"/>
      <c r="N649" s="28">
        <f>N650</f>
        <v>6447.9000000000005</v>
      </c>
    </row>
    <row r="650" spans="1:14" ht="26.25" customHeight="1" x14ac:dyDescent="0.3">
      <c r="A650" s="153"/>
      <c r="B650" s="153"/>
      <c r="C650" s="153" t="s">
        <v>124</v>
      </c>
      <c r="D650" s="153"/>
      <c r="E650" s="154" t="s">
        <v>123</v>
      </c>
      <c r="F650" s="155">
        <f>F655+F651+F653</f>
        <v>6524.5</v>
      </c>
      <c r="G650" s="411"/>
      <c r="H650" s="155">
        <f>H655+H651+H653</f>
        <v>6524.5</v>
      </c>
      <c r="I650" s="155">
        <f>I655+I651+I653</f>
        <v>4608.1000000000004</v>
      </c>
      <c r="J650" s="411"/>
      <c r="K650" s="155">
        <f>K655+K651+K653</f>
        <v>4608.1000000000004</v>
      </c>
      <c r="L650" s="155">
        <f>L655+L651+L653</f>
        <v>6447.9000000000005</v>
      </c>
      <c r="M650" s="411"/>
      <c r="N650" s="155">
        <f>N655+N651+N653</f>
        <v>6447.9000000000005</v>
      </c>
    </row>
    <row r="651" spans="1:14" ht="25.5" customHeight="1" x14ac:dyDescent="0.3">
      <c r="A651" s="8"/>
      <c r="B651" s="8"/>
      <c r="C651" s="7" t="s">
        <v>191</v>
      </c>
      <c r="D651" s="7"/>
      <c r="E651" s="130" t="s">
        <v>625</v>
      </c>
      <c r="F651" s="9">
        <f>F652</f>
        <v>46.5</v>
      </c>
      <c r="G651" s="412"/>
      <c r="H651" s="9">
        <f>H652</f>
        <v>46.5</v>
      </c>
      <c r="I651" s="9">
        <f>I652</f>
        <v>0</v>
      </c>
      <c r="J651" s="412"/>
      <c r="K651" s="9">
        <f>K652</f>
        <v>0</v>
      </c>
      <c r="L651" s="9">
        <f>L652</f>
        <v>46.5</v>
      </c>
      <c r="M651" s="412"/>
      <c r="N651" s="9">
        <f>N652</f>
        <v>46.5</v>
      </c>
    </row>
    <row r="652" spans="1:14" ht="27" x14ac:dyDescent="0.3">
      <c r="A652" s="8"/>
      <c r="B652" s="8"/>
      <c r="C652" s="7"/>
      <c r="D652" s="7" t="s">
        <v>57</v>
      </c>
      <c r="E652" s="6" t="s">
        <v>56</v>
      </c>
      <c r="F652" s="175">
        <v>46.5</v>
      </c>
      <c r="G652" s="407"/>
      <c r="H652" s="175">
        <v>46.5</v>
      </c>
      <c r="I652" s="175">
        <v>0</v>
      </c>
      <c r="J652" s="407"/>
      <c r="K652" s="175">
        <v>0</v>
      </c>
      <c r="L652" s="175">
        <v>46.5</v>
      </c>
      <c r="M652" s="407"/>
      <c r="N652" s="175">
        <v>46.5</v>
      </c>
    </row>
    <row r="653" spans="1:14" ht="27" x14ac:dyDescent="0.3">
      <c r="A653" s="8"/>
      <c r="B653" s="8"/>
      <c r="C653" s="7" t="s">
        <v>122</v>
      </c>
      <c r="D653" s="7"/>
      <c r="E653" s="6" t="s">
        <v>756</v>
      </c>
      <c r="F653" s="9">
        <f>F654</f>
        <v>1869.9</v>
      </c>
      <c r="G653" s="412"/>
      <c r="H653" s="9">
        <f>H654</f>
        <v>1869.9</v>
      </c>
      <c r="I653" s="9">
        <f>I654</f>
        <v>0</v>
      </c>
      <c r="J653" s="412"/>
      <c r="K653" s="9">
        <f>K654</f>
        <v>0</v>
      </c>
      <c r="L653" s="9">
        <f>L654</f>
        <v>1793.3000000000002</v>
      </c>
      <c r="M653" s="412"/>
      <c r="N653" s="9">
        <f>N654</f>
        <v>1793.3000000000002</v>
      </c>
    </row>
    <row r="654" spans="1:14" ht="27" x14ac:dyDescent="0.3">
      <c r="A654" s="8"/>
      <c r="B654" s="8"/>
      <c r="C654" s="7"/>
      <c r="D654" s="7" t="s">
        <v>57</v>
      </c>
      <c r="E654" s="6" t="s">
        <v>56</v>
      </c>
      <c r="F654" s="175">
        <v>1869.9</v>
      </c>
      <c r="G654" s="407"/>
      <c r="H654" s="175">
        <v>1869.9</v>
      </c>
      <c r="I654" s="175">
        <v>0</v>
      </c>
      <c r="J654" s="407"/>
      <c r="K654" s="175">
        <v>0</v>
      </c>
      <c r="L654" s="175">
        <f>2093.3-300</f>
        <v>1793.3000000000002</v>
      </c>
      <c r="M654" s="407"/>
      <c r="N654" s="175">
        <f>2093.3-300</f>
        <v>1793.3000000000002</v>
      </c>
    </row>
    <row r="655" spans="1:14" ht="27.75" customHeight="1" x14ac:dyDescent="0.3">
      <c r="A655" s="8"/>
      <c r="B655" s="8"/>
      <c r="C655" s="7" t="s">
        <v>190</v>
      </c>
      <c r="D655" s="7"/>
      <c r="E655" s="6" t="s">
        <v>189</v>
      </c>
      <c r="F655" s="9">
        <f>F657</f>
        <v>4608.1000000000004</v>
      </c>
      <c r="G655" s="412"/>
      <c r="H655" s="9">
        <f>H657</f>
        <v>4608.1000000000004</v>
      </c>
      <c r="I655" s="9">
        <f>I657</f>
        <v>4608.1000000000004</v>
      </c>
      <c r="J655" s="412"/>
      <c r="K655" s="9">
        <f>K657</f>
        <v>4608.1000000000004</v>
      </c>
      <c r="L655" s="9">
        <f>L657</f>
        <v>4608.1000000000004</v>
      </c>
      <c r="M655" s="412"/>
      <c r="N655" s="9">
        <f>N657</f>
        <v>4608.1000000000004</v>
      </c>
    </row>
    <row r="656" spans="1:14" x14ac:dyDescent="0.3">
      <c r="A656" s="8"/>
      <c r="B656" s="8"/>
      <c r="C656" s="7"/>
      <c r="D656" s="7" t="s">
        <v>71</v>
      </c>
      <c r="E656" s="6" t="s">
        <v>70</v>
      </c>
      <c r="F656" s="9">
        <v>0</v>
      </c>
      <c r="G656" s="412"/>
      <c r="H656" s="9">
        <v>0</v>
      </c>
      <c r="I656" s="9">
        <v>0</v>
      </c>
      <c r="J656" s="412"/>
      <c r="K656" s="9">
        <v>0</v>
      </c>
      <c r="L656" s="9">
        <v>0</v>
      </c>
      <c r="M656" s="412"/>
      <c r="N656" s="9">
        <v>0</v>
      </c>
    </row>
    <row r="657" spans="1:14" ht="27" x14ac:dyDescent="0.3">
      <c r="A657" s="8"/>
      <c r="B657" s="8"/>
      <c r="C657" s="7"/>
      <c r="D657" s="7" t="s">
        <v>57</v>
      </c>
      <c r="E657" s="6" t="s">
        <v>56</v>
      </c>
      <c r="F657" s="175">
        <v>4608.1000000000004</v>
      </c>
      <c r="G657" s="407"/>
      <c r="H657" s="175">
        <v>4608.1000000000004</v>
      </c>
      <c r="I657" s="175">
        <v>4608.1000000000004</v>
      </c>
      <c r="J657" s="407"/>
      <c r="K657" s="175">
        <v>4608.1000000000004</v>
      </c>
      <c r="L657" s="175">
        <v>4608.1000000000004</v>
      </c>
      <c r="M657" s="407"/>
      <c r="N657" s="175">
        <v>4608.1000000000004</v>
      </c>
    </row>
    <row r="658" spans="1:14" x14ac:dyDescent="0.3">
      <c r="A658" s="8"/>
      <c r="B658" s="8"/>
      <c r="C658" s="7"/>
      <c r="D658" s="7" t="s">
        <v>22</v>
      </c>
      <c r="E658" s="6" t="s">
        <v>21</v>
      </c>
      <c r="F658" s="9">
        <v>0</v>
      </c>
      <c r="G658" s="412"/>
      <c r="H658" s="9">
        <v>0</v>
      </c>
      <c r="I658" s="9">
        <v>0</v>
      </c>
      <c r="J658" s="412"/>
      <c r="K658" s="9">
        <v>0</v>
      </c>
      <c r="L658" s="9">
        <v>0</v>
      </c>
      <c r="M658" s="412"/>
      <c r="N658" s="9">
        <v>0</v>
      </c>
    </row>
    <row r="659" spans="1:14" x14ac:dyDescent="0.3">
      <c r="A659" s="30"/>
      <c r="B659" s="30"/>
      <c r="C659" s="30" t="s">
        <v>77</v>
      </c>
      <c r="D659" s="30"/>
      <c r="E659" s="51" t="s">
        <v>76</v>
      </c>
      <c r="F659" s="28">
        <f>F660</f>
        <v>496.7</v>
      </c>
      <c r="G659" s="410"/>
      <c r="H659" s="28">
        <f>H660</f>
        <v>496.7</v>
      </c>
      <c r="I659" s="28">
        <f>I660</f>
        <v>0</v>
      </c>
      <c r="J659" s="410"/>
      <c r="K659" s="28">
        <f>K660</f>
        <v>0</v>
      </c>
      <c r="L659" s="28">
        <f>L660</f>
        <v>496.7</v>
      </c>
      <c r="M659" s="410"/>
      <c r="N659" s="28">
        <f>N660</f>
        <v>496.7</v>
      </c>
    </row>
    <row r="660" spans="1:14" ht="27" x14ac:dyDescent="0.3">
      <c r="A660" s="153"/>
      <c r="B660" s="153"/>
      <c r="C660" s="153" t="s">
        <v>188</v>
      </c>
      <c r="D660" s="153"/>
      <c r="E660" s="154" t="s">
        <v>187</v>
      </c>
      <c r="F660" s="155">
        <f>F663+F661</f>
        <v>496.7</v>
      </c>
      <c r="G660" s="411"/>
      <c r="H660" s="155">
        <f>H663+H661</f>
        <v>496.7</v>
      </c>
      <c r="I660" s="155">
        <f>I663+I661</f>
        <v>0</v>
      </c>
      <c r="J660" s="411"/>
      <c r="K660" s="155">
        <f>K663+K661</f>
        <v>0</v>
      </c>
      <c r="L660" s="155">
        <f>L663+L661</f>
        <v>496.7</v>
      </c>
      <c r="M660" s="411"/>
      <c r="N660" s="155">
        <f>N663+N661</f>
        <v>496.7</v>
      </c>
    </row>
    <row r="661" spans="1:14" x14ac:dyDescent="0.3">
      <c r="A661" s="72"/>
      <c r="B661" s="72"/>
      <c r="C661" s="72" t="s">
        <v>186</v>
      </c>
      <c r="D661" s="72"/>
      <c r="E661" s="71" t="s">
        <v>694</v>
      </c>
      <c r="F661" s="9">
        <f>F662</f>
        <v>341.9</v>
      </c>
      <c r="G661" s="412"/>
      <c r="H661" s="9">
        <f>H662</f>
        <v>341.9</v>
      </c>
      <c r="I661" s="9">
        <f>I662</f>
        <v>0</v>
      </c>
      <c r="J661" s="412"/>
      <c r="K661" s="9">
        <f>K662</f>
        <v>0</v>
      </c>
      <c r="L661" s="9">
        <f>L662</f>
        <v>341.9</v>
      </c>
      <c r="M661" s="412"/>
      <c r="N661" s="9">
        <f>N662</f>
        <v>341.9</v>
      </c>
    </row>
    <row r="662" spans="1:14" ht="27" x14ac:dyDescent="0.3">
      <c r="A662" s="72"/>
      <c r="B662" s="72"/>
      <c r="C662" s="72"/>
      <c r="D662" s="72" t="s">
        <v>57</v>
      </c>
      <c r="E662" s="71" t="s">
        <v>56</v>
      </c>
      <c r="F662" s="175">
        <v>341.9</v>
      </c>
      <c r="G662" s="407"/>
      <c r="H662" s="175">
        <v>341.9</v>
      </c>
      <c r="I662" s="175">
        <v>0</v>
      </c>
      <c r="J662" s="407"/>
      <c r="K662" s="175">
        <v>0</v>
      </c>
      <c r="L662" s="175">
        <v>341.9</v>
      </c>
      <c r="M662" s="407"/>
      <c r="N662" s="175">
        <v>341.9</v>
      </c>
    </row>
    <row r="663" spans="1:14" ht="27" x14ac:dyDescent="0.3">
      <c r="A663" s="7"/>
      <c r="B663" s="7"/>
      <c r="C663" s="7" t="s">
        <v>185</v>
      </c>
      <c r="D663" s="7"/>
      <c r="E663" s="6" t="s">
        <v>184</v>
      </c>
      <c r="F663" s="9">
        <f>F664</f>
        <v>154.80000000000001</v>
      </c>
      <c r="G663" s="412"/>
      <c r="H663" s="9">
        <f>H664</f>
        <v>154.80000000000001</v>
      </c>
      <c r="I663" s="9">
        <f>I664</f>
        <v>0</v>
      </c>
      <c r="J663" s="412"/>
      <c r="K663" s="9">
        <f>K664</f>
        <v>0</v>
      </c>
      <c r="L663" s="9">
        <f>L664</f>
        <v>154.80000000000001</v>
      </c>
      <c r="M663" s="412"/>
      <c r="N663" s="9">
        <f>N664</f>
        <v>154.80000000000001</v>
      </c>
    </row>
    <row r="664" spans="1:14" ht="27" x14ac:dyDescent="0.3">
      <c r="A664" s="7"/>
      <c r="B664" s="7"/>
      <c r="C664" s="7"/>
      <c r="D664" s="72" t="s">
        <v>57</v>
      </c>
      <c r="E664" s="71" t="s">
        <v>56</v>
      </c>
      <c r="F664" s="175">
        <v>154.80000000000001</v>
      </c>
      <c r="G664" s="407"/>
      <c r="H664" s="175">
        <v>154.80000000000001</v>
      </c>
      <c r="I664" s="175">
        <v>0</v>
      </c>
      <c r="J664" s="407"/>
      <c r="K664" s="175">
        <v>0</v>
      </c>
      <c r="L664" s="175">
        <v>154.80000000000001</v>
      </c>
      <c r="M664" s="407"/>
      <c r="N664" s="175">
        <v>154.80000000000001</v>
      </c>
    </row>
    <row r="665" spans="1:14" x14ac:dyDescent="0.3">
      <c r="A665" s="30"/>
      <c r="B665" s="30"/>
      <c r="C665" s="30" t="s">
        <v>183</v>
      </c>
      <c r="D665" s="30"/>
      <c r="E665" s="51" t="s">
        <v>182</v>
      </c>
      <c r="F665" s="28">
        <f t="shared" ref="F665:N667" si="97">F666</f>
        <v>94.9</v>
      </c>
      <c r="G665" s="410"/>
      <c r="H665" s="28">
        <f t="shared" si="97"/>
        <v>94.9</v>
      </c>
      <c r="I665" s="28">
        <f t="shared" si="97"/>
        <v>0</v>
      </c>
      <c r="J665" s="410"/>
      <c r="K665" s="28">
        <f t="shared" si="97"/>
        <v>0</v>
      </c>
      <c r="L665" s="28">
        <f t="shared" si="97"/>
        <v>94.9</v>
      </c>
      <c r="M665" s="410"/>
      <c r="N665" s="28">
        <f t="shared" si="97"/>
        <v>94.9</v>
      </c>
    </row>
    <row r="666" spans="1:14" x14ac:dyDescent="0.3">
      <c r="A666" s="153"/>
      <c r="B666" s="153"/>
      <c r="C666" s="153" t="s">
        <v>181</v>
      </c>
      <c r="D666" s="153"/>
      <c r="E666" s="154" t="s">
        <v>180</v>
      </c>
      <c r="F666" s="155">
        <f t="shared" si="97"/>
        <v>94.9</v>
      </c>
      <c r="G666" s="411"/>
      <c r="H666" s="155">
        <f t="shared" si="97"/>
        <v>94.9</v>
      </c>
      <c r="I666" s="155">
        <f t="shared" si="97"/>
        <v>0</v>
      </c>
      <c r="J666" s="411"/>
      <c r="K666" s="155">
        <f t="shared" si="97"/>
        <v>0</v>
      </c>
      <c r="L666" s="155">
        <f t="shared" si="97"/>
        <v>94.9</v>
      </c>
      <c r="M666" s="411"/>
      <c r="N666" s="155">
        <f t="shared" si="97"/>
        <v>94.9</v>
      </c>
    </row>
    <row r="667" spans="1:14" ht="27" x14ac:dyDescent="0.3">
      <c r="A667" s="8"/>
      <c r="B667" s="8"/>
      <c r="C667" s="7" t="s">
        <v>179</v>
      </c>
      <c r="D667" s="7"/>
      <c r="E667" s="6" t="s">
        <v>178</v>
      </c>
      <c r="F667" s="9">
        <f t="shared" si="97"/>
        <v>94.9</v>
      </c>
      <c r="G667" s="412"/>
      <c r="H667" s="9">
        <f t="shared" si="97"/>
        <v>94.9</v>
      </c>
      <c r="I667" s="9">
        <f t="shared" si="97"/>
        <v>0</v>
      </c>
      <c r="J667" s="412"/>
      <c r="K667" s="9">
        <f t="shared" si="97"/>
        <v>0</v>
      </c>
      <c r="L667" s="9">
        <f t="shared" si="97"/>
        <v>94.9</v>
      </c>
      <c r="M667" s="412"/>
      <c r="N667" s="9">
        <f t="shared" si="97"/>
        <v>94.9</v>
      </c>
    </row>
    <row r="668" spans="1:14" ht="27" x14ac:dyDescent="0.3">
      <c r="A668" s="8"/>
      <c r="B668" s="8"/>
      <c r="C668" s="7"/>
      <c r="D668" s="7" t="s">
        <v>57</v>
      </c>
      <c r="E668" s="6" t="s">
        <v>56</v>
      </c>
      <c r="F668" s="175">
        <v>94.9</v>
      </c>
      <c r="G668" s="407"/>
      <c r="H668" s="175">
        <v>94.9</v>
      </c>
      <c r="I668" s="175">
        <v>0</v>
      </c>
      <c r="J668" s="407"/>
      <c r="K668" s="175">
        <v>0</v>
      </c>
      <c r="L668" s="175">
        <v>94.9</v>
      </c>
      <c r="M668" s="407"/>
      <c r="N668" s="175">
        <v>94.9</v>
      </c>
    </row>
    <row r="669" spans="1:14" x14ac:dyDescent="0.3">
      <c r="A669" s="17"/>
      <c r="B669" s="17"/>
      <c r="C669" s="17" t="s">
        <v>18</v>
      </c>
      <c r="D669" s="17"/>
      <c r="E669" s="16" t="s">
        <v>17</v>
      </c>
      <c r="F669" s="15">
        <f t="shared" ref="F669:N670" si="98">F670</f>
        <v>0</v>
      </c>
      <c r="G669" s="15">
        <f t="shared" si="98"/>
        <v>364.5</v>
      </c>
      <c r="H669" s="15">
        <f t="shared" si="98"/>
        <v>364.5</v>
      </c>
      <c r="I669" s="15">
        <f t="shared" si="98"/>
        <v>0</v>
      </c>
      <c r="J669" s="432"/>
      <c r="K669" s="15">
        <f t="shared" si="98"/>
        <v>0</v>
      </c>
      <c r="L669" s="15">
        <f t="shared" si="98"/>
        <v>0</v>
      </c>
      <c r="M669" s="432"/>
      <c r="N669" s="15">
        <f t="shared" si="98"/>
        <v>0</v>
      </c>
    </row>
    <row r="670" spans="1:14" ht="27" x14ac:dyDescent="0.3">
      <c r="A670" s="14"/>
      <c r="B670" s="14"/>
      <c r="C670" s="14" t="s">
        <v>16</v>
      </c>
      <c r="D670" s="14"/>
      <c r="E670" s="13" t="s">
        <v>15</v>
      </c>
      <c r="F670" s="12">
        <f t="shared" si="98"/>
        <v>0</v>
      </c>
      <c r="G670" s="12">
        <f t="shared" si="98"/>
        <v>364.5</v>
      </c>
      <c r="H670" s="12">
        <f t="shared" si="98"/>
        <v>364.5</v>
      </c>
      <c r="I670" s="12">
        <f t="shared" si="98"/>
        <v>0</v>
      </c>
      <c r="J670" s="428"/>
      <c r="K670" s="12">
        <f t="shared" si="98"/>
        <v>0</v>
      </c>
      <c r="L670" s="12">
        <f t="shared" si="98"/>
        <v>0</v>
      </c>
      <c r="M670" s="428"/>
      <c r="N670" s="12">
        <f t="shared" si="98"/>
        <v>0</v>
      </c>
    </row>
    <row r="671" spans="1:14" x14ac:dyDescent="0.3">
      <c r="A671" s="8"/>
      <c r="B671" s="8"/>
      <c r="C671" s="7" t="s">
        <v>939</v>
      </c>
      <c r="D671" s="477"/>
      <c r="E671" s="478" t="s">
        <v>940</v>
      </c>
      <c r="F671" s="9">
        <f>F672+F673</f>
        <v>0</v>
      </c>
      <c r="G671" s="9">
        <f>G672+G673</f>
        <v>364.5</v>
      </c>
      <c r="H671" s="9">
        <f>H672+H673</f>
        <v>364.5</v>
      </c>
      <c r="I671" s="9">
        <v>0</v>
      </c>
      <c r="J671" s="412"/>
      <c r="K671" s="9">
        <v>0</v>
      </c>
      <c r="L671" s="9">
        <v>0</v>
      </c>
      <c r="M671" s="412"/>
      <c r="N671" s="9">
        <v>0</v>
      </c>
    </row>
    <row r="672" spans="1:14" x14ac:dyDescent="0.3">
      <c r="A672" s="8"/>
      <c r="B672" s="8"/>
      <c r="C672" s="477"/>
      <c r="D672" s="7" t="s">
        <v>12</v>
      </c>
      <c r="E672" s="6" t="s">
        <v>11</v>
      </c>
      <c r="F672" s="9">
        <f>1243.6-1243.6</f>
        <v>0</v>
      </c>
      <c r="G672" s="412">
        <v>181.5</v>
      </c>
      <c r="H672" s="9">
        <v>181.5</v>
      </c>
      <c r="I672" s="9">
        <f>1243.6-1243.6</f>
        <v>0</v>
      </c>
      <c r="J672" s="412"/>
      <c r="K672" s="9">
        <f>1243.6-1243.6</f>
        <v>0</v>
      </c>
      <c r="L672" s="9">
        <f>1243.6-1243.6</f>
        <v>0</v>
      </c>
      <c r="M672" s="412"/>
      <c r="N672" s="9">
        <f>1243.6-1243.6</f>
        <v>0</v>
      </c>
    </row>
    <row r="673" spans="1:14" x14ac:dyDescent="0.3">
      <c r="A673" s="479"/>
      <c r="B673" s="479"/>
      <c r="C673" s="477"/>
      <c r="D673" s="477" t="s">
        <v>71</v>
      </c>
      <c r="E673" s="6" t="s">
        <v>70</v>
      </c>
      <c r="F673" s="487">
        <v>0</v>
      </c>
      <c r="G673" s="487">
        <v>183</v>
      </c>
      <c r="H673" s="487">
        <v>183</v>
      </c>
      <c r="I673" s="487">
        <v>0</v>
      </c>
      <c r="J673" s="487"/>
      <c r="K673" s="487">
        <v>0</v>
      </c>
      <c r="L673" s="487">
        <v>0</v>
      </c>
      <c r="M673" s="487"/>
      <c r="N673" s="487"/>
    </row>
    <row r="674" spans="1:14" x14ac:dyDescent="0.3">
      <c r="A674" s="8"/>
      <c r="B674" s="22">
        <v>1000</v>
      </c>
      <c r="C674" s="21"/>
      <c r="D674" s="20"/>
      <c r="E674" s="19" t="s">
        <v>81</v>
      </c>
      <c r="F674" s="26">
        <f>F675+F697</f>
        <v>31485.555</v>
      </c>
      <c r="G674" s="26">
        <f>G675+G697</f>
        <v>132.19999999999999</v>
      </c>
      <c r="H674" s="26">
        <f>H675+H697</f>
        <v>31617.755000000001</v>
      </c>
      <c r="I674" s="26">
        <f>I675+I697</f>
        <v>29872.030000000002</v>
      </c>
      <c r="J674" s="424"/>
      <c r="K674" s="26">
        <f>K675+K697</f>
        <v>29872.030000000002</v>
      </c>
      <c r="L674" s="26">
        <f>L675+L697</f>
        <v>29983.730000000003</v>
      </c>
      <c r="M674" s="424"/>
      <c r="N674" s="26">
        <f>N675+N697</f>
        <v>29983.730000000003</v>
      </c>
    </row>
    <row r="675" spans="1:14" x14ac:dyDescent="0.3">
      <c r="A675" s="8"/>
      <c r="B675" s="22">
        <v>1003</v>
      </c>
      <c r="C675" s="21"/>
      <c r="D675" s="20"/>
      <c r="E675" s="19" t="s">
        <v>80</v>
      </c>
      <c r="F675" s="26">
        <f t="shared" ref="F675:N676" si="99">F676</f>
        <v>27389.654999999999</v>
      </c>
      <c r="G675" s="26">
        <f t="shared" si="99"/>
        <v>132.19999999999999</v>
      </c>
      <c r="H675" s="26">
        <f t="shared" si="99"/>
        <v>27521.855</v>
      </c>
      <c r="I675" s="26">
        <f t="shared" si="99"/>
        <v>26086.83</v>
      </c>
      <c r="J675" s="424"/>
      <c r="K675" s="26">
        <f t="shared" si="99"/>
        <v>26086.83</v>
      </c>
      <c r="L675" s="26">
        <f t="shared" si="99"/>
        <v>26086.83</v>
      </c>
      <c r="M675" s="424"/>
      <c r="N675" s="26">
        <f t="shared" si="99"/>
        <v>26086.83</v>
      </c>
    </row>
    <row r="676" spans="1:14" x14ac:dyDescent="0.3">
      <c r="A676" s="8"/>
      <c r="B676" s="22"/>
      <c r="C676" s="21" t="s">
        <v>36</v>
      </c>
      <c r="D676" s="20"/>
      <c r="E676" s="27" t="s">
        <v>35</v>
      </c>
      <c r="F676" s="26">
        <f t="shared" si="99"/>
        <v>27389.654999999999</v>
      </c>
      <c r="G676" s="26">
        <f t="shared" si="99"/>
        <v>132.19999999999999</v>
      </c>
      <c r="H676" s="26">
        <f t="shared" si="99"/>
        <v>27521.855</v>
      </c>
      <c r="I676" s="26">
        <f t="shared" si="99"/>
        <v>26086.83</v>
      </c>
      <c r="J676" s="424"/>
      <c r="K676" s="26">
        <f t="shared" si="99"/>
        <v>26086.83</v>
      </c>
      <c r="L676" s="26">
        <f t="shared" si="99"/>
        <v>26086.83</v>
      </c>
      <c r="M676" s="424"/>
      <c r="N676" s="26">
        <f t="shared" si="99"/>
        <v>26086.83</v>
      </c>
    </row>
    <row r="677" spans="1:14" ht="26.4" x14ac:dyDescent="0.3">
      <c r="A677" s="34"/>
      <c r="B677" s="34"/>
      <c r="C677" s="34" t="s">
        <v>79</v>
      </c>
      <c r="D677" s="33"/>
      <c r="E677" s="32" t="s">
        <v>78</v>
      </c>
      <c r="F677" s="31">
        <f>F678+F682+F690</f>
        <v>27389.654999999999</v>
      </c>
      <c r="G677" s="31">
        <f>G678+G682+G690</f>
        <v>132.19999999999999</v>
      </c>
      <c r="H677" s="31">
        <f>H678+H682+H690</f>
        <v>27521.855</v>
      </c>
      <c r="I677" s="31">
        <f>I678+I682+I690</f>
        <v>26086.83</v>
      </c>
      <c r="J677" s="423"/>
      <c r="K677" s="31">
        <f>K678+K682+K690</f>
        <v>26086.83</v>
      </c>
      <c r="L677" s="31">
        <f>L678+L682+L690</f>
        <v>26086.83</v>
      </c>
      <c r="M677" s="423"/>
      <c r="N677" s="31">
        <f>N678+N682+N690</f>
        <v>26086.83</v>
      </c>
    </row>
    <row r="678" spans="1:14" x14ac:dyDescent="0.3">
      <c r="A678" s="30"/>
      <c r="B678" s="30"/>
      <c r="C678" s="30" t="s">
        <v>161</v>
      </c>
      <c r="D678" s="30"/>
      <c r="E678" s="51" t="s">
        <v>160</v>
      </c>
      <c r="F678" s="28">
        <f t="shared" ref="F678:N680" si="100">F679</f>
        <v>289.10000000000002</v>
      </c>
      <c r="G678" s="28"/>
      <c r="H678" s="28">
        <f t="shared" si="100"/>
        <v>289.10000000000002</v>
      </c>
      <c r="I678" s="28">
        <f t="shared" si="100"/>
        <v>168.1</v>
      </c>
      <c r="J678" s="410"/>
      <c r="K678" s="28">
        <f t="shared" si="100"/>
        <v>168.1</v>
      </c>
      <c r="L678" s="28">
        <f t="shared" si="100"/>
        <v>168.1</v>
      </c>
      <c r="M678" s="410"/>
      <c r="N678" s="28">
        <f t="shared" si="100"/>
        <v>168.1</v>
      </c>
    </row>
    <row r="679" spans="1:14" ht="27" x14ac:dyDescent="0.3">
      <c r="A679" s="153"/>
      <c r="B679" s="153"/>
      <c r="C679" s="153" t="s">
        <v>159</v>
      </c>
      <c r="D679" s="153"/>
      <c r="E679" s="154" t="s">
        <v>177</v>
      </c>
      <c r="F679" s="155">
        <f>F680</f>
        <v>289.10000000000002</v>
      </c>
      <c r="G679" s="155"/>
      <c r="H679" s="155">
        <f>H680</f>
        <v>289.10000000000002</v>
      </c>
      <c r="I679" s="155">
        <f t="shared" si="100"/>
        <v>168.1</v>
      </c>
      <c r="J679" s="411"/>
      <c r="K679" s="155">
        <f t="shared" si="100"/>
        <v>168.1</v>
      </c>
      <c r="L679" s="155">
        <f t="shared" si="100"/>
        <v>168.1</v>
      </c>
      <c r="M679" s="411"/>
      <c r="N679" s="155">
        <f t="shared" si="100"/>
        <v>168.1</v>
      </c>
    </row>
    <row r="680" spans="1:14" ht="27" x14ac:dyDescent="0.3">
      <c r="A680" s="8"/>
      <c r="B680" s="8"/>
      <c r="C680" s="54" t="s">
        <v>176</v>
      </c>
      <c r="D680" s="7"/>
      <c r="E680" s="130" t="s">
        <v>689</v>
      </c>
      <c r="F680" s="9">
        <f t="shared" si="100"/>
        <v>289.10000000000002</v>
      </c>
      <c r="G680" s="9"/>
      <c r="H680" s="9">
        <f t="shared" si="100"/>
        <v>289.10000000000002</v>
      </c>
      <c r="I680" s="9">
        <f t="shared" si="100"/>
        <v>168.1</v>
      </c>
      <c r="J680" s="412"/>
      <c r="K680" s="9">
        <f t="shared" si="100"/>
        <v>168.1</v>
      </c>
      <c r="L680" s="9">
        <f t="shared" si="100"/>
        <v>168.1</v>
      </c>
      <c r="M680" s="412"/>
      <c r="N680" s="9">
        <f t="shared" si="100"/>
        <v>168.1</v>
      </c>
    </row>
    <row r="681" spans="1:14" ht="27" x14ac:dyDescent="0.3">
      <c r="A681" s="8"/>
      <c r="B681" s="8"/>
      <c r="C681" s="54"/>
      <c r="D681" s="7" t="s">
        <v>57</v>
      </c>
      <c r="E681" s="6" t="s">
        <v>56</v>
      </c>
      <c r="F681" s="175">
        <v>289.10000000000002</v>
      </c>
      <c r="G681" s="407"/>
      <c r="H681" s="175">
        <f>289.1</f>
        <v>289.10000000000002</v>
      </c>
      <c r="I681" s="175">
        <v>168.1</v>
      </c>
      <c r="J681" s="407"/>
      <c r="K681" s="175">
        <v>168.1</v>
      </c>
      <c r="L681" s="175">
        <v>168.1</v>
      </c>
      <c r="M681" s="407"/>
      <c r="N681" s="175">
        <v>168.1</v>
      </c>
    </row>
    <row r="682" spans="1:14" x14ac:dyDescent="0.3">
      <c r="A682" s="30"/>
      <c r="B682" s="30"/>
      <c r="C682" s="30" t="s">
        <v>175</v>
      </c>
      <c r="D682" s="30"/>
      <c r="E682" s="51" t="s">
        <v>174</v>
      </c>
      <c r="F682" s="28">
        <f>F683</f>
        <v>8647.2000000000007</v>
      </c>
      <c r="G682" s="28">
        <f>G683</f>
        <v>132.19999999999999</v>
      </c>
      <c r="H682" s="28">
        <f>H683</f>
        <v>8779.4</v>
      </c>
      <c r="I682" s="28">
        <f>I683</f>
        <v>7846</v>
      </c>
      <c r="J682" s="410"/>
      <c r="K682" s="28">
        <f>K683</f>
        <v>7846</v>
      </c>
      <c r="L682" s="28">
        <f>L683</f>
        <v>7846</v>
      </c>
      <c r="M682" s="410"/>
      <c r="N682" s="28">
        <f>N683</f>
        <v>7846</v>
      </c>
    </row>
    <row r="683" spans="1:14" ht="40.200000000000003" x14ac:dyDescent="0.3">
      <c r="A683" s="153"/>
      <c r="B683" s="153"/>
      <c r="C683" s="153" t="s">
        <v>173</v>
      </c>
      <c r="D683" s="153"/>
      <c r="E683" s="154" t="s">
        <v>172</v>
      </c>
      <c r="F683" s="155">
        <f>F684+F686+F688</f>
        <v>8647.2000000000007</v>
      </c>
      <c r="G683" s="155">
        <f>G684+G686+G688</f>
        <v>132.19999999999999</v>
      </c>
      <c r="H683" s="155">
        <f>H684+H686+H688</f>
        <v>8779.4</v>
      </c>
      <c r="I683" s="155">
        <f>I684+I686+I688</f>
        <v>7846</v>
      </c>
      <c r="J683" s="411"/>
      <c r="K683" s="155">
        <f>K684+K686+K688</f>
        <v>7846</v>
      </c>
      <c r="L683" s="155">
        <f>L684+L686+L688</f>
        <v>7846</v>
      </c>
      <c r="M683" s="411"/>
      <c r="N683" s="155">
        <f>N684+N686+N688</f>
        <v>7846</v>
      </c>
    </row>
    <row r="684" spans="1:14" ht="26.4" x14ac:dyDescent="0.3">
      <c r="A684" s="8"/>
      <c r="B684" s="8"/>
      <c r="C684" s="70" t="s">
        <v>171</v>
      </c>
      <c r="D684" s="7"/>
      <c r="E684" s="10" t="s">
        <v>170</v>
      </c>
      <c r="F684" s="9">
        <f>F685</f>
        <v>4249.5</v>
      </c>
      <c r="G684" s="412"/>
      <c r="H684" s="9">
        <f>H685</f>
        <v>4249.5</v>
      </c>
      <c r="I684" s="9">
        <f>I685</f>
        <v>3853.7</v>
      </c>
      <c r="J684" s="412"/>
      <c r="K684" s="9">
        <f>K685</f>
        <v>3853.7</v>
      </c>
      <c r="L684" s="9">
        <f>L685</f>
        <v>3853.7</v>
      </c>
      <c r="M684" s="412"/>
      <c r="N684" s="9">
        <f>N685</f>
        <v>3853.7</v>
      </c>
    </row>
    <row r="685" spans="1:14" ht="27" x14ac:dyDescent="0.3">
      <c r="A685" s="8"/>
      <c r="B685" s="8"/>
      <c r="C685" s="70"/>
      <c r="D685" s="7" t="s">
        <v>57</v>
      </c>
      <c r="E685" s="6" t="s">
        <v>56</v>
      </c>
      <c r="F685" s="246">
        <v>4249.5</v>
      </c>
      <c r="G685" s="409"/>
      <c r="H685" s="246">
        <v>4249.5</v>
      </c>
      <c r="I685" s="246">
        <v>3853.7</v>
      </c>
      <c r="J685" s="409"/>
      <c r="K685" s="246">
        <v>3853.7</v>
      </c>
      <c r="L685" s="246">
        <v>3853.7</v>
      </c>
      <c r="M685" s="409"/>
      <c r="N685" s="246">
        <v>3853.7</v>
      </c>
    </row>
    <row r="686" spans="1:14" ht="16.5" customHeight="1" x14ac:dyDescent="0.3">
      <c r="A686" s="8"/>
      <c r="B686" s="8"/>
      <c r="C686" s="70" t="s">
        <v>169</v>
      </c>
      <c r="D686" s="7"/>
      <c r="E686" s="6" t="s">
        <v>168</v>
      </c>
      <c r="F686" s="9">
        <f>F687</f>
        <v>2895.5</v>
      </c>
      <c r="G686" s="412"/>
      <c r="H686" s="9">
        <f>H687</f>
        <v>2895.5</v>
      </c>
      <c r="I686" s="9">
        <f>I687</f>
        <v>2541.3000000000002</v>
      </c>
      <c r="J686" s="412"/>
      <c r="K686" s="9">
        <f>K687</f>
        <v>2541.3000000000002</v>
      </c>
      <c r="L686" s="9">
        <f>L687</f>
        <v>2541.3000000000002</v>
      </c>
      <c r="M686" s="412"/>
      <c r="N686" s="9">
        <f>N687</f>
        <v>2541.3000000000002</v>
      </c>
    </row>
    <row r="687" spans="1:14" ht="27" x14ac:dyDescent="0.3">
      <c r="A687" s="8"/>
      <c r="B687" s="8"/>
      <c r="C687" s="70"/>
      <c r="D687" s="7" t="s">
        <v>57</v>
      </c>
      <c r="E687" s="6" t="s">
        <v>56</v>
      </c>
      <c r="F687" s="246">
        <v>2895.5</v>
      </c>
      <c r="G687" s="409"/>
      <c r="H687" s="246">
        <v>2895.5</v>
      </c>
      <c r="I687" s="246">
        <v>2541.3000000000002</v>
      </c>
      <c r="J687" s="409"/>
      <c r="K687" s="246">
        <v>2541.3000000000002</v>
      </c>
      <c r="L687" s="246">
        <v>2541.3000000000002</v>
      </c>
      <c r="M687" s="409"/>
      <c r="N687" s="246">
        <v>2541.3000000000002</v>
      </c>
    </row>
    <row r="688" spans="1:14" ht="27" x14ac:dyDescent="0.3">
      <c r="A688" s="8"/>
      <c r="B688" s="8"/>
      <c r="C688" s="7" t="s">
        <v>167</v>
      </c>
      <c r="D688" s="7"/>
      <c r="E688" s="130" t="s">
        <v>689</v>
      </c>
      <c r="F688" s="9">
        <f>F689</f>
        <v>1502.2</v>
      </c>
      <c r="G688" s="9">
        <f>G689</f>
        <v>132.19999999999999</v>
      </c>
      <c r="H688" s="9">
        <f>H689</f>
        <v>1634.4</v>
      </c>
      <c r="I688" s="9">
        <f>I689</f>
        <v>1451</v>
      </c>
      <c r="J688" s="412"/>
      <c r="K688" s="9">
        <f>K689</f>
        <v>1451</v>
      </c>
      <c r="L688" s="9">
        <f>L689</f>
        <v>1451</v>
      </c>
      <c r="M688" s="412"/>
      <c r="N688" s="9">
        <f>N689</f>
        <v>1451</v>
      </c>
    </row>
    <row r="689" spans="1:14" ht="27" x14ac:dyDescent="0.3">
      <c r="A689" s="8"/>
      <c r="B689" s="8"/>
      <c r="C689" s="7"/>
      <c r="D689" s="7" t="s">
        <v>57</v>
      </c>
      <c r="E689" s="6" t="s">
        <v>56</v>
      </c>
      <c r="F689" s="175">
        <v>1502.2</v>
      </c>
      <c r="G689" s="407">
        <v>132.19999999999999</v>
      </c>
      <c r="H689" s="175">
        <f>1502.2+132.2</f>
        <v>1634.4</v>
      </c>
      <c r="I689" s="175">
        <v>1451</v>
      </c>
      <c r="J689" s="407"/>
      <c r="K689" s="175">
        <v>1451</v>
      </c>
      <c r="L689" s="175">
        <v>1451</v>
      </c>
      <c r="M689" s="407"/>
      <c r="N689" s="175">
        <v>1451</v>
      </c>
    </row>
    <row r="690" spans="1:14" x14ac:dyDescent="0.3">
      <c r="A690" s="30"/>
      <c r="B690" s="30"/>
      <c r="C690" s="30" t="s">
        <v>77</v>
      </c>
      <c r="D690" s="30"/>
      <c r="E690" s="51" t="s">
        <v>76</v>
      </c>
      <c r="F690" s="28">
        <f>F691</f>
        <v>18453.355</v>
      </c>
      <c r="G690" s="410"/>
      <c r="H690" s="28">
        <f>H691</f>
        <v>18453.355</v>
      </c>
      <c r="I690" s="28">
        <f>I691</f>
        <v>18072.73</v>
      </c>
      <c r="J690" s="410"/>
      <c r="K690" s="28">
        <f>K691</f>
        <v>18072.73</v>
      </c>
      <c r="L690" s="28">
        <f>L691</f>
        <v>18072.73</v>
      </c>
      <c r="M690" s="410"/>
      <c r="N690" s="28">
        <f>N691</f>
        <v>18072.73</v>
      </c>
    </row>
    <row r="691" spans="1:14" ht="27" x14ac:dyDescent="0.3">
      <c r="A691" s="153"/>
      <c r="B691" s="153"/>
      <c r="C691" s="153" t="s">
        <v>75</v>
      </c>
      <c r="D691" s="153"/>
      <c r="E691" s="154" t="s">
        <v>74</v>
      </c>
      <c r="F691" s="155">
        <f>F692+F694</f>
        <v>18453.355</v>
      </c>
      <c r="G691" s="411"/>
      <c r="H691" s="155">
        <f>H692+H694</f>
        <v>18453.355</v>
      </c>
      <c r="I691" s="155">
        <f>I692+I694</f>
        <v>18072.73</v>
      </c>
      <c r="J691" s="411"/>
      <c r="K691" s="155">
        <f>K692+K694</f>
        <v>18072.73</v>
      </c>
      <c r="L691" s="155">
        <f>L692+L694</f>
        <v>18072.73</v>
      </c>
      <c r="M691" s="411"/>
      <c r="N691" s="155">
        <f>N692+N694</f>
        <v>18072.73</v>
      </c>
    </row>
    <row r="692" spans="1:14" ht="27" x14ac:dyDescent="0.3">
      <c r="A692" s="8"/>
      <c r="B692" s="8"/>
      <c r="C692" s="7" t="s">
        <v>166</v>
      </c>
      <c r="D692" s="7"/>
      <c r="E692" s="6" t="s">
        <v>165</v>
      </c>
      <c r="F692" s="9">
        <f>SUM(F693)</f>
        <v>1167.25</v>
      </c>
      <c r="G692" s="412"/>
      <c r="H692" s="9">
        <f>SUM(H693)</f>
        <v>1167.25</v>
      </c>
      <c r="I692" s="9">
        <f>SUM(I693)</f>
        <v>786.625</v>
      </c>
      <c r="J692" s="412"/>
      <c r="K692" s="9">
        <f>SUM(K693)</f>
        <v>786.625</v>
      </c>
      <c r="L692" s="9">
        <f>SUM(L693)</f>
        <v>786.625</v>
      </c>
      <c r="M692" s="412"/>
      <c r="N692" s="9">
        <f>SUM(N693)</f>
        <v>786.625</v>
      </c>
    </row>
    <row r="693" spans="1:14" x14ac:dyDescent="0.3">
      <c r="A693" s="8"/>
      <c r="B693" s="8"/>
      <c r="C693" s="7"/>
      <c r="D693" s="7" t="s">
        <v>71</v>
      </c>
      <c r="E693" s="6" t="s">
        <v>70</v>
      </c>
      <c r="F693" s="9">
        <v>1167.25</v>
      </c>
      <c r="G693" s="412"/>
      <c r="H693" s="9">
        <v>1167.25</v>
      </c>
      <c r="I693" s="9">
        <v>786.625</v>
      </c>
      <c r="J693" s="412"/>
      <c r="K693" s="9">
        <v>786.625</v>
      </c>
      <c r="L693" s="9">
        <v>786.625</v>
      </c>
      <c r="M693" s="412"/>
      <c r="N693" s="9">
        <v>786.625</v>
      </c>
    </row>
    <row r="694" spans="1:14" ht="36.75" customHeight="1" x14ac:dyDescent="0.3">
      <c r="A694" s="8"/>
      <c r="B694" s="8"/>
      <c r="C694" s="7" t="s">
        <v>73</v>
      </c>
      <c r="D694" s="7"/>
      <c r="E694" s="6" t="s">
        <v>164</v>
      </c>
      <c r="F694" s="176">
        <f>SUM(F695:F696)</f>
        <v>17286.105</v>
      </c>
      <c r="G694" s="408"/>
      <c r="H694" s="176">
        <f>SUM(H695:H696)</f>
        <v>17286.105</v>
      </c>
      <c r="I694" s="176">
        <f>SUM(I695:I696)</f>
        <v>17286.105</v>
      </c>
      <c r="J694" s="408"/>
      <c r="K694" s="176">
        <f>SUM(K695:K696)</f>
        <v>17286.105</v>
      </c>
      <c r="L694" s="176">
        <f>SUM(L695:L696)</f>
        <v>17286.105</v>
      </c>
      <c r="M694" s="408"/>
      <c r="N694" s="176">
        <f>SUM(N695:N696)</f>
        <v>17286.105</v>
      </c>
    </row>
    <row r="695" spans="1:14" x14ac:dyDescent="0.3">
      <c r="A695" s="8"/>
      <c r="B695" s="8"/>
      <c r="C695" s="7"/>
      <c r="D695" s="7" t="s">
        <v>71</v>
      </c>
      <c r="E695" s="6" t="s">
        <v>70</v>
      </c>
      <c r="F695" s="9">
        <v>8319.7099999999991</v>
      </c>
      <c r="G695" s="412"/>
      <c r="H695" s="9">
        <v>8319.7099999999991</v>
      </c>
      <c r="I695" s="9">
        <v>8319.7099999999991</v>
      </c>
      <c r="J695" s="412"/>
      <c r="K695" s="9">
        <v>8319.7099999999991</v>
      </c>
      <c r="L695" s="9">
        <v>8319.7099999999991</v>
      </c>
      <c r="M695" s="412"/>
      <c r="N695" s="9">
        <v>8319.7099999999991</v>
      </c>
    </row>
    <row r="696" spans="1:14" ht="27" x14ac:dyDescent="0.3">
      <c r="A696" s="8"/>
      <c r="B696" s="8"/>
      <c r="C696" s="7"/>
      <c r="D696" s="7" t="s">
        <v>57</v>
      </c>
      <c r="E696" s="6" t="s">
        <v>56</v>
      </c>
      <c r="F696" s="9">
        <v>8966.3950000000004</v>
      </c>
      <c r="G696" s="412"/>
      <c r="H696" s="9">
        <v>8966.3950000000004</v>
      </c>
      <c r="I696" s="9">
        <v>8966.3950000000004</v>
      </c>
      <c r="J696" s="412"/>
      <c r="K696" s="9">
        <v>8966.3950000000004</v>
      </c>
      <c r="L696" s="9">
        <v>8966.3950000000004</v>
      </c>
      <c r="M696" s="412"/>
      <c r="N696" s="9">
        <v>8966.3950000000004</v>
      </c>
    </row>
    <row r="697" spans="1:14" x14ac:dyDescent="0.3">
      <c r="A697" s="20"/>
      <c r="B697" s="22">
        <v>1004</v>
      </c>
      <c r="C697" s="21"/>
      <c r="D697" s="20"/>
      <c r="E697" s="19" t="s">
        <v>163</v>
      </c>
      <c r="F697" s="26">
        <f t="shared" ref="F697:N702" si="101">F698</f>
        <v>4095.9</v>
      </c>
      <c r="G697" s="424"/>
      <c r="H697" s="26">
        <f t="shared" si="101"/>
        <v>4095.9</v>
      </c>
      <c r="I697" s="26">
        <f t="shared" si="101"/>
        <v>3785.2</v>
      </c>
      <c r="J697" s="424"/>
      <c r="K697" s="26">
        <f t="shared" si="101"/>
        <v>3785.2</v>
      </c>
      <c r="L697" s="26">
        <f t="shared" si="101"/>
        <v>3896.9</v>
      </c>
      <c r="M697" s="424"/>
      <c r="N697" s="26">
        <f t="shared" si="101"/>
        <v>3896.9</v>
      </c>
    </row>
    <row r="698" spans="1:14" x14ac:dyDescent="0.3">
      <c r="A698" s="20"/>
      <c r="B698" s="22"/>
      <c r="C698" s="21" t="s">
        <v>36</v>
      </c>
      <c r="D698" s="22"/>
      <c r="E698" s="55" t="s">
        <v>162</v>
      </c>
      <c r="F698" s="26">
        <f t="shared" si="101"/>
        <v>4095.9</v>
      </c>
      <c r="G698" s="424"/>
      <c r="H698" s="26">
        <f t="shared" si="101"/>
        <v>4095.9</v>
      </c>
      <c r="I698" s="26">
        <f t="shared" si="101"/>
        <v>3785.2</v>
      </c>
      <c r="J698" s="424"/>
      <c r="K698" s="26">
        <f t="shared" si="101"/>
        <v>3785.2</v>
      </c>
      <c r="L698" s="26">
        <f t="shared" si="101"/>
        <v>3896.9</v>
      </c>
      <c r="M698" s="424"/>
      <c r="N698" s="26">
        <f t="shared" si="101"/>
        <v>3896.9</v>
      </c>
    </row>
    <row r="699" spans="1:14" ht="26.4" x14ac:dyDescent="0.3">
      <c r="A699" s="53"/>
      <c r="B699" s="33"/>
      <c r="C699" s="34" t="s">
        <v>79</v>
      </c>
      <c r="D699" s="33"/>
      <c r="E699" s="32" t="s">
        <v>78</v>
      </c>
      <c r="F699" s="31">
        <f t="shared" si="101"/>
        <v>4095.9</v>
      </c>
      <c r="G699" s="423"/>
      <c r="H699" s="31">
        <f t="shared" si="101"/>
        <v>4095.9</v>
      </c>
      <c r="I699" s="31">
        <f t="shared" si="101"/>
        <v>3785.2</v>
      </c>
      <c r="J699" s="423"/>
      <c r="K699" s="31">
        <f t="shared" si="101"/>
        <v>3785.2</v>
      </c>
      <c r="L699" s="31">
        <f t="shared" si="101"/>
        <v>3896.9</v>
      </c>
      <c r="M699" s="423"/>
      <c r="N699" s="31">
        <f t="shared" si="101"/>
        <v>3896.9</v>
      </c>
    </row>
    <row r="700" spans="1:14" x14ac:dyDescent="0.3">
      <c r="A700" s="500"/>
      <c r="B700" s="501"/>
      <c r="C700" s="502" t="s">
        <v>161</v>
      </c>
      <c r="D700" s="501"/>
      <c r="E700" s="503" t="s">
        <v>160</v>
      </c>
      <c r="F700" s="504">
        <f t="shared" si="101"/>
        <v>4095.9</v>
      </c>
      <c r="G700" s="498"/>
      <c r="H700" s="504">
        <f t="shared" si="101"/>
        <v>4095.9</v>
      </c>
      <c r="I700" s="504">
        <f t="shared" si="101"/>
        <v>3785.2</v>
      </c>
      <c r="J700" s="498"/>
      <c r="K700" s="504">
        <f t="shared" si="101"/>
        <v>3785.2</v>
      </c>
      <c r="L700" s="504">
        <f t="shared" si="101"/>
        <v>3896.9</v>
      </c>
      <c r="M700" s="430"/>
      <c r="N700" s="65">
        <f t="shared" si="101"/>
        <v>3896.9</v>
      </c>
    </row>
    <row r="701" spans="1:14" ht="27" x14ac:dyDescent="0.3">
      <c r="A701" s="153"/>
      <c r="B701" s="153"/>
      <c r="C701" s="153" t="s">
        <v>159</v>
      </c>
      <c r="D701" s="153"/>
      <c r="E701" s="154" t="s">
        <v>158</v>
      </c>
      <c r="F701" s="155">
        <f t="shared" si="101"/>
        <v>4095.9</v>
      </c>
      <c r="G701" s="411"/>
      <c r="H701" s="155">
        <f t="shared" si="101"/>
        <v>4095.9</v>
      </c>
      <c r="I701" s="155">
        <f t="shared" si="101"/>
        <v>3785.2</v>
      </c>
      <c r="J701" s="411"/>
      <c r="K701" s="155">
        <f t="shared" si="101"/>
        <v>3785.2</v>
      </c>
      <c r="L701" s="155">
        <f t="shared" si="101"/>
        <v>3896.9</v>
      </c>
      <c r="M701" s="411"/>
      <c r="N701" s="155">
        <f t="shared" si="101"/>
        <v>3896.9</v>
      </c>
    </row>
    <row r="702" spans="1:14" ht="40.200000000000003" x14ac:dyDescent="0.3">
      <c r="A702" s="8"/>
      <c r="B702" s="8"/>
      <c r="C702" s="7" t="s">
        <v>157</v>
      </c>
      <c r="D702" s="7"/>
      <c r="E702" s="6" t="s">
        <v>9</v>
      </c>
      <c r="F702" s="9">
        <f t="shared" si="101"/>
        <v>4095.9</v>
      </c>
      <c r="G702" s="412"/>
      <c r="H702" s="9">
        <f t="shared" si="101"/>
        <v>4095.9</v>
      </c>
      <c r="I702" s="9">
        <f t="shared" si="101"/>
        <v>3785.2</v>
      </c>
      <c r="J702" s="412"/>
      <c r="K702" s="9">
        <f t="shared" si="101"/>
        <v>3785.2</v>
      </c>
      <c r="L702" s="9">
        <f t="shared" si="101"/>
        <v>3896.9</v>
      </c>
      <c r="M702" s="412"/>
      <c r="N702" s="9">
        <f t="shared" si="101"/>
        <v>3896.9</v>
      </c>
    </row>
    <row r="703" spans="1:14" ht="27" x14ac:dyDescent="0.3">
      <c r="A703" s="8"/>
      <c r="B703" s="8"/>
      <c r="C703" s="7"/>
      <c r="D703" s="7" t="s">
        <v>57</v>
      </c>
      <c r="E703" s="6" t="s">
        <v>56</v>
      </c>
      <c r="F703" s="246">
        <v>4095.9</v>
      </c>
      <c r="G703" s="409"/>
      <c r="H703" s="246">
        <v>4095.9</v>
      </c>
      <c r="I703" s="246">
        <v>3785.2</v>
      </c>
      <c r="J703" s="409"/>
      <c r="K703" s="246">
        <v>3785.2</v>
      </c>
      <c r="L703" s="246">
        <v>3896.9</v>
      </c>
      <c r="M703" s="409"/>
      <c r="N703" s="246">
        <v>3896.9</v>
      </c>
    </row>
    <row r="704" spans="1:14" x14ac:dyDescent="0.3">
      <c r="A704" s="36"/>
      <c r="B704" s="22">
        <v>1100</v>
      </c>
      <c r="C704" s="21"/>
      <c r="D704" s="20"/>
      <c r="E704" s="19" t="s">
        <v>68</v>
      </c>
      <c r="F704" s="26">
        <f t="shared" ref="F704:N706" si="102">F705</f>
        <v>3014</v>
      </c>
      <c r="G704" s="424"/>
      <c r="H704" s="26">
        <f t="shared" si="102"/>
        <v>3014</v>
      </c>
      <c r="I704" s="26">
        <f t="shared" si="102"/>
        <v>13196.342860000001</v>
      </c>
      <c r="J704" s="424"/>
      <c r="K704" s="26">
        <f t="shared" si="102"/>
        <v>13196.342860000001</v>
      </c>
      <c r="L704" s="26">
        <f t="shared" si="102"/>
        <v>2164</v>
      </c>
      <c r="M704" s="424"/>
      <c r="N704" s="26">
        <f t="shared" si="102"/>
        <v>2164</v>
      </c>
    </row>
    <row r="705" spans="1:14" x14ac:dyDescent="0.3">
      <c r="A705" s="36"/>
      <c r="B705" s="22" t="s">
        <v>67</v>
      </c>
      <c r="C705" s="21"/>
      <c r="D705" s="22"/>
      <c r="E705" s="27" t="s">
        <v>66</v>
      </c>
      <c r="F705" s="26">
        <f t="shared" si="102"/>
        <v>3014</v>
      </c>
      <c r="G705" s="424"/>
      <c r="H705" s="26">
        <f t="shared" si="102"/>
        <v>3014</v>
      </c>
      <c r="I705" s="26">
        <f t="shared" si="102"/>
        <v>13196.342860000001</v>
      </c>
      <c r="J705" s="424"/>
      <c r="K705" s="26">
        <f t="shared" si="102"/>
        <v>13196.342860000001</v>
      </c>
      <c r="L705" s="26">
        <f t="shared" si="102"/>
        <v>2164</v>
      </c>
      <c r="M705" s="424"/>
      <c r="N705" s="26">
        <f t="shared" si="102"/>
        <v>2164</v>
      </c>
    </row>
    <row r="706" spans="1:14" x14ac:dyDescent="0.3">
      <c r="A706" s="36"/>
      <c r="B706" s="22"/>
      <c r="C706" s="21" t="s">
        <v>36</v>
      </c>
      <c r="D706" s="22"/>
      <c r="E706" s="27" t="s">
        <v>35</v>
      </c>
      <c r="F706" s="26">
        <f t="shared" si="102"/>
        <v>3014</v>
      </c>
      <c r="G706" s="424"/>
      <c r="H706" s="26">
        <f t="shared" si="102"/>
        <v>3014</v>
      </c>
      <c r="I706" s="26">
        <f t="shared" si="102"/>
        <v>13196.342860000001</v>
      </c>
      <c r="J706" s="424"/>
      <c r="K706" s="26">
        <f t="shared" si="102"/>
        <v>13196.342860000001</v>
      </c>
      <c r="L706" s="26">
        <f t="shared" si="102"/>
        <v>2164</v>
      </c>
      <c r="M706" s="424"/>
      <c r="N706" s="26">
        <f t="shared" si="102"/>
        <v>2164</v>
      </c>
    </row>
    <row r="707" spans="1:14" ht="26.4" x14ac:dyDescent="0.3">
      <c r="A707" s="53"/>
      <c r="B707" s="33"/>
      <c r="C707" s="34" t="s">
        <v>65</v>
      </c>
      <c r="D707" s="33"/>
      <c r="E707" s="32" t="s">
        <v>64</v>
      </c>
      <c r="F707" s="31">
        <f>F708+F714</f>
        <v>3014</v>
      </c>
      <c r="G707" s="423"/>
      <c r="H707" s="31">
        <f>H708+H714</f>
        <v>3014</v>
      </c>
      <c r="I707" s="31">
        <f>I708+I714</f>
        <v>13196.342860000001</v>
      </c>
      <c r="J707" s="423"/>
      <c r="K707" s="31">
        <f>K708+K714</f>
        <v>13196.342860000001</v>
      </c>
      <c r="L707" s="31">
        <f>L708+L714</f>
        <v>2164</v>
      </c>
      <c r="M707" s="423"/>
      <c r="N707" s="31">
        <f>N708+N714</f>
        <v>2164</v>
      </c>
    </row>
    <row r="708" spans="1:14" ht="27" x14ac:dyDescent="0.3">
      <c r="A708" s="153"/>
      <c r="B708" s="153"/>
      <c r="C708" s="153" t="s">
        <v>63</v>
      </c>
      <c r="D708" s="153"/>
      <c r="E708" s="154" t="s">
        <v>156</v>
      </c>
      <c r="F708" s="155">
        <f>F709+F711</f>
        <v>2164</v>
      </c>
      <c r="G708" s="411"/>
      <c r="H708" s="155">
        <f>H709+H711</f>
        <v>2164</v>
      </c>
      <c r="I708" s="155">
        <f>I709+I711</f>
        <v>339.2</v>
      </c>
      <c r="J708" s="411"/>
      <c r="K708" s="155">
        <f>K709+K711</f>
        <v>339.2</v>
      </c>
      <c r="L708" s="155">
        <f>L709+L711</f>
        <v>2164</v>
      </c>
      <c r="M708" s="411"/>
      <c r="N708" s="155">
        <f>N709+N711</f>
        <v>2164</v>
      </c>
    </row>
    <row r="709" spans="1:14" ht="40.200000000000003" x14ac:dyDescent="0.3">
      <c r="A709" s="8"/>
      <c r="B709" s="8"/>
      <c r="C709" s="7" t="s">
        <v>61</v>
      </c>
      <c r="D709" s="7"/>
      <c r="E709" s="6" t="s">
        <v>60</v>
      </c>
      <c r="F709" s="9">
        <f>F710</f>
        <v>1824.8</v>
      </c>
      <c r="G709" s="412"/>
      <c r="H709" s="9">
        <f>H710</f>
        <v>1824.8</v>
      </c>
      <c r="I709" s="9">
        <f>I710</f>
        <v>0</v>
      </c>
      <c r="J709" s="412"/>
      <c r="K709" s="9">
        <f>K710</f>
        <v>0</v>
      </c>
      <c r="L709" s="9">
        <f>L710</f>
        <v>1824.8</v>
      </c>
      <c r="M709" s="412"/>
      <c r="N709" s="9">
        <f>N710</f>
        <v>1824.8</v>
      </c>
    </row>
    <row r="710" spans="1:14" ht="27" x14ac:dyDescent="0.3">
      <c r="A710" s="8"/>
      <c r="B710" s="8"/>
      <c r="C710" s="7"/>
      <c r="D710" s="7" t="s">
        <v>57</v>
      </c>
      <c r="E710" s="6" t="s">
        <v>56</v>
      </c>
      <c r="F710" s="9">
        <v>1824.8</v>
      </c>
      <c r="G710" s="412"/>
      <c r="H710" s="9">
        <v>1824.8</v>
      </c>
      <c r="I710" s="9">
        <v>0</v>
      </c>
      <c r="J710" s="412"/>
      <c r="K710" s="9">
        <v>0</v>
      </c>
      <c r="L710" s="9">
        <v>1824.8</v>
      </c>
      <c r="M710" s="412"/>
      <c r="N710" s="9">
        <v>1824.8</v>
      </c>
    </row>
    <row r="711" spans="1:14" x14ac:dyDescent="0.3">
      <c r="A711" s="8"/>
      <c r="B711" s="8"/>
      <c r="C711" s="7" t="s">
        <v>155</v>
      </c>
      <c r="D711" s="7"/>
      <c r="E711" s="6" t="s">
        <v>154</v>
      </c>
      <c r="F711" s="9">
        <f t="shared" ref="F711:N712" si="103">F712</f>
        <v>339.2</v>
      </c>
      <c r="G711" s="412"/>
      <c r="H711" s="9">
        <f t="shared" si="103"/>
        <v>339.2</v>
      </c>
      <c r="I711" s="9">
        <f t="shared" si="103"/>
        <v>339.2</v>
      </c>
      <c r="J711" s="412"/>
      <c r="K711" s="9">
        <f t="shared" si="103"/>
        <v>339.2</v>
      </c>
      <c r="L711" s="9">
        <f t="shared" si="103"/>
        <v>339.2</v>
      </c>
      <c r="M711" s="412"/>
      <c r="N711" s="9">
        <f t="shared" si="103"/>
        <v>339.2</v>
      </c>
    </row>
    <row r="712" spans="1:14" ht="27" x14ac:dyDescent="0.3">
      <c r="A712" s="8"/>
      <c r="B712" s="8"/>
      <c r="C712" s="7"/>
      <c r="D712" s="7" t="s">
        <v>57</v>
      </c>
      <c r="E712" s="6" t="s">
        <v>56</v>
      </c>
      <c r="F712" s="9">
        <f t="shared" si="103"/>
        <v>339.2</v>
      </c>
      <c r="G712" s="412"/>
      <c r="H712" s="9">
        <f t="shared" si="103"/>
        <v>339.2</v>
      </c>
      <c r="I712" s="9">
        <f t="shared" si="103"/>
        <v>339.2</v>
      </c>
      <c r="J712" s="412"/>
      <c r="K712" s="9">
        <f t="shared" si="103"/>
        <v>339.2</v>
      </c>
      <c r="L712" s="9">
        <f t="shared" si="103"/>
        <v>339.2</v>
      </c>
      <c r="M712" s="412"/>
      <c r="N712" s="9">
        <f t="shared" si="103"/>
        <v>339.2</v>
      </c>
    </row>
    <row r="713" spans="1:14" x14ac:dyDescent="0.3">
      <c r="A713" s="8"/>
      <c r="B713" s="8"/>
      <c r="C713" s="7"/>
      <c r="D713" s="7"/>
      <c r="E713" s="10" t="s">
        <v>97</v>
      </c>
      <c r="F713" s="9">
        <v>339.2</v>
      </c>
      <c r="G713" s="412"/>
      <c r="H713" s="9">
        <v>339.2</v>
      </c>
      <c r="I713" s="9">
        <v>339.2</v>
      </c>
      <c r="J713" s="412"/>
      <c r="K713" s="9">
        <v>339.2</v>
      </c>
      <c r="L713" s="9">
        <v>339.2</v>
      </c>
      <c r="M713" s="412"/>
      <c r="N713" s="9">
        <v>339.2</v>
      </c>
    </row>
    <row r="714" spans="1:14" ht="27" x14ac:dyDescent="0.3">
      <c r="A714" s="153"/>
      <c r="B714" s="153"/>
      <c r="C714" s="153" t="s">
        <v>153</v>
      </c>
      <c r="D714" s="153"/>
      <c r="E714" s="154" t="s">
        <v>152</v>
      </c>
      <c r="F714" s="155">
        <f>F715</f>
        <v>850</v>
      </c>
      <c r="G714" s="411"/>
      <c r="H714" s="155">
        <f>H715</f>
        <v>850</v>
      </c>
      <c r="I714" s="155">
        <f>I717</f>
        <v>12857.14286</v>
      </c>
      <c r="J714" s="411"/>
      <c r="K714" s="155">
        <f>K717</f>
        <v>12857.14286</v>
      </c>
      <c r="L714" s="155">
        <f>L717</f>
        <v>0</v>
      </c>
      <c r="M714" s="411"/>
      <c r="N714" s="155">
        <f>N717</f>
        <v>0</v>
      </c>
    </row>
    <row r="715" spans="1:14" ht="30.75" customHeight="1" x14ac:dyDescent="0.3">
      <c r="A715" s="8"/>
      <c r="B715" s="8"/>
      <c r="C715" s="7" t="s">
        <v>549</v>
      </c>
      <c r="D715" s="7"/>
      <c r="E715" s="6" t="s">
        <v>550</v>
      </c>
      <c r="F715" s="9">
        <f>F716</f>
        <v>850</v>
      </c>
      <c r="G715" s="412"/>
      <c r="H715" s="9">
        <f>H716</f>
        <v>850</v>
      </c>
      <c r="I715" s="9">
        <f>I716</f>
        <v>0</v>
      </c>
      <c r="J715" s="412"/>
      <c r="K715" s="9">
        <f>K716</f>
        <v>0</v>
      </c>
      <c r="L715" s="9">
        <f>L716</f>
        <v>0</v>
      </c>
      <c r="M715" s="412"/>
      <c r="N715" s="9">
        <f>N716</f>
        <v>0</v>
      </c>
    </row>
    <row r="716" spans="1:14" ht="27" x14ac:dyDescent="0.3">
      <c r="A716" s="8"/>
      <c r="B716" s="8"/>
      <c r="C716" s="7"/>
      <c r="D716" s="7" t="s">
        <v>57</v>
      </c>
      <c r="E716" s="6" t="s">
        <v>56</v>
      </c>
      <c r="F716" s="9">
        <v>850</v>
      </c>
      <c r="G716" s="412"/>
      <c r="H716" s="9">
        <v>850</v>
      </c>
      <c r="I716" s="9">
        <v>0</v>
      </c>
      <c r="J716" s="412"/>
      <c r="K716" s="9">
        <v>0</v>
      </c>
      <c r="L716" s="9">
        <v>0</v>
      </c>
      <c r="M716" s="412"/>
      <c r="N716" s="9">
        <v>0</v>
      </c>
    </row>
    <row r="717" spans="1:14" x14ac:dyDescent="0.3">
      <c r="A717" s="8"/>
      <c r="B717" s="8"/>
      <c r="C717" s="7" t="s">
        <v>151</v>
      </c>
      <c r="D717" s="7"/>
      <c r="E717" s="6" t="s">
        <v>150</v>
      </c>
      <c r="F717" s="9">
        <v>0</v>
      </c>
      <c r="G717" s="412"/>
      <c r="H717" s="9">
        <v>0</v>
      </c>
      <c r="I717" s="9">
        <f>I718</f>
        <v>12857.14286</v>
      </c>
      <c r="J717" s="412"/>
      <c r="K717" s="9">
        <f>K718</f>
        <v>12857.14286</v>
      </c>
      <c r="L717" s="9">
        <v>0</v>
      </c>
      <c r="M717" s="412"/>
      <c r="N717" s="9">
        <v>0</v>
      </c>
    </row>
    <row r="718" spans="1:14" ht="27" x14ac:dyDescent="0.3">
      <c r="A718" s="8"/>
      <c r="B718" s="8"/>
      <c r="C718" s="7"/>
      <c r="D718" s="7" t="s">
        <v>57</v>
      </c>
      <c r="E718" s="6" t="s">
        <v>56</v>
      </c>
      <c r="F718" s="9">
        <v>0</v>
      </c>
      <c r="G718" s="412"/>
      <c r="H718" s="9">
        <v>0</v>
      </c>
      <c r="I718" s="9">
        <f>I719+I720</f>
        <v>12857.14286</v>
      </c>
      <c r="J718" s="412"/>
      <c r="K718" s="9">
        <f>K719+K720</f>
        <v>12857.14286</v>
      </c>
      <c r="L718" s="9">
        <v>0</v>
      </c>
      <c r="M718" s="412"/>
      <c r="N718" s="9">
        <v>0</v>
      </c>
    </row>
    <row r="719" spans="1:14" x14ac:dyDescent="0.3">
      <c r="A719" s="8"/>
      <c r="B719" s="8"/>
      <c r="C719" s="7"/>
      <c r="D719" s="7"/>
      <c r="E719" s="6" t="s">
        <v>149</v>
      </c>
      <c r="F719" s="5">
        <v>0</v>
      </c>
      <c r="G719" s="425"/>
      <c r="H719" s="5">
        <v>0</v>
      </c>
      <c r="I719" s="5">
        <v>0</v>
      </c>
      <c r="J719" s="425"/>
      <c r="K719" s="5">
        <v>0</v>
      </c>
      <c r="L719" s="5">
        <v>0</v>
      </c>
      <c r="M719" s="425"/>
      <c r="N719" s="5">
        <v>0</v>
      </c>
    </row>
    <row r="720" spans="1:14" x14ac:dyDescent="0.3">
      <c r="A720" s="8"/>
      <c r="B720" s="8"/>
      <c r="C720" s="7"/>
      <c r="D720" s="7"/>
      <c r="E720" s="6" t="s">
        <v>148</v>
      </c>
      <c r="F720" s="9">
        <v>0</v>
      </c>
      <c r="G720" s="412"/>
      <c r="H720" s="9">
        <v>0</v>
      </c>
      <c r="I720" s="9">
        <v>12857.14286</v>
      </c>
      <c r="J720" s="412"/>
      <c r="K720" s="9">
        <v>12857.14286</v>
      </c>
      <c r="L720" s="9">
        <v>0</v>
      </c>
      <c r="M720" s="412"/>
      <c r="N720" s="9">
        <v>0</v>
      </c>
    </row>
    <row r="721" spans="1:14" ht="26.4" x14ac:dyDescent="0.3">
      <c r="A721" s="39">
        <v>621</v>
      </c>
      <c r="B721" s="41"/>
      <c r="C721" s="40"/>
      <c r="D721" s="39"/>
      <c r="E721" s="38" t="s">
        <v>147</v>
      </c>
      <c r="F721" s="37">
        <f>F722+F728+F758+F825+F834</f>
        <v>116543.30954000002</v>
      </c>
      <c r="G721" s="37">
        <f t="shared" ref="G721:L721" si="104">G722+G728+G758+G825+G834</f>
        <v>843.3</v>
      </c>
      <c r="H721" s="37">
        <f t="shared" si="104"/>
        <v>117386.60954</v>
      </c>
      <c r="I721" s="37">
        <f t="shared" si="104"/>
        <v>110010.30000000002</v>
      </c>
      <c r="J721" s="37"/>
      <c r="K721" s="37">
        <f t="shared" si="104"/>
        <v>110010.30000000002</v>
      </c>
      <c r="L721" s="37">
        <f t="shared" si="104"/>
        <v>112875.8</v>
      </c>
      <c r="M721" s="421"/>
      <c r="N721" s="37">
        <f>N728+N758+N825+N834</f>
        <v>112875.8</v>
      </c>
    </row>
    <row r="722" spans="1:14" x14ac:dyDescent="0.3">
      <c r="A722" s="493"/>
      <c r="B722" s="22" t="s">
        <v>40</v>
      </c>
      <c r="C722" s="21"/>
      <c r="D722" s="20"/>
      <c r="E722" s="19" t="s">
        <v>39</v>
      </c>
      <c r="F722" s="491">
        <f>F723</f>
        <v>0</v>
      </c>
      <c r="G722" s="491">
        <f t="shared" ref="G722:L722" si="105">G723</f>
        <v>160.19999999999999</v>
      </c>
      <c r="H722" s="491">
        <f t="shared" si="105"/>
        <v>160.19999999999999</v>
      </c>
      <c r="I722" s="491">
        <f t="shared" si="105"/>
        <v>0</v>
      </c>
      <c r="J722" s="491"/>
      <c r="K722" s="491">
        <f t="shared" si="105"/>
        <v>0</v>
      </c>
      <c r="L722" s="491">
        <f t="shared" si="105"/>
        <v>0</v>
      </c>
      <c r="M722" s="492"/>
      <c r="N722" s="492"/>
    </row>
    <row r="723" spans="1:14" x14ac:dyDescent="0.3">
      <c r="A723" s="493"/>
      <c r="B723" s="22" t="s">
        <v>20</v>
      </c>
      <c r="C723" s="21"/>
      <c r="D723" s="20"/>
      <c r="E723" s="19" t="s">
        <v>19</v>
      </c>
      <c r="F723" s="491">
        <f>F724</f>
        <v>0</v>
      </c>
      <c r="G723" s="491">
        <f t="shared" ref="G723:L723" si="106">G724</f>
        <v>160.19999999999999</v>
      </c>
      <c r="H723" s="491">
        <f t="shared" si="106"/>
        <v>160.19999999999999</v>
      </c>
      <c r="I723" s="491">
        <f t="shared" si="106"/>
        <v>0</v>
      </c>
      <c r="J723" s="491"/>
      <c r="K723" s="491">
        <f t="shared" si="106"/>
        <v>0</v>
      </c>
      <c r="L723" s="491">
        <f t="shared" si="106"/>
        <v>0</v>
      </c>
      <c r="M723" s="492"/>
      <c r="N723" s="492"/>
    </row>
    <row r="724" spans="1:14" x14ac:dyDescent="0.3">
      <c r="A724" s="17"/>
      <c r="B724" s="17"/>
      <c r="C724" s="17" t="s">
        <v>18</v>
      </c>
      <c r="D724" s="17"/>
      <c r="E724" s="16" t="s">
        <v>17</v>
      </c>
      <c r="F724" s="15">
        <f>F725</f>
        <v>0</v>
      </c>
      <c r="G724" s="15">
        <f t="shared" ref="G724:L724" si="107">G725</f>
        <v>160.19999999999999</v>
      </c>
      <c r="H724" s="15">
        <f t="shared" si="107"/>
        <v>160.19999999999999</v>
      </c>
      <c r="I724" s="15">
        <f t="shared" si="107"/>
        <v>0</v>
      </c>
      <c r="J724" s="15"/>
      <c r="K724" s="15">
        <f t="shared" si="107"/>
        <v>0</v>
      </c>
      <c r="L724" s="15">
        <f t="shared" si="107"/>
        <v>0</v>
      </c>
      <c r="M724" s="432"/>
      <c r="N724" s="15">
        <f>N725</f>
        <v>0</v>
      </c>
    </row>
    <row r="725" spans="1:14" ht="27" x14ac:dyDescent="0.3">
      <c r="A725" s="14"/>
      <c r="B725" s="14"/>
      <c r="C725" s="14" t="s">
        <v>16</v>
      </c>
      <c r="D725" s="14"/>
      <c r="E725" s="13" t="s">
        <v>15</v>
      </c>
      <c r="F725" s="12">
        <f>F726</f>
        <v>0</v>
      </c>
      <c r="G725" s="12">
        <f>G726</f>
        <v>160.19999999999999</v>
      </c>
      <c r="H725" s="12">
        <f>H726</f>
        <v>160.19999999999999</v>
      </c>
      <c r="I725" s="12">
        <f>I726</f>
        <v>0</v>
      </c>
      <c r="J725" s="12"/>
      <c r="K725" s="12">
        <f>K726</f>
        <v>0</v>
      </c>
      <c r="L725" s="12">
        <f>L726</f>
        <v>0</v>
      </c>
      <c r="M725" s="428"/>
      <c r="N725" s="12">
        <f>N726</f>
        <v>0</v>
      </c>
    </row>
    <row r="726" spans="1:14" x14ac:dyDescent="0.3">
      <c r="A726" s="490"/>
      <c r="B726" s="490"/>
      <c r="C726" s="7" t="s">
        <v>941</v>
      </c>
      <c r="D726" s="7"/>
      <c r="E726" s="6" t="s">
        <v>942</v>
      </c>
      <c r="F726" s="481">
        <f>F727</f>
        <v>0</v>
      </c>
      <c r="G726" s="481">
        <f>G727</f>
        <v>160.19999999999999</v>
      </c>
      <c r="H726" s="481">
        <f>H727</f>
        <v>160.19999999999999</v>
      </c>
      <c r="I726" s="481">
        <v>0</v>
      </c>
      <c r="J726" s="481"/>
      <c r="K726" s="481">
        <v>0</v>
      </c>
      <c r="L726" s="481">
        <v>0</v>
      </c>
      <c r="M726" s="489"/>
      <c r="N726" s="489"/>
    </row>
    <row r="727" spans="1:14" ht="27" x14ac:dyDescent="0.3">
      <c r="A727" s="490"/>
      <c r="B727" s="490"/>
      <c r="C727" s="490"/>
      <c r="D727" s="7" t="s">
        <v>57</v>
      </c>
      <c r="E727" s="6" t="s">
        <v>56</v>
      </c>
      <c r="F727" s="481">
        <v>0</v>
      </c>
      <c r="G727" s="481">
        <v>160.19999999999999</v>
      </c>
      <c r="H727" s="481">
        <v>160.19999999999999</v>
      </c>
      <c r="I727" s="481">
        <v>0</v>
      </c>
      <c r="J727" s="481"/>
      <c r="K727" s="481">
        <v>0</v>
      </c>
      <c r="L727" s="481">
        <v>0</v>
      </c>
      <c r="M727" s="489"/>
      <c r="N727" s="489"/>
    </row>
    <row r="728" spans="1:14" x14ac:dyDescent="0.3">
      <c r="A728" s="64"/>
      <c r="B728" s="22" t="s">
        <v>146</v>
      </c>
      <c r="C728" s="21"/>
      <c r="D728" s="20"/>
      <c r="E728" s="19" t="s">
        <v>145</v>
      </c>
      <c r="F728" s="26">
        <f>F729+F740+F751</f>
        <v>24786.899999999998</v>
      </c>
      <c r="G728" s="424"/>
      <c r="H728" s="26">
        <f>H729+H740+H751</f>
        <v>24786.899999999998</v>
      </c>
      <c r="I728" s="26">
        <f>I729+I740+I751</f>
        <v>24122.799999999999</v>
      </c>
      <c r="J728" s="424"/>
      <c r="K728" s="26">
        <f>K729+K740+K751</f>
        <v>24122.799999999999</v>
      </c>
      <c r="L728" s="26">
        <f>L729+L740+L751</f>
        <v>24786.899999999998</v>
      </c>
      <c r="M728" s="424"/>
      <c r="N728" s="26">
        <f>N729+N740+N751</f>
        <v>24786.899999999998</v>
      </c>
    </row>
    <row r="729" spans="1:14" x14ac:dyDescent="0.3">
      <c r="A729" s="64"/>
      <c r="B729" s="22" t="s">
        <v>144</v>
      </c>
      <c r="C729" s="21"/>
      <c r="D729" s="20"/>
      <c r="E729" s="19" t="s">
        <v>143</v>
      </c>
      <c r="F729" s="26">
        <f t="shared" ref="F729:N734" si="108">F730</f>
        <v>24122.799999999999</v>
      </c>
      <c r="G729" s="424"/>
      <c r="H729" s="26">
        <f t="shared" si="108"/>
        <v>24122.799999999999</v>
      </c>
      <c r="I729" s="26">
        <f t="shared" si="108"/>
        <v>24122.799999999999</v>
      </c>
      <c r="J729" s="424"/>
      <c r="K729" s="26">
        <f t="shared" si="108"/>
        <v>24122.799999999999</v>
      </c>
      <c r="L729" s="26">
        <f t="shared" si="108"/>
        <v>24122.799999999999</v>
      </c>
      <c r="M729" s="424"/>
      <c r="N729" s="26">
        <f t="shared" si="108"/>
        <v>24122.799999999999</v>
      </c>
    </row>
    <row r="730" spans="1:14" x14ac:dyDescent="0.3">
      <c r="A730" s="64"/>
      <c r="B730" s="22"/>
      <c r="C730" s="21" t="s">
        <v>36</v>
      </c>
      <c r="D730" s="22"/>
      <c r="E730" s="27" t="s">
        <v>35</v>
      </c>
      <c r="F730" s="26">
        <f t="shared" si="108"/>
        <v>24122.799999999999</v>
      </c>
      <c r="G730" s="424"/>
      <c r="H730" s="26">
        <f t="shared" si="108"/>
        <v>24122.799999999999</v>
      </c>
      <c r="I730" s="26">
        <f t="shared" si="108"/>
        <v>24122.799999999999</v>
      </c>
      <c r="J730" s="424"/>
      <c r="K730" s="26">
        <f t="shared" si="108"/>
        <v>24122.799999999999</v>
      </c>
      <c r="L730" s="26">
        <f t="shared" si="108"/>
        <v>24122.799999999999</v>
      </c>
      <c r="M730" s="424"/>
      <c r="N730" s="26">
        <f t="shared" si="108"/>
        <v>24122.799999999999</v>
      </c>
    </row>
    <row r="731" spans="1:14" ht="26.4" x14ac:dyDescent="0.3">
      <c r="A731" s="53"/>
      <c r="B731" s="33"/>
      <c r="C731" s="34" t="s">
        <v>59</v>
      </c>
      <c r="D731" s="33"/>
      <c r="E731" s="32" t="s">
        <v>58</v>
      </c>
      <c r="F731" s="31">
        <f t="shared" si="108"/>
        <v>24122.799999999999</v>
      </c>
      <c r="G731" s="423"/>
      <c r="H731" s="31">
        <f t="shared" si="108"/>
        <v>24122.799999999999</v>
      </c>
      <c r="I731" s="31">
        <f t="shared" si="108"/>
        <v>24122.799999999999</v>
      </c>
      <c r="J731" s="423"/>
      <c r="K731" s="31">
        <f t="shared" si="108"/>
        <v>24122.799999999999</v>
      </c>
      <c r="L731" s="31">
        <f t="shared" si="108"/>
        <v>24122.799999999999</v>
      </c>
      <c r="M731" s="423"/>
      <c r="N731" s="31">
        <f t="shared" si="108"/>
        <v>24122.799999999999</v>
      </c>
    </row>
    <row r="732" spans="1:14" ht="27" x14ac:dyDescent="0.3">
      <c r="A732" s="30"/>
      <c r="B732" s="30"/>
      <c r="C732" s="30" t="s">
        <v>93</v>
      </c>
      <c r="D732" s="30"/>
      <c r="E732" s="51" t="s">
        <v>92</v>
      </c>
      <c r="F732" s="28">
        <f t="shared" si="108"/>
        <v>24122.799999999999</v>
      </c>
      <c r="G732" s="410"/>
      <c r="H732" s="28">
        <f t="shared" si="108"/>
        <v>24122.799999999999</v>
      </c>
      <c r="I732" s="28">
        <f t="shared" si="108"/>
        <v>24122.799999999999</v>
      </c>
      <c r="J732" s="410"/>
      <c r="K732" s="28">
        <f t="shared" si="108"/>
        <v>24122.799999999999</v>
      </c>
      <c r="L732" s="28">
        <f t="shared" si="108"/>
        <v>24122.799999999999</v>
      </c>
      <c r="M732" s="410"/>
      <c r="N732" s="28">
        <f t="shared" si="108"/>
        <v>24122.799999999999</v>
      </c>
    </row>
    <row r="733" spans="1:14" ht="27" x14ac:dyDescent="0.3">
      <c r="A733" s="153"/>
      <c r="B733" s="153"/>
      <c r="C733" s="153" t="s">
        <v>142</v>
      </c>
      <c r="D733" s="153"/>
      <c r="E733" s="154" t="s">
        <v>141</v>
      </c>
      <c r="F733" s="155">
        <f t="shared" si="108"/>
        <v>24122.799999999999</v>
      </c>
      <c r="G733" s="411"/>
      <c r="H733" s="155">
        <f t="shared" si="108"/>
        <v>24122.799999999999</v>
      </c>
      <c r="I733" s="155">
        <f t="shared" si="108"/>
        <v>24122.799999999999</v>
      </c>
      <c r="J733" s="411"/>
      <c r="K733" s="155">
        <f t="shared" si="108"/>
        <v>24122.799999999999</v>
      </c>
      <c r="L733" s="155">
        <f t="shared" si="108"/>
        <v>24122.799999999999</v>
      </c>
      <c r="M733" s="411"/>
      <c r="N733" s="155">
        <f t="shared" si="108"/>
        <v>24122.799999999999</v>
      </c>
    </row>
    <row r="734" spans="1:14" x14ac:dyDescent="0.3">
      <c r="A734" s="8"/>
      <c r="B734" s="8"/>
      <c r="C734" s="7" t="s">
        <v>140</v>
      </c>
      <c r="D734" s="7"/>
      <c r="E734" s="63" t="s">
        <v>139</v>
      </c>
      <c r="F734" s="9">
        <f t="shared" si="108"/>
        <v>24122.799999999999</v>
      </c>
      <c r="G734" s="412"/>
      <c r="H734" s="9">
        <f t="shared" si="108"/>
        <v>24122.799999999999</v>
      </c>
      <c r="I734" s="9">
        <f t="shared" si="108"/>
        <v>24122.799999999999</v>
      </c>
      <c r="J734" s="412"/>
      <c r="K734" s="9">
        <f t="shared" si="108"/>
        <v>24122.799999999999</v>
      </c>
      <c r="L734" s="9">
        <f t="shared" si="108"/>
        <v>24122.799999999999</v>
      </c>
      <c r="M734" s="412"/>
      <c r="N734" s="9">
        <f t="shared" si="108"/>
        <v>24122.799999999999</v>
      </c>
    </row>
    <row r="735" spans="1:14" ht="27" x14ac:dyDescent="0.3">
      <c r="A735" s="8"/>
      <c r="B735" s="8"/>
      <c r="C735" s="7"/>
      <c r="D735" s="7" t="s">
        <v>57</v>
      </c>
      <c r="E735" s="6" t="s">
        <v>56</v>
      </c>
      <c r="F735" s="175">
        <v>24122.799999999999</v>
      </c>
      <c r="G735" s="407"/>
      <c r="H735" s="175">
        <v>24122.799999999999</v>
      </c>
      <c r="I735" s="175">
        <v>24122.799999999999</v>
      </c>
      <c r="J735" s="407"/>
      <c r="K735" s="175">
        <v>24122.799999999999</v>
      </c>
      <c r="L735" s="175">
        <v>24122.799999999999</v>
      </c>
      <c r="M735" s="407"/>
      <c r="N735" s="175">
        <v>24122.799999999999</v>
      </c>
    </row>
    <row r="736" spans="1:14" x14ac:dyDescent="0.3">
      <c r="A736" s="17"/>
      <c r="B736" s="17"/>
      <c r="C736" s="17" t="s">
        <v>18</v>
      </c>
      <c r="D736" s="17"/>
      <c r="E736" s="16" t="s">
        <v>17</v>
      </c>
      <c r="F736" s="15">
        <f t="shared" ref="F736:N737" si="109">F737</f>
        <v>0</v>
      </c>
      <c r="G736" s="432"/>
      <c r="H736" s="15">
        <f t="shared" si="109"/>
        <v>0</v>
      </c>
      <c r="I736" s="15">
        <f t="shared" si="109"/>
        <v>0</v>
      </c>
      <c r="J736" s="432"/>
      <c r="K736" s="15">
        <f t="shared" si="109"/>
        <v>0</v>
      </c>
      <c r="L736" s="15">
        <f t="shared" si="109"/>
        <v>0</v>
      </c>
      <c r="M736" s="432"/>
      <c r="N736" s="15">
        <f t="shared" si="109"/>
        <v>0</v>
      </c>
    </row>
    <row r="737" spans="1:14" ht="27" x14ac:dyDescent="0.3">
      <c r="A737" s="14"/>
      <c r="B737" s="14"/>
      <c r="C737" s="14" t="s">
        <v>16</v>
      </c>
      <c r="D737" s="14"/>
      <c r="E737" s="13" t="s">
        <v>15</v>
      </c>
      <c r="F737" s="12">
        <f t="shared" si="109"/>
        <v>0</v>
      </c>
      <c r="G737" s="428"/>
      <c r="H737" s="12">
        <f t="shared" si="109"/>
        <v>0</v>
      </c>
      <c r="I737" s="12">
        <f t="shared" si="109"/>
        <v>0</v>
      </c>
      <c r="J737" s="428"/>
      <c r="K737" s="12">
        <f t="shared" si="109"/>
        <v>0</v>
      </c>
      <c r="L737" s="12">
        <f t="shared" si="109"/>
        <v>0</v>
      </c>
      <c r="M737" s="428"/>
      <c r="N737" s="12">
        <f t="shared" si="109"/>
        <v>0</v>
      </c>
    </row>
    <row r="738" spans="1:14" x14ac:dyDescent="0.3">
      <c r="A738" s="8"/>
      <c r="B738" s="8"/>
      <c r="C738" s="54" t="s">
        <v>478</v>
      </c>
      <c r="D738" s="54"/>
      <c r="E738" s="10" t="s">
        <v>477</v>
      </c>
      <c r="F738" s="9">
        <v>0</v>
      </c>
      <c r="G738" s="412"/>
      <c r="H738" s="9">
        <v>0</v>
      </c>
      <c r="I738" s="9">
        <v>0</v>
      </c>
      <c r="J738" s="412"/>
      <c r="K738" s="9">
        <v>0</v>
      </c>
      <c r="L738" s="9">
        <v>0</v>
      </c>
      <c r="M738" s="412"/>
      <c r="N738" s="9">
        <v>0</v>
      </c>
    </row>
    <row r="739" spans="1:14" ht="27" x14ac:dyDescent="0.3">
      <c r="A739" s="8"/>
      <c r="B739" s="8"/>
      <c r="C739" s="54"/>
      <c r="D739" s="7" t="s">
        <v>57</v>
      </c>
      <c r="E739" s="6" t="s">
        <v>56</v>
      </c>
      <c r="F739" s="9">
        <f>1243.6-1243.6</f>
        <v>0</v>
      </c>
      <c r="G739" s="412"/>
      <c r="H739" s="9">
        <f>1243.6-1243.6</f>
        <v>0</v>
      </c>
      <c r="I739" s="9">
        <f>1243.6-1243.6</f>
        <v>0</v>
      </c>
      <c r="J739" s="412"/>
      <c r="K739" s="9">
        <f>1243.6-1243.6</f>
        <v>0</v>
      </c>
      <c r="L739" s="9">
        <f>1243.6-1243.6</f>
        <v>0</v>
      </c>
      <c r="M739" s="412"/>
      <c r="N739" s="9">
        <f>1243.6-1243.6</f>
        <v>0</v>
      </c>
    </row>
    <row r="740" spans="1:14" x14ac:dyDescent="0.3">
      <c r="A740" s="52"/>
      <c r="B740" s="22" t="s">
        <v>138</v>
      </c>
      <c r="C740" s="21"/>
      <c r="D740" s="22"/>
      <c r="E740" s="19" t="s">
        <v>137</v>
      </c>
      <c r="F740" s="26">
        <f t="shared" ref="F740:N743" si="110">F741</f>
        <v>364.1</v>
      </c>
      <c r="G740" s="424"/>
      <c r="H740" s="26">
        <f t="shared" si="110"/>
        <v>364.1</v>
      </c>
      <c r="I740" s="26">
        <f t="shared" si="110"/>
        <v>0</v>
      </c>
      <c r="J740" s="424"/>
      <c r="K740" s="26">
        <f t="shared" si="110"/>
        <v>0</v>
      </c>
      <c r="L740" s="26">
        <f t="shared" si="110"/>
        <v>364.1</v>
      </c>
      <c r="M740" s="424"/>
      <c r="N740" s="26">
        <f t="shared" si="110"/>
        <v>364.1</v>
      </c>
    </row>
    <row r="741" spans="1:14" x14ac:dyDescent="0.3">
      <c r="A741" s="52"/>
      <c r="B741" s="22"/>
      <c r="C741" s="21" t="s">
        <v>36</v>
      </c>
      <c r="D741" s="22"/>
      <c r="E741" s="27" t="s">
        <v>35</v>
      </c>
      <c r="F741" s="26">
        <f t="shared" si="110"/>
        <v>364.1</v>
      </c>
      <c r="G741" s="424"/>
      <c r="H741" s="26">
        <f t="shared" si="110"/>
        <v>364.1</v>
      </c>
      <c r="I741" s="26">
        <f t="shared" si="110"/>
        <v>0</v>
      </c>
      <c r="J741" s="424"/>
      <c r="K741" s="26">
        <f t="shared" si="110"/>
        <v>0</v>
      </c>
      <c r="L741" s="26">
        <f t="shared" si="110"/>
        <v>364.1</v>
      </c>
      <c r="M741" s="424"/>
      <c r="N741" s="26">
        <f t="shared" si="110"/>
        <v>364.1</v>
      </c>
    </row>
    <row r="742" spans="1:14" ht="26.4" x14ac:dyDescent="0.3">
      <c r="A742" s="53"/>
      <c r="B742" s="33"/>
      <c r="C742" s="34" t="s">
        <v>59</v>
      </c>
      <c r="D742" s="33"/>
      <c r="E742" s="32" t="s">
        <v>58</v>
      </c>
      <c r="F742" s="31">
        <f t="shared" si="110"/>
        <v>364.1</v>
      </c>
      <c r="G742" s="423"/>
      <c r="H742" s="31">
        <f t="shared" si="110"/>
        <v>364.1</v>
      </c>
      <c r="I742" s="31">
        <f t="shared" si="110"/>
        <v>0</v>
      </c>
      <c r="J742" s="423"/>
      <c r="K742" s="31">
        <f t="shared" si="110"/>
        <v>0</v>
      </c>
      <c r="L742" s="31">
        <f t="shared" si="110"/>
        <v>364.1</v>
      </c>
      <c r="M742" s="423"/>
      <c r="N742" s="31">
        <f t="shared" si="110"/>
        <v>364.1</v>
      </c>
    </row>
    <row r="743" spans="1:14" x14ac:dyDescent="0.3">
      <c r="A743" s="30"/>
      <c r="B743" s="30"/>
      <c r="C743" s="30" t="s">
        <v>136</v>
      </c>
      <c r="D743" s="30"/>
      <c r="E743" s="51" t="s">
        <v>135</v>
      </c>
      <c r="F743" s="28">
        <f t="shared" si="110"/>
        <v>364.1</v>
      </c>
      <c r="G743" s="410"/>
      <c r="H743" s="28">
        <f t="shared" si="110"/>
        <v>364.1</v>
      </c>
      <c r="I743" s="28">
        <f t="shared" si="110"/>
        <v>0</v>
      </c>
      <c r="J743" s="410"/>
      <c r="K743" s="28">
        <f t="shared" si="110"/>
        <v>0</v>
      </c>
      <c r="L743" s="28">
        <f t="shared" si="110"/>
        <v>364.1</v>
      </c>
      <c r="M743" s="410"/>
      <c r="N743" s="28">
        <f t="shared" si="110"/>
        <v>364.1</v>
      </c>
    </row>
    <row r="744" spans="1:14" x14ac:dyDescent="0.3">
      <c r="A744" s="153"/>
      <c r="B744" s="153"/>
      <c r="C744" s="153" t="s">
        <v>134</v>
      </c>
      <c r="D744" s="153"/>
      <c r="E744" s="154" t="s">
        <v>133</v>
      </c>
      <c r="F744" s="155">
        <f>F745+F747</f>
        <v>364.1</v>
      </c>
      <c r="G744" s="411"/>
      <c r="H744" s="155">
        <f>H745+H747</f>
        <v>364.1</v>
      </c>
      <c r="I744" s="155">
        <f>I745+I747</f>
        <v>0</v>
      </c>
      <c r="J744" s="411"/>
      <c r="K744" s="155">
        <f>K745+K747</f>
        <v>0</v>
      </c>
      <c r="L744" s="155">
        <f>L745+L747</f>
        <v>364.1</v>
      </c>
      <c r="M744" s="411"/>
      <c r="N744" s="155">
        <f>N745+N747</f>
        <v>364.1</v>
      </c>
    </row>
    <row r="745" spans="1:14" ht="66.599999999999994" x14ac:dyDescent="0.3">
      <c r="A745" s="8"/>
      <c r="B745" s="8"/>
      <c r="C745" s="7" t="s">
        <v>132</v>
      </c>
      <c r="D745" s="7"/>
      <c r="E745" s="6" t="s">
        <v>131</v>
      </c>
      <c r="F745" s="9">
        <f>F746</f>
        <v>297.10000000000002</v>
      </c>
      <c r="G745" s="412"/>
      <c r="H745" s="9">
        <f>H746</f>
        <v>297.10000000000002</v>
      </c>
      <c r="I745" s="9">
        <f>I746</f>
        <v>0</v>
      </c>
      <c r="J745" s="412"/>
      <c r="K745" s="9">
        <f>K746</f>
        <v>0</v>
      </c>
      <c r="L745" s="9">
        <f>L746</f>
        <v>297.10000000000002</v>
      </c>
      <c r="M745" s="412"/>
      <c r="N745" s="9">
        <f>N746</f>
        <v>297.10000000000002</v>
      </c>
    </row>
    <row r="746" spans="1:14" ht="27" x14ac:dyDescent="0.3">
      <c r="A746" s="8"/>
      <c r="B746" s="8"/>
      <c r="C746" s="7"/>
      <c r="D746" s="7" t="s">
        <v>57</v>
      </c>
      <c r="E746" s="6" t="s">
        <v>56</v>
      </c>
      <c r="F746" s="175">
        <v>297.10000000000002</v>
      </c>
      <c r="G746" s="407"/>
      <c r="H746" s="175">
        <v>297.10000000000002</v>
      </c>
      <c r="I746" s="175">
        <v>0</v>
      </c>
      <c r="J746" s="407"/>
      <c r="K746" s="175">
        <v>0</v>
      </c>
      <c r="L746" s="175">
        <v>297.10000000000002</v>
      </c>
      <c r="M746" s="407"/>
      <c r="N746" s="175">
        <v>297.10000000000002</v>
      </c>
    </row>
    <row r="747" spans="1:14" x14ac:dyDescent="0.3">
      <c r="A747" s="8"/>
      <c r="B747" s="8"/>
      <c r="C747" s="54" t="s">
        <v>130</v>
      </c>
      <c r="D747" s="54"/>
      <c r="E747" s="10" t="s">
        <v>129</v>
      </c>
      <c r="F747" s="9">
        <f>F748</f>
        <v>67</v>
      </c>
      <c r="G747" s="412"/>
      <c r="H747" s="9">
        <f>H748</f>
        <v>67</v>
      </c>
      <c r="I747" s="9">
        <f>I748</f>
        <v>0</v>
      </c>
      <c r="J747" s="412"/>
      <c r="K747" s="9">
        <f>K748</f>
        <v>0</v>
      </c>
      <c r="L747" s="9">
        <f>L748</f>
        <v>67</v>
      </c>
      <c r="M747" s="412"/>
      <c r="N747" s="9">
        <f>N748</f>
        <v>67</v>
      </c>
    </row>
    <row r="748" spans="1:14" ht="27" x14ac:dyDescent="0.3">
      <c r="A748" s="8"/>
      <c r="B748" s="8"/>
      <c r="C748" s="54"/>
      <c r="D748" s="7" t="s">
        <v>57</v>
      </c>
      <c r="E748" s="6" t="s">
        <v>56</v>
      </c>
      <c r="F748" s="9">
        <f>F750</f>
        <v>67</v>
      </c>
      <c r="G748" s="412"/>
      <c r="H748" s="9">
        <f>H750</f>
        <v>67</v>
      </c>
      <c r="I748" s="9">
        <f>I750</f>
        <v>0</v>
      </c>
      <c r="J748" s="412"/>
      <c r="K748" s="9">
        <f>K750</f>
        <v>0</v>
      </c>
      <c r="L748" s="9">
        <f>L750</f>
        <v>67</v>
      </c>
      <c r="M748" s="412"/>
      <c r="N748" s="9">
        <f>N750</f>
        <v>67</v>
      </c>
    </row>
    <row r="749" spans="1:14" x14ac:dyDescent="0.3">
      <c r="A749" s="8"/>
      <c r="B749" s="8"/>
      <c r="C749" s="7"/>
      <c r="D749" s="7"/>
      <c r="E749" s="10" t="s">
        <v>100</v>
      </c>
      <c r="F749" s="9">
        <v>0</v>
      </c>
      <c r="G749" s="412"/>
      <c r="H749" s="9">
        <v>0</v>
      </c>
      <c r="I749" s="9">
        <v>0</v>
      </c>
      <c r="J749" s="412"/>
      <c r="K749" s="9">
        <v>0</v>
      </c>
      <c r="L749" s="9">
        <v>0</v>
      </c>
      <c r="M749" s="412"/>
      <c r="N749" s="9">
        <v>0</v>
      </c>
    </row>
    <row r="750" spans="1:14" x14ac:dyDescent="0.3">
      <c r="A750" s="8"/>
      <c r="B750" s="8"/>
      <c r="C750" s="7"/>
      <c r="D750" s="7"/>
      <c r="E750" s="10" t="s">
        <v>97</v>
      </c>
      <c r="F750" s="9">
        <v>67</v>
      </c>
      <c r="G750" s="412"/>
      <c r="H750" s="9">
        <v>67</v>
      </c>
      <c r="I750" s="9">
        <v>0</v>
      </c>
      <c r="J750" s="412"/>
      <c r="K750" s="9">
        <v>0</v>
      </c>
      <c r="L750" s="9">
        <v>67</v>
      </c>
      <c r="M750" s="412"/>
      <c r="N750" s="9">
        <v>67</v>
      </c>
    </row>
    <row r="751" spans="1:14" x14ac:dyDescent="0.3">
      <c r="A751" s="52"/>
      <c r="B751" s="22" t="s">
        <v>128</v>
      </c>
      <c r="C751" s="21"/>
      <c r="D751" s="22"/>
      <c r="E751" s="27" t="s">
        <v>127</v>
      </c>
      <c r="F751" s="26">
        <f t="shared" ref="F751:N756" si="111">F752</f>
        <v>300</v>
      </c>
      <c r="G751" s="424"/>
      <c r="H751" s="26">
        <f t="shared" si="111"/>
        <v>300</v>
      </c>
      <c r="I751" s="26">
        <f t="shared" si="111"/>
        <v>0</v>
      </c>
      <c r="J751" s="424"/>
      <c r="K751" s="26">
        <f t="shared" si="111"/>
        <v>0</v>
      </c>
      <c r="L751" s="26">
        <f t="shared" si="111"/>
        <v>300</v>
      </c>
      <c r="M751" s="424"/>
      <c r="N751" s="26">
        <f t="shared" si="111"/>
        <v>300</v>
      </c>
    </row>
    <row r="752" spans="1:14" x14ac:dyDescent="0.3">
      <c r="A752" s="52"/>
      <c r="B752" s="22"/>
      <c r="C752" s="21" t="s">
        <v>36</v>
      </c>
      <c r="D752" s="22"/>
      <c r="E752" s="27" t="s">
        <v>35</v>
      </c>
      <c r="F752" s="26">
        <f t="shared" si="111"/>
        <v>300</v>
      </c>
      <c r="G752" s="424"/>
      <c r="H752" s="26">
        <f t="shared" si="111"/>
        <v>300</v>
      </c>
      <c r="I752" s="26">
        <f t="shared" si="111"/>
        <v>0</v>
      </c>
      <c r="J752" s="424"/>
      <c r="K752" s="26">
        <f t="shared" si="111"/>
        <v>0</v>
      </c>
      <c r="L752" s="26">
        <f t="shared" si="111"/>
        <v>300</v>
      </c>
      <c r="M752" s="424"/>
      <c r="N752" s="26">
        <f t="shared" si="111"/>
        <v>300</v>
      </c>
    </row>
    <row r="753" spans="1:14" ht="26.4" x14ac:dyDescent="0.3">
      <c r="A753" s="53"/>
      <c r="B753" s="33"/>
      <c r="C753" s="34" t="s">
        <v>79</v>
      </c>
      <c r="D753" s="33"/>
      <c r="E753" s="32" t="s">
        <v>78</v>
      </c>
      <c r="F753" s="31">
        <f t="shared" si="111"/>
        <v>300</v>
      </c>
      <c r="G753" s="423"/>
      <c r="H753" s="31">
        <f t="shared" si="111"/>
        <v>300</v>
      </c>
      <c r="I753" s="31">
        <f t="shared" si="111"/>
        <v>0</v>
      </c>
      <c r="J753" s="423"/>
      <c r="K753" s="31">
        <f t="shared" si="111"/>
        <v>0</v>
      </c>
      <c r="L753" s="31">
        <f t="shared" si="111"/>
        <v>300</v>
      </c>
      <c r="M753" s="423"/>
      <c r="N753" s="31">
        <f t="shared" si="111"/>
        <v>300</v>
      </c>
    </row>
    <row r="754" spans="1:14" x14ac:dyDescent="0.3">
      <c r="A754" s="30"/>
      <c r="B754" s="30"/>
      <c r="C754" s="30" t="s">
        <v>126</v>
      </c>
      <c r="D754" s="30"/>
      <c r="E754" s="29" t="s">
        <v>125</v>
      </c>
      <c r="F754" s="28">
        <f t="shared" si="111"/>
        <v>300</v>
      </c>
      <c r="G754" s="410"/>
      <c r="H754" s="28">
        <f t="shared" si="111"/>
        <v>300</v>
      </c>
      <c r="I754" s="28">
        <f t="shared" si="111"/>
        <v>0</v>
      </c>
      <c r="J754" s="410"/>
      <c r="K754" s="28">
        <f t="shared" si="111"/>
        <v>0</v>
      </c>
      <c r="L754" s="28">
        <f t="shared" si="111"/>
        <v>300</v>
      </c>
      <c r="M754" s="410"/>
      <c r="N754" s="28">
        <f t="shared" si="111"/>
        <v>300</v>
      </c>
    </row>
    <row r="755" spans="1:14" ht="27" customHeight="1" x14ac:dyDescent="0.3">
      <c r="A755" s="153"/>
      <c r="B755" s="153"/>
      <c r="C755" s="153" t="s">
        <v>124</v>
      </c>
      <c r="D755" s="153"/>
      <c r="E755" s="154" t="s">
        <v>123</v>
      </c>
      <c r="F755" s="155">
        <f t="shared" si="111"/>
        <v>300</v>
      </c>
      <c r="G755" s="411"/>
      <c r="H755" s="155">
        <f t="shared" si="111"/>
        <v>300</v>
      </c>
      <c r="I755" s="155">
        <f t="shared" si="111"/>
        <v>0</v>
      </c>
      <c r="J755" s="411"/>
      <c r="K755" s="155">
        <f t="shared" si="111"/>
        <v>0</v>
      </c>
      <c r="L755" s="155">
        <f t="shared" si="111"/>
        <v>300</v>
      </c>
      <c r="M755" s="411"/>
      <c r="N755" s="155">
        <f t="shared" si="111"/>
        <v>300</v>
      </c>
    </row>
    <row r="756" spans="1:14" ht="27" x14ac:dyDescent="0.3">
      <c r="A756" s="8"/>
      <c r="B756" s="8"/>
      <c r="C756" s="7" t="s">
        <v>122</v>
      </c>
      <c r="D756" s="7"/>
      <c r="E756" s="6" t="s">
        <v>756</v>
      </c>
      <c r="F756" s="9">
        <f t="shared" si="111"/>
        <v>300</v>
      </c>
      <c r="G756" s="412"/>
      <c r="H756" s="9">
        <f t="shared" si="111"/>
        <v>300</v>
      </c>
      <c r="I756" s="9">
        <f t="shared" si="111"/>
        <v>0</v>
      </c>
      <c r="J756" s="412"/>
      <c r="K756" s="9">
        <f t="shared" si="111"/>
        <v>0</v>
      </c>
      <c r="L756" s="9">
        <f t="shared" si="111"/>
        <v>300</v>
      </c>
      <c r="M756" s="412"/>
      <c r="N756" s="9">
        <f t="shared" si="111"/>
        <v>300</v>
      </c>
    </row>
    <row r="757" spans="1:14" ht="27" x14ac:dyDescent="0.3">
      <c r="A757" s="8"/>
      <c r="B757" s="8"/>
      <c r="C757" s="7"/>
      <c r="D757" s="7" t="s">
        <v>57</v>
      </c>
      <c r="E757" s="6" t="s">
        <v>56</v>
      </c>
      <c r="F757" s="9">
        <v>300</v>
      </c>
      <c r="G757" s="412"/>
      <c r="H757" s="9">
        <v>300</v>
      </c>
      <c r="I757" s="9">
        <v>0</v>
      </c>
      <c r="J757" s="412"/>
      <c r="K757" s="9">
        <v>0</v>
      </c>
      <c r="L757" s="9">
        <v>300</v>
      </c>
      <c r="M757" s="412"/>
      <c r="N757" s="9">
        <v>300</v>
      </c>
    </row>
    <row r="758" spans="1:14" x14ac:dyDescent="0.3">
      <c r="A758" s="20"/>
      <c r="B758" s="22" t="s">
        <v>121</v>
      </c>
      <c r="C758" s="21"/>
      <c r="D758" s="20"/>
      <c r="E758" s="19" t="s">
        <v>120</v>
      </c>
      <c r="F758" s="26">
        <f>F759+F801</f>
        <v>91199.809540000017</v>
      </c>
      <c r="G758" s="26">
        <f>G759+G801</f>
        <v>683.1</v>
      </c>
      <c r="H758" s="26">
        <f>H759+H801</f>
        <v>91882.909540000008</v>
      </c>
      <c r="I758" s="26">
        <f>I759+I801</f>
        <v>85430.900000000009</v>
      </c>
      <c r="J758" s="424"/>
      <c r="K758" s="26">
        <f>K759+K801</f>
        <v>85430.900000000009</v>
      </c>
      <c r="L758" s="26">
        <f>L759+L801</f>
        <v>87532.3</v>
      </c>
      <c r="M758" s="424"/>
      <c r="N758" s="26">
        <f>N759+N801</f>
        <v>87532.3</v>
      </c>
    </row>
    <row r="759" spans="1:14" x14ac:dyDescent="0.3">
      <c r="A759" s="36"/>
      <c r="B759" s="22" t="s">
        <v>119</v>
      </c>
      <c r="C759" s="21"/>
      <c r="D759" s="20"/>
      <c r="E759" s="19" t="s">
        <v>118</v>
      </c>
      <c r="F759" s="26">
        <f t="shared" ref="F759:N761" si="112">F760</f>
        <v>85367.076210000014</v>
      </c>
      <c r="G759" s="26">
        <f t="shared" si="112"/>
        <v>683.1</v>
      </c>
      <c r="H759" s="26">
        <f t="shared" si="112"/>
        <v>86050.176210000005</v>
      </c>
      <c r="I759" s="26">
        <f t="shared" si="112"/>
        <v>80701.8</v>
      </c>
      <c r="J759" s="424"/>
      <c r="K759" s="26">
        <f t="shared" si="112"/>
        <v>80701.8</v>
      </c>
      <c r="L759" s="26">
        <f t="shared" si="112"/>
        <v>81201.8</v>
      </c>
      <c r="M759" s="424"/>
      <c r="N759" s="26">
        <f t="shared" si="112"/>
        <v>81201.8</v>
      </c>
    </row>
    <row r="760" spans="1:14" x14ac:dyDescent="0.3">
      <c r="A760" s="36"/>
      <c r="B760" s="22"/>
      <c r="C760" s="21" t="s">
        <v>36</v>
      </c>
      <c r="D760" s="22"/>
      <c r="E760" s="27" t="s">
        <v>35</v>
      </c>
      <c r="F760" s="26">
        <f t="shared" si="112"/>
        <v>85367.076210000014</v>
      </c>
      <c r="G760" s="26">
        <f t="shared" si="112"/>
        <v>683.1</v>
      </c>
      <c r="H760" s="26">
        <f t="shared" si="112"/>
        <v>86050.176210000005</v>
      </c>
      <c r="I760" s="26">
        <f t="shared" si="112"/>
        <v>80701.8</v>
      </c>
      <c r="J760" s="424"/>
      <c r="K760" s="26">
        <f t="shared" si="112"/>
        <v>80701.8</v>
      </c>
      <c r="L760" s="26">
        <f t="shared" si="112"/>
        <v>81201.8</v>
      </c>
      <c r="M760" s="424"/>
      <c r="N760" s="26">
        <f t="shared" si="112"/>
        <v>81201.8</v>
      </c>
    </row>
    <row r="761" spans="1:14" ht="26.4" x14ac:dyDescent="0.3">
      <c r="A761" s="53"/>
      <c r="B761" s="33"/>
      <c r="C761" s="34" t="s">
        <v>59</v>
      </c>
      <c r="D761" s="33"/>
      <c r="E761" s="32" t="s">
        <v>58</v>
      </c>
      <c r="F761" s="31">
        <f t="shared" si="112"/>
        <v>85367.076210000014</v>
      </c>
      <c r="G761" s="31">
        <f t="shared" si="112"/>
        <v>683.1</v>
      </c>
      <c r="H761" s="31">
        <f t="shared" si="112"/>
        <v>86050.176210000005</v>
      </c>
      <c r="I761" s="31">
        <f t="shared" si="112"/>
        <v>80701.8</v>
      </c>
      <c r="J761" s="423"/>
      <c r="K761" s="31">
        <f t="shared" si="112"/>
        <v>80701.8</v>
      </c>
      <c r="L761" s="31">
        <f t="shared" si="112"/>
        <v>81201.8</v>
      </c>
      <c r="M761" s="423"/>
      <c r="N761" s="31">
        <f t="shared" si="112"/>
        <v>81201.8</v>
      </c>
    </row>
    <row r="762" spans="1:14" ht="27" x14ac:dyDescent="0.3">
      <c r="A762" s="30"/>
      <c r="B762" s="30"/>
      <c r="C762" s="30" t="s">
        <v>93</v>
      </c>
      <c r="D762" s="30"/>
      <c r="E762" s="51" t="s">
        <v>92</v>
      </c>
      <c r="F762" s="28">
        <f>F763+F766+F774+F777+F797</f>
        <v>85367.076210000014</v>
      </c>
      <c r="G762" s="28">
        <f>G763+G766+G774+G777+G797</f>
        <v>683.1</v>
      </c>
      <c r="H762" s="28">
        <f>H763+H766+H774+H777+H797</f>
        <v>86050.176210000005</v>
      </c>
      <c r="I762" s="28">
        <f>I763+I766+I774+I777</f>
        <v>80701.8</v>
      </c>
      <c r="J762" s="410"/>
      <c r="K762" s="28">
        <f>K763+K766+K774+K777</f>
        <v>80701.8</v>
      </c>
      <c r="L762" s="28">
        <f>L763+L766+L774+L777</f>
        <v>81201.8</v>
      </c>
      <c r="M762" s="410"/>
      <c r="N762" s="28">
        <f>N763+N766+N774+N777</f>
        <v>81201.8</v>
      </c>
    </row>
    <row r="763" spans="1:14" ht="40.200000000000003" x14ac:dyDescent="0.3">
      <c r="A763" s="153"/>
      <c r="B763" s="153"/>
      <c r="C763" s="153" t="s">
        <v>117</v>
      </c>
      <c r="D763" s="153"/>
      <c r="E763" s="154" t="s">
        <v>116</v>
      </c>
      <c r="F763" s="155">
        <f t="shared" ref="F763:N764" si="113">F764</f>
        <v>50874.8</v>
      </c>
      <c r="G763" s="411"/>
      <c r="H763" s="155">
        <f t="shared" si="113"/>
        <v>50874.8</v>
      </c>
      <c r="I763" s="155">
        <f t="shared" si="113"/>
        <v>49233.599999999999</v>
      </c>
      <c r="J763" s="411"/>
      <c r="K763" s="155">
        <f t="shared" si="113"/>
        <v>49233.599999999999</v>
      </c>
      <c r="L763" s="155">
        <f t="shared" si="113"/>
        <v>49233.599999999999</v>
      </c>
      <c r="M763" s="411"/>
      <c r="N763" s="155">
        <f t="shared" si="113"/>
        <v>49233.599999999999</v>
      </c>
    </row>
    <row r="764" spans="1:14" x14ac:dyDescent="0.3">
      <c r="A764" s="7"/>
      <c r="B764" s="7"/>
      <c r="C764" s="7" t="s">
        <v>115</v>
      </c>
      <c r="D764" s="7"/>
      <c r="E764" s="63" t="s">
        <v>114</v>
      </c>
      <c r="F764" s="9">
        <f t="shared" si="113"/>
        <v>50874.8</v>
      </c>
      <c r="G764" s="412"/>
      <c r="H764" s="9">
        <f t="shared" si="113"/>
        <v>50874.8</v>
      </c>
      <c r="I764" s="9">
        <f t="shared" si="113"/>
        <v>49233.599999999999</v>
      </c>
      <c r="J764" s="412"/>
      <c r="K764" s="9">
        <f t="shared" si="113"/>
        <v>49233.599999999999</v>
      </c>
      <c r="L764" s="9">
        <f t="shared" si="113"/>
        <v>49233.599999999999</v>
      </c>
      <c r="M764" s="412"/>
      <c r="N764" s="9">
        <f t="shared" si="113"/>
        <v>49233.599999999999</v>
      </c>
    </row>
    <row r="765" spans="1:14" ht="27" x14ac:dyDescent="0.3">
      <c r="A765" s="7"/>
      <c r="B765" s="7"/>
      <c r="C765" s="7"/>
      <c r="D765" s="7" t="s">
        <v>57</v>
      </c>
      <c r="E765" s="6" t="s">
        <v>56</v>
      </c>
      <c r="F765" s="175">
        <v>50874.8</v>
      </c>
      <c r="G765" s="407"/>
      <c r="H765" s="175">
        <v>50874.8</v>
      </c>
      <c r="I765" s="175">
        <f>52385.1-3151.5</f>
        <v>49233.599999999999</v>
      </c>
      <c r="J765" s="407"/>
      <c r="K765" s="175">
        <f>52385.1-3151.5</f>
        <v>49233.599999999999</v>
      </c>
      <c r="L765" s="175">
        <f>52385.1-3151.5</f>
        <v>49233.599999999999</v>
      </c>
      <c r="M765" s="407"/>
      <c r="N765" s="175">
        <f>52385.1-3151.5</f>
        <v>49233.599999999999</v>
      </c>
    </row>
    <row r="766" spans="1:14" x14ac:dyDescent="0.3">
      <c r="A766" s="153"/>
      <c r="B766" s="153"/>
      <c r="C766" s="153" t="s">
        <v>113</v>
      </c>
      <c r="D766" s="153"/>
      <c r="E766" s="154" t="s">
        <v>112</v>
      </c>
      <c r="F766" s="155">
        <f>F767+F769+F771</f>
        <v>30130.05</v>
      </c>
      <c r="G766" s="411"/>
      <c r="H766" s="155">
        <f>H767+H769+H771</f>
        <v>30130.05</v>
      </c>
      <c r="I766" s="155">
        <f>I767+I769</f>
        <v>29614.1</v>
      </c>
      <c r="J766" s="411"/>
      <c r="K766" s="155">
        <f>K767+K769</f>
        <v>29614.1</v>
      </c>
      <c r="L766" s="155">
        <f>L767+L769</f>
        <v>30114.1</v>
      </c>
      <c r="M766" s="411"/>
      <c r="N766" s="155">
        <f>N767+N769</f>
        <v>30114.1</v>
      </c>
    </row>
    <row r="767" spans="1:14" ht="27" x14ac:dyDescent="0.3">
      <c r="A767" s="7"/>
      <c r="B767" s="7"/>
      <c r="C767" s="7" t="s">
        <v>111</v>
      </c>
      <c r="D767" s="7"/>
      <c r="E767" s="63" t="s">
        <v>110</v>
      </c>
      <c r="F767" s="9">
        <f>F768</f>
        <v>29614.1</v>
      </c>
      <c r="G767" s="412"/>
      <c r="H767" s="9">
        <f>H768</f>
        <v>29614.1</v>
      </c>
      <c r="I767" s="9">
        <f>I768</f>
        <v>29614.1</v>
      </c>
      <c r="J767" s="412"/>
      <c r="K767" s="9">
        <f>K768</f>
        <v>29614.1</v>
      </c>
      <c r="L767" s="9">
        <f>L768</f>
        <v>29614.1</v>
      </c>
      <c r="M767" s="412"/>
      <c r="N767" s="9">
        <f>N768</f>
        <v>29614.1</v>
      </c>
    </row>
    <row r="768" spans="1:14" ht="27" x14ac:dyDescent="0.3">
      <c r="A768" s="7"/>
      <c r="B768" s="7"/>
      <c r="C768" s="7"/>
      <c r="D768" s="7" t="s">
        <v>57</v>
      </c>
      <c r="E768" s="6" t="s">
        <v>56</v>
      </c>
      <c r="F768" s="175">
        <f>31652.3-2038.2</f>
        <v>29614.1</v>
      </c>
      <c r="G768" s="407"/>
      <c r="H768" s="175">
        <f>31652.3-2038.2</f>
        <v>29614.1</v>
      </c>
      <c r="I768" s="175">
        <f>31652.3-2038.2</f>
        <v>29614.1</v>
      </c>
      <c r="J768" s="407"/>
      <c r="K768" s="175">
        <f>31652.3-2038.2</f>
        <v>29614.1</v>
      </c>
      <c r="L768" s="175">
        <f>31652.3-2038.2</f>
        <v>29614.1</v>
      </c>
      <c r="M768" s="407"/>
      <c r="N768" s="175">
        <f>31652.3-2038.2</f>
        <v>29614.1</v>
      </c>
    </row>
    <row r="769" spans="1:14" x14ac:dyDescent="0.3">
      <c r="A769" s="7"/>
      <c r="B769" s="7"/>
      <c r="C769" s="7" t="s">
        <v>109</v>
      </c>
      <c r="D769" s="7"/>
      <c r="E769" s="63" t="s">
        <v>108</v>
      </c>
      <c r="F769" s="9">
        <v>500</v>
      </c>
      <c r="G769" s="412"/>
      <c r="H769" s="9">
        <v>500</v>
      </c>
      <c r="I769" s="9">
        <v>0</v>
      </c>
      <c r="J769" s="412"/>
      <c r="K769" s="9">
        <v>0</v>
      </c>
      <c r="L769" s="9">
        <v>500</v>
      </c>
      <c r="M769" s="412"/>
      <c r="N769" s="9">
        <v>500</v>
      </c>
    </row>
    <row r="770" spans="1:14" ht="27" x14ac:dyDescent="0.3">
      <c r="A770" s="7"/>
      <c r="B770" s="7"/>
      <c r="C770" s="7"/>
      <c r="D770" s="7" t="s">
        <v>57</v>
      </c>
      <c r="E770" s="6" t="s">
        <v>56</v>
      </c>
      <c r="F770" s="9">
        <v>500</v>
      </c>
      <c r="G770" s="412"/>
      <c r="H770" s="9">
        <v>500</v>
      </c>
      <c r="I770" s="9">
        <v>0</v>
      </c>
      <c r="J770" s="412"/>
      <c r="K770" s="9">
        <v>0</v>
      </c>
      <c r="L770" s="9">
        <v>500</v>
      </c>
      <c r="M770" s="412"/>
      <c r="N770" s="9">
        <v>500</v>
      </c>
    </row>
    <row r="771" spans="1:14" ht="27" x14ac:dyDescent="0.3">
      <c r="A771" s="276"/>
      <c r="B771" s="276"/>
      <c r="C771" s="7" t="s">
        <v>779</v>
      </c>
      <c r="D771" s="276"/>
      <c r="E771" s="277" t="s">
        <v>782</v>
      </c>
      <c r="F771" s="278">
        <f>F772</f>
        <v>15.95</v>
      </c>
      <c r="G771" s="407"/>
      <c r="H771" s="278">
        <f>H772</f>
        <v>15.95</v>
      </c>
      <c r="I771" s="279">
        <v>0</v>
      </c>
      <c r="J771" s="412"/>
      <c r="K771" s="279">
        <v>0</v>
      </c>
      <c r="L771" s="279">
        <v>0</v>
      </c>
      <c r="M771" s="412"/>
      <c r="N771" s="279">
        <v>0</v>
      </c>
    </row>
    <row r="772" spans="1:14" ht="27" x14ac:dyDescent="0.3">
      <c r="A772" s="276"/>
      <c r="B772" s="276"/>
      <c r="C772" s="276"/>
      <c r="D772" s="7" t="s">
        <v>57</v>
      </c>
      <c r="E772" s="6" t="s">
        <v>56</v>
      </c>
      <c r="F772" s="278">
        <f>F773</f>
        <v>15.95</v>
      </c>
      <c r="G772" s="407"/>
      <c r="H772" s="278">
        <f>H773</f>
        <v>15.95</v>
      </c>
      <c r="I772" s="279">
        <v>0</v>
      </c>
      <c r="J772" s="412"/>
      <c r="K772" s="279">
        <v>0</v>
      </c>
      <c r="L772" s="279">
        <v>0</v>
      </c>
      <c r="M772" s="412"/>
      <c r="N772" s="279">
        <v>0</v>
      </c>
    </row>
    <row r="773" spans="1:14" x14ac:dyDescent="0.3">
      <c r="A773" s="276"/>
      <c r="B773" s="276"/>
      <c r="C773" s="276"/>
      <c r="D773" s="276"/>
      <c r="E773" s="96" t="s">
        <v>296</v>
      </c>
      <c r="F773" s="278">
        <v>15.95</v>
      </c>
      <c r="G773" s="407"/>
      <c r="H773" s="278">
        <v>15.95</v>
      </c>
      <c r="I773" s="279">
        <v>0</v>
      </c>
      <c r="J773" s="412"/>
      <c r="K773" s="279">
        <v>0</v>
      </c>
      <c r="L773" s="279">
        <v>0</v>
      </c>
      <c r="M773" s="412"/>
      <c r="N773" s="279">
        <v>0</v>
      </c>
    </row>
    <row r="774" spans="1:14" ht="27" x14ac:dyDescent="0.3">
      <c r="A774" s="153"/>
      <c r="B774" s="153"/>
      <c r="C774" s="153" t="s">
        <v>107</v>
      </c>
      <c r="D774" s="153"/>
      <c r="E774" s="154" t="s">
        <v>106</v>
      </c>
      <c r="F774" s="155">
        <f t="shared" ref="F774:N775" si="114">F775</f>
        <v>1940.3000000000002</v>
      </c>
      <c r="G774" s="411"/>
      <c r="H774" s="155">
        <f t="shared" si="114"/>
        <v>1940.3000000000002</v>
      </c>
      <c r="I774" s="155">
        <f t="shared" si="114"/>
        <v>1854.1000000000001</v>
      </c>
      <c r="J774" s="411"/>
      <c r="K774" s="155">
        <f t="shared" si="114"/>
        <v>1854.1000000000001</v>
      </c>
      <c r="L774" s="155">
        <f t="shared" si="114"/>
        <v>1854.1000000000001</v>
      </c>
      <c r="M774" s="411"/>
      <c r="N774" s="155">
        <f t="shared" si="114"/>
        <v>1854.1000000000001</v>
      </c>
    </row>
    <row r="775" spans="1:14" x14ac:dyDescent="0.3">
      <c r="A775" s="7"/>
      <c r="B775" s="7"/>
      <c r="C775" s="7" t="s">
        <v>105</v>
      </c>
      <c r="D775" s="7"/>
      <c r="E775" s="63" t="s">
        <v>104</v>
      </c>
      <c r="F775" s="9">
        <f t="shared" si="114"/>
        <v>1940.3000000000002</v>
      </c>
      <c r="G775" s="412"/>
      <c r="H775" s="9">
        <f t="shared" si="114"/>
        <v>1940.3000000000002</v>
      </c>
      <c r="I775" s="9">
        <f t="shared" si="114"/>
        <v>1854.1000000000001</v>
      </c>
      <c r="J775" s="412"/>
      <c r="K775" s="9">
        <f t="shared" si="114"/>
        <v>1854.1000000000001</v>
      </c>
      <c r="L775" s="9">
        <f t="shared" si="114"/>
        <v>1854.1000000000001</v>
      </c>
      <c r="M775" s="412"/>
      <c r="N775" s="9">
        <f t="shared" si="114"/>
        <v>1854.1000000000001</v>
      </c>
    </row>
    <row r="776" spans="1:14" ht="27" x14ac:dyDescent="0.3">
      <c r="A776" s="7"/>
      <c r="B776" s="7"/>
      <c r="C776" s="7"/>
      <c r="D776" s="7" t="s">
        <v>57</v>
      </c>
      <c r="E776" s="6" t="s">
        <v>56</v>
      </c>
      <c r="F776" s="175">
        <v>1940.3000000000002</v>
      </c>
      <c r="G776" s="407"/>
      <c r="H776" s="175">
        <v>1940.3000000000002</v>
      </c>
      <c r="I776" s="175">
        <f>2025.4-171.3</f>
        <v>1854.1000000000001</v>
      </c>
      <c r="J776" s="407"/>
      <c r="K776" s="175">
        <f>2025.4-171.3</f>
        <v>1854.1000000000001</v>
      </c>
      <c r="L776" s="175">
        <f>2025.4-171.3</f>
        <v>1854.1000000000001</v>
      </c>
      <c r="M776" s="407"/>
      <c r="N776" s="175">
        <f>2025.4-171.3</f>
        <v>1854.1000000000001</v>
      </c>
    </row>
    <row r="777" spans="1:14" s="57" customFormat="1" ht="40.200000000000003" x14ac:dyDescent="0.3">
      <c r="A777" s="153"/>
      <c r="B777" s="153"/>
      <c r="C777" s="153" t="s">
        <v>103</v>
      </c>
      <c r="D777" s="153"/>
      <c r="E777" s="156" t="s">
        <v>102</v>
      </c>
      <c r="F777" s="155">
        <f>F778+F780+F782+F785+F789+F793</f>
        <v>2201.9262099999996</v>
      </c>
      <c r="G777" s="155">
        <f>G778+G780+G782+G785+G789+G793</f>
        <v>683.1</v>
      </c>
      <c r="H777" s="155">
        <f>H778+H780+H782+H785+H789+H793</f>
        <v>2885.02621</v>
      </c>
      <c r="I777" s="155">
        <v>0</v>
      </c>
      <c r="J777" s="411"/>
      <c r="K777" s="155">
        <v>0</v>
      </c>
      <c r="L777" s="155">
        <v>0</v>
      </c>
      <c r="M777" s="411"/>
      <c r="N777" s="155">
        <v>0</v>
      </c>
    </row>
    <row r="778" spans="1:14" s="233" customFormat="1" ht="27" x14ac:dyDescent="0.3">
      <c r="A778" s="232"/>
      <c r="B778" s="232"/>
      <c r="C778" s="7" t="s">
        <v>697</v>
      </c>
      <c r="D778" s="7"/>
      <c r="E778" s="6" t="s">
        <v>675</v>
      </c>
      <c r="F778" s="175">
        <f>F779</f>
        <v>0</v>
      </c>
      <c r="G778" s="175">
        <f>G779</f>
        <v>683.1</v>
      </c>
      <c r="H778" s="175">
        <f>H779</f>
        <v>683.1</v>
      </c>
      <c r="I778" s="175">
        <v>0</v>
      </c>
      <c r="J778" s="407"/>
      <c r="K778" s="175">
        <v>0</v>
      </c>
      <c r="L778" s="175">
        <v>0</v>
      </c>
      <c r="M778" s="407"/>
      <c r="N778" s="175">
        <v>0</v>
      </c>
    </row>
    <row r="779" spans="1:14" s="233" customFormat="1" ht="27" x14ac:dyDescent="0.3">
      <c r="A779" s="232"/>
      <c r="B779" s="232"/>
      <c r="C779" s="60"/>
      <c r="D779" s="7" t="s">
        <v>57</v>
      </c>
      <c r="E779" s="6" t="s">
        <v>56</v>
      </c>
      <c r="F779" s="175">
        <v>0</v>
      </c>
      <c r="G779" s="407">
        <v>683.1</v>
      </c>
      <c r="H779" s="175">
        <v>683.1</v>
      </c>
      <c r="I779" s="175">
        <v>0</v>
      </c>
      <c r="J779" s="407"/>
      <c r="K779" s="175">
        <v>0</v>
      </c>
      <c r="L779" s="175">
        <v>0</v>
      </c>
      <c r="M779" s="407"/>
      <c r="N779" s="175">
        <v>0</v>
      </c>
    </row>
    <row r="780" spans="1:14" s="233" customFormat="1" ht="27" x14ac:dyDescent="0.3">
      <c r="A780" s="232"/>
      <c r="B780" s="232"/>
      <c r="C780" s="7" t="s">
        <v>698</v>
      </c>
      <c r="D780" s="7"/>
      <c r="E780" s="6" t="s">
        <v>676</v>
      </c>
      <c r="F780" s="175">
        <f>F781</f>
        <v>212</v>
      </c>
      <c r="G780" s="407"/>
      <c r="H780" s="175">
        <f>H781</f>
        <v>212</v>
      </c>
      <c r="I780" s="248">
        <v>0</v>
      </c>
      <c r="J780" s="407"/>
      <c r="K780" s="248">
        <v>0</v>
      </c>
      <c r="L780" s="248">
        <v>0</v>
      </c>
      <c r="M780" s="407"/>
      <c r="N780" s="248">
        <v>0</v>
      </c>
    </row>
    <row r="781" spans="1:14" s="233" customFormat="1" ht="27" x14ac:dyDescent="0.3">
      <c r="A781" s="232"/>
      <c r="B781" s="232"/>
      <c r="C781" s="60"/>
      <c r="D781" s="7" t="s">
        <v>57</v>
      </c>
      <c r="E781" s="6" t="s">
        <v>56</v>
      </c>
      <c r="F781" s="175">
        <v>212</v>
      </c>
      <c r="G781" s="407"/>
      <c r="H781" s="175">
        <v>212</v>
      </c>
      <c r="I781" s="248">
        <v>0</v>
      </c>
      <c r="J781" s="407"/>
      <c r="K781" s="248">
        <v>0</v>
      </c>
      <c r="L781" s="248">
        <v>0</v>
      </c>
      <c r="M781" s="407"/>
      <c r="N781" s="248">
        <v>0</v>
      </c>
    </row>
    <row r="782" spans="1:14" ht="27" x14ac:dyDescent="0.3">
      <c r="A782" s="8"/>
      <c r="B782" s="8"/>
      <c r="C782" s="7" t="s">
        <v>603</v>
      </c>
      <c r="D782" s="7"/>
      <c r="E782" s="6" t="s">
        <v>699</v>
      </c>
      <c r="F782" s="5">
        <f>F783</f>
        <v>1650</v>
      </c>
      <c r="G782" s="425"/>
      <c r="H782" s="5">
        <f>H783</f>
        <v>1650</v>
      </c>
      <c r="I782" s="5">
        <v>0</v>
      </c>
      <c r="J782" s="425"/>
      <c r="K782" s="5">
        <v>0</v>
      </c>
      <c r="L782" s="5">
        <v>0</v>
      </c>
      <c r="M782" s="425"/>
      <c r="N782" s="5">
        <v>0</v>
      </c>
    </row>
    <row r="783" spans="1:14" ht="27" x14ac:dyDescent="0.3">
      <c r="A783" s="8"/>
      <c r="B783" s="8"/>
      <c r="C783" s="60"/>
      <c r="D783" s="7" t="s">
        <v>57</v>
      </c>
      <c r="E783" s="6" t="s">
        <v>56</v>
      </c>
      <c r="F783" s="5">
        <f>F784</f>
        <v>1650</v>
      </c>
      <c r="G783" s="425"/>
      <c r="H783" s="5">
        <f>H784</f>
        <v>1650</v>
      </c>
      <c r="I783" s="5">
        <v>0</v>
      </c>
      <c r="J783" s="425"/>
      <c r="K783" s="5">
        <v>0</v>
      </c>
      <c r="L783" s="5">
        <v>0</v>
      </c>
      <c r="M783" s="425"/>
      <c r="N783" s="5">
        <v>0</v>
      </c>
    </row>
    <row r="784" spans="1:14" x14ac:dyDescent="0.3">
      <c r="A784" s="8"/>
      <c r="B784" s="8"/>
      <c r="C784" s="60"/>
      <c r="D784" s="7"/>
      <c r="E784" s="6" t="s">
        <v>97</v>
      </c>
      <c r="F784" s="5">
        <v>1650</v>
      </c>
      <c r="G784" s="425"/>
      <c r="H784" s="5">
        <v>1650</v>
      </c>
      <c r="I784" s="5">
        <v>0</v>
      </c>
      <c r="J784" s="425"/>
      <c r="K784" s="5">
        <v>0</v>
      </c>
      <c r="L784" s="5">
        <v>0</v>
      </c>
      <c r="M784" s="425"/>
      <c r="N784" s="5">
        <v>0</v>
      </c>
    </row>
    <row r="785" spans="1:14" s="23" customFormat="1" ht="27" x14ac:dyDescent="0.3">
      <c r="A785" s="60"/>
      <c r="B785" s="60"/>
      <c r="C785" s="73" t="s">
        <v>748</v>
      </c>
      <c r="D785" s="7"/>
      <c r="E785" s="97" t="s">
        <v>732</v>
      </c>
      <c r="F785" s="175">
        <f>F786</f>
        <v>55.6</v>
      </c>
      <c r="G785" s="407"/>
      <c r="H785" s="175">
        <f>H786</f>
        <v>55.6</v>
      </c>
      <c r="I785" s="9">
        <v>0</v>
      </c>
      <c r="J785" s="412"/>
      <c r="K785" s="9">
        <v>0</v>
      </c>
      <c r="L785" s="9">
        <v>0</v>
      </c>
      <c r="M785" s="412"/>
      <c r="N785" s="9">
        <v>0</v>
      </c>
    </row>
    <row r="786" spans="1:14" s="23" customFormat="1" ht="27" x14ac:dyDescent="0.3">
      <c r="A786" s="60"/>
      <c r="B786" s="60"/>
      <c r="C786" s="7"/>
      <c r="D786" s="7" t="s">
        <v>57</v>
      </c>
      <c r="E786" s="6" t="s">
        <v>56</v>
      </c>
      <c r="F786" s="175">
        <f>F787+F788</f>
        <v>55.6</v>
      </c>
      <c r="G786" s="407"/>
      <c r="H786" s="175">
        <f>H787+H788</f>
        <v>55.6</v>
      </c>
      <c r="I786" s="9">
        <v>0</v>
      </c>
      <c r="J786" s="412"/>
      <c r="K786" s="9">
        <v>0</v>
      </c>
      <c r="L786" s="9">
        <v>0</v>
      </c>
      <c r="M786" s="412"/>
      <c r="N786" s="9">
        <v>0</v>
      </c>
    </row>
    <row r="787" spans="1:14" s="23" customFormat="1" x14ac:dyDescent="0.3">
      <c r="A787" s="60"/>
      <c r="B787" s="60"/>
      <c r="C787" s="7"/>
      <c r="D787" s="7"/>
      <c r="E787" s="96" t="s">
        <v>296</v>
      </c>
      <c r="F787" s="175">
        <v>27.8</v>
      </c>
      <c r="G787" s="407"/>
      <c r="H787" s="175">
        <v>27.8</v>
      </c>
      <c r="I787" s="9">
        <v>0</v>
      </c>
      <c r="J787" s="412"/>
      <c r="K787" s="9">
        <v>0</v>
      </c>
      <c r="L787" s="9">
        <v>0</v>
      </c>
      <c r="M787" s="412"/>
      <c r="N787" s="9">
        <v>0</v>
      </c>
    </row>
    <row r="788" spans="1:14" s="23" customFormat="1" x14ac:dyDescent="0.3">
      <c r="A788" s="60"/>
      <c r="B788" s="60"/>
      <c r="C788" s="7"/>
      <c r="D788" s="7"/>
      <c r="E788" s="96" t="s">
        <v>302</v>
      </c>
      <c r="F788" s="175">
        <v>27.8</v>
      </c>
      <c r="G788" s="407"/>
      <c r="H788" s="175">
        <v>27.8</v>
      </c>
      <c r="I788" s="9">
        <v>0</v>
      </c>
      <c r="J788" s="412"/>
      <c r="K788" s="9">
        <v>0</v>
      </c>
      <c r="L788" s="9">
        <v>0</v>
      </c>
      <c r="M788" s="412"/>
      <c r="N788" s="9">
        <v>0</v>
      </c>
    </row>
    <row r="789" spans="1:14" s="23" customFormat="1" ht="27" customHeight="1" x14ac:dyDescent="0.3">
      <c r="A789" s="60"/>
      <c r="B789" s="60"/>
      <c r="C789" s="73" t="s">
        <v>750</v>
      </c>
      <c r="D789" s="7"/>
      <c r="E789" s="97" t="s">
        <v>737</v>
      </c>
      <c r="F789" s="175">
        <f>F790</f>
        <v>85.188150000000007</v>
      </c>
      <c r="G789" s="407"/>
      <c r="H789" s="175">
        <f>H790</f>
        <v>85.188150000000007</v>
      </c>
      <c r="I789" s="9">
        <v>0</v>
      </c>
      <c r="J789" s="412"/>
      <c r="K789" s="9">
        <v>0</v>
      </c>
      <c r="L789" s="9">
        <v>0</v>
      </c>
      <c r="M789" s="412"/>
      <c r="N789" s="9">
        <v>0</v>
      </c>
    </row>
    <row r="790" spans="1:14" s="23" customFormat="1" ht="27" x14ac:dyDescent="0.3">
      <c r="A790" s="60"/>
      <c r="B790" s="60"/>
      <c r="C790" s="7"/>
      <c r="D790" s="7" t="s">
        <v>57</v>
      </c>
      <c r="E790" s="6" t="s">
        <v>56</v>
      </c>
      <c r="F790" s="175">
        <f>F791+F792</f>
        <v>85.188150000000007</v>
      </c>
      <c r="G790" s="407"/>
      <c r="H790" s="175">
        <f>H791+H792</f>
        <v>85.188150000000007</v>
      </c>
      <c r="I790" s="9">
        <v>0</v>
      </c>
      <c r="J790" s="412"/>
      <c r="K790" s="9">
        <v>0</v>
      </c>
      <c r="L790" s="9">
        <v>0</v>
      </c>
      <c r="M790" s="412"/>
      <c r="N790" s="9">
        <v>0</v>
      </c>
    </row>
    <row r="791" spans="1:14" s="23" customFormat="1" x14ac:dyDescent="0.3">
      <c r="A791" s="60"/>
      <c r="B791" s="60"/>
      <c r="C791" s="7"/>
      <c r="D791" s="7"/>
      <c r="E791" s="96" t="s">
        <v>296</v>
      </c>
      <c r="F791" s="175">
        <v>42.594070000000002</v>
      </c>
      <c r="G791" s="407"/>
      <c r="H791" s="175">
        <v>42.594070000000002</v>
      </c>
      <c r="I791" s="9">
        <v>0</v>
      </c>
      <c r="J791" s="412"/>
      <c r="K791" s="9">
        <v>0</v>
      </c>
      <c r="L791" s="9">
        <v>0</v>
      </c>
      <c r="M791" s="412"/>
      <c r="N791" s="9">
        <v>0</v>
      </c>
    </row>
    <row r="792" spans="1:14" s="23" customFormat="1" x14ac:dyDescent="0.3">
      <c r="A792" s="60"/>
      <c r="B792" s="60"/>
      <c r="C792" s="7"/>
      <c r="D792" s="7"/>
      <c r="E792" s="96" t="s">
        <v>302</v>
      </c>
      <c r="F792" s="175">
        <v>42.594079999999998</v>
      </c>
      <c r="G792" s="407"/>
      <c r="H792" s="175">
        <v>42.594079999999998</v>
      </c>
      <c r="I792" s="9">
        <v>0</v>
      </c>
      <c r="J792" s="412"/>
      <c r="K792" s="9">
        <v>0</v>
      </c>
      <c r="L792" s="9">
        <v>0</v>
      </c>
      <c r="M792" s="412"/>
      <c r="N792" s="9">
        <v>0</v>
      </c>
    </row>
    <row r="793" spans="1:14" s="23" customFormat="1" ht="40.200000000000003" x14ac:dyDescent="0.3">
      <c r="A793" s="60"/>
      <c r="B793" s="60"/>
      <c r="C793" s="73" t="s">
        <v>751</v>
      </c>
      <c r="D793" s="7"/>
      <c r="E793" s="97" t="s">
        <v>738</v>
      </c>
      <c r="F793" s="175">
        <f>F794</f>
        <v>199.13806</v>
      </c>
      <c r="G793" s="407"/>
      <c r="H793" s="175">
        <f>H794</f>
        <v>199.13806</v>
      </c>
      <c r="I793" s="9">
        <v>0</v>
      </c>
      <c r="J793" s="412"/>
      <c r="K793" s="9">
        <v>0</v>
      </c>
      <c r="L793" s="9">
        <v>0</v>
      </c>
      <c r="M793" s="412"/>
      <c r="N793" s="9">
        <v>0</v>
      </c>
    </row>
    <row r="794" spans="1:14" s="23" customFormat="1" ht="27" x14ac:dyDescent="0.3">
      <c r="A794" s="60"/>
      <c r="B794" s="60"/>
      <c r="C794" s="7"/>
      <c r="D794" s="7" t="s">
        <v>57</v>
      </c>
      <c r="E794" s="6" t="s">
        <v>56</v>
      </c>
      <c r="F794" s="175">
        <f>F795+F796</f>
        <v>199.13806</v>
      </c>
      <c r="G794" s="407"/>
      <c r="H794" s="175">
        <f>H795+H796</f>
        <v>199.13806</v>
      </c>
      <c r="I794" s="9">
        <v>0</v>
      </c>
      <c r="J794" s="412"/>
      <c r="K794" s="9">
        <v>0</v>
      </c>
      <c r="L794" s="9">
        <v>0</v>
      </c>
      <c r="M794" s="412"/>
      <c r="N794" s="9">
        <v>0</v>
      </c>
    </row>
    <row r="795" spans="1:14" s="23" customFormat="1" x14ac:dyDescent="0.3">
      <c r="A795" s="60"/>
      <c r="B795" s="60"/>
      <c r="C795" s="7"/>
      <c r="D795" s="7"/>
      <c r="E795" s="96" t="s">
        <v>296</v>
      </c>
      <c r="F795" s="175">
        <v>99.569029999999998</v>
      </c>
      <c r="G795" s="407"/>
      <c r="H795" s="175">
        <v>99.569029999999998</v>
      </c>
      <c r="I795" s="9">
        <v>0</v>
      </c>
      <c r="J795" s="412"/>
      <c r="K795" s="9">
        <v>0</v>
      </c>
      <c r="L795" s="9">
        <v>0</v>
      </c>
      <c r="M795" s="412"/>
      <c r="N795" s="9">
        <v>0</v>
      </c>
    </row>
    <row r="796" spans="1:14" s="23" customFormat="1" x14ac:dyDescent="0.3">
      <c r="A796" s="60"/>
      <c r="B796" s="60"/>
      <c r="C796" s="7"/>
      <c r="D796" s="7"/>
      <c r="E796" s="96" t="s">
        <v>302</v>
      </c>
      <c r="F796" s="175">
        <v>99.569029999999998</v>
      </c>
      <c r="G796" s="407"/>
      <c r="H796" s="175">
        <v>99.569029999999998</v>
      </c>
      <c r="I796" s="9">
        <v>0</v>
      </c>
      <c r="J796" s="412"/>
      <c r="K796" s="9">
        <v>0</v>
      </c>
      <c r="L796" s="9">
        <v>0</v>
      </c>
      <c r="M796" s="412"/>
      <c r="N796" s="9">
        <v>0</v>
      </c>
    </row>
    <row r="797" spans="1:14" s="23" customFormat="1" ht="27" x14ac:dyDescent="0.3">
      <c r="A797" s="266"/>
      <c r="B797" s="266"/>
      <c r="C797" s="205" t="s">
        <v>768</v>
      </c>
      <c r="D797" s="265"/>
      <c r="E797" s="208" t="s">
        <v>769</v>
      </c>
      <c r="F797" s="260">
        <v>220</v>
      </c>
      <c r="G797" s="406"/>
      <c r="H797" s="260">
        <v>220</v>
      </c>
      <c r="I797" s="260"/>
      <c r="J797" s="406"/>
      <c r="K797" s="260"/>
      <c r="L797" s="260"/>
      <c r="M797" s="406"/>
      <c r="N797" s="260"/>
    </row>
    <row r="798" spans="1:14" s="23" customFormat="1" ht="27" x14ac:dyDescent="0.3">
      <c r="A798" s="232"/>
      <c r="B798" s="232"/>
      <c r="C798" s="232" t="s">
        <v>770</v>
      </c>
      <c r="D798" s="226"/>
      <c r="E798" s="261" t="s">
        <v>771</v>
      </c>
      <c r="F798" s="248">
        <v>220</v>
      </c>
      <c r="G798" s="407"/>
      <c r="H798" s="248">
        <v>220</v>
      </c>
      <c r="I798" s="237"/>
      <c r="J798" s="412"/>
      <c r="K798" s="237"/>
      <c r="L798" s="237"/>
      <c r="M798" s="412"/>
      <c r="N798" s="237"/>
    </row>
    <row r="799" spans="1:14" s="23" customFormat="1" ht="27" x14ac:dyDescent="0.3">
      <c r="A799" s="232"/>
      <c r="B799" s="232"/>
      <c r="C799" s="232"/>
      <c r="D799" s="226" t="s">
        <v>57</v>
      </c>
      <c r="E799" s="6" t="s">
        <v>56</v>
      </c>
      <c r="F799" s="248">
        <v>220</v>
      </c>
      <c r="G799" s="407"/>
      <c r="H799" s="248">
        <v>220</v>
      </c>
      <c r="I799" s="237"/>
      <c r="J799" s="412"/>
      <c r="K799" s="237"/>
      <c r="L799" s="237"/>
      <c r="M799" s="412"/>
      <c r="N799" s="237"/>
    </row>
    <row r="800" spans="1:14" s="23" customFormat="1" x14ac:dyDescent="0.3">
      <c r="A800" s="232"/>
      <c r="B800" s="232"/>
      <c r="C800" s="232"/>
      <c r="D800" s="226"/>
      <c r="E800" s="6" t="s">
        <v>97</v>
      </c>
      <c r="F800" s="248">
        <v>220</v>
      </c>
      <c r="G800" s="407"/>
      <c r="H800" s="248">
        <v>220</v>
      </c>
      <c r="I800" s="237"/>
      <c r="J800" s="412"/>
      <c r="K800" s="237"/>
      <c r="L800" s="237"/>
      <c r="M800" s="412"/>
      <c r="N800" s="237"/>
    </row>
    <row r="801" spans="1:14" x14ac:dyDescent="0.3">
      <c r="A801" s="36"/>
      <c r="B801" s="22" t="s">
        <v>96</v>
      </c>
      <c r="C801" s="21"/>
      <c r="D801" s="20"/>
      <c r="E801" s="19" t="s">
        <v>95</v>
      </c>
      <c r="F801" s="59">
        <f>F802</f>
        <v>5832.73333</v>
      </c>
      <c r="G801" s="439"/>
      <c r="H801" s="59">
        <f>H802</f>
        <v>5832.73333</v>
      </c>
      <c r="I801" s="59">
        <f>I802</f>
        <v>4729.0999999999995</v>
      </c>
      <c r="J801" s="439"/>
      <c r="K801" s="59">
        <f>K802</f>
        <v>4729.0999999999995</v>
      </c>
      <c r="L801" s="59">
        <f>L802</f>
        <v>6330.5</v>
      </c>
      <c r="M801" s="439"/>
      <c r="N801" s="59">
        <f>N802</f>
        <v>6330.5</v>
      </c>
    </row>
    <row r="802" spans="1:14" x14ac:dyDescent="0.3">
      <c r="A802" s="36"/>
      <c r="B802" s="22"/>
      <c r="C802" s="21" t="s">
        <v>36</v>
      </c>
      <c r="D802" s="20"/>
      <c r="E802" s="27" t="s">
        <v>35</v>
      </c>
      <c r="F802" s="59">
        <f>F803+F809</f>
        <v>5832.73333</v>
      </c>
      <c r="G802" s="439"/>
      <c r="H802" s="59">
        <f>H803+H809</f>
        <v>5832.73333</v>
      </c>
      <c r="I802" s="59">
        <f>I803+I809</f>
        <v>4729.0999999999995</v>
      </c>
      <c r="J802" s="439"/>
      <c r="K802" s="59">
        <f>K803+K809</f>
        <v>4729.0999999999995</v>
      </c>
      <c r="L802" s="59">
        <f>L803+L809</f>
        <v>6330.5</v>
      </c>
      <c r="M802" s="439"/>
      <c r="N802" s="59">
        <f>N803+N809</f>
        <v>6330.5</v>
      </c>
    </row>
    <row r="803" spans="1:14" ht="26.4" x14ac:dyDescent="0.3">
      <c r="A803" s="35"/>
      <c r="B803" s="33"/>
      <c r="C803" s="34" t="s">
        <v>34</v>
      </c>
      <c r="D803" s="33"/>
      <c r="E803" s="32" t="s">
        <v>33</v>
      </c>
      <c r="F803" s="31">
        <f t="shared" ref="F803:N805" si="115">F804</f>
        <v>4546.5</v>
      </c>
      <c r="G803" s="423"/>
      <c r="H803" s="31">
        <f t="shared" si="115"/>
        <v>4546.5</v>
      </c>
      <c r="I803" s="31">
        <f t="shared" si="115"/>
        <v>4729.0999999999995</v>
      </c>
      <c r="J803" s="423"/>
      <c r="K803" s="31">
        <f t="shared" si="115"/>
        <v>4729.0999999999995</v>
      </c>
      <c r="L803" s="31">
        <f t="shared" si="115"/>
        <v>4736</v>
      </c>
      <c r="M803" s="423"/>
      <c r="N803" s="31">
        <f t="shared" si="115"/>
        <v>4736</v>
      </c>
    </row>
    <row r="804" spans="1:14" ht="40.200000000000003" x14ac:dyDescent="0.3">
      <c r="A804" s="30"/>
      <c r="B804" s="30"/>
      <c r="C804" s="30" t="s">
        <v>32</v>
      </c>
      <c r="D804" s="30"/>
      <c r="E804" s="51" t="s">
        <v>94</v>
      </c>
      <c r="F804" s="28">
        <f t="shared" si="115"/>
        <v>4546.5</v>
      </c>
      <c r="G804" s="410"/>
      <c r="H804" s="28">
        <f t="shared" si="115"/>
        <v>4546.5</v>
      </c>
      <c r="I804" s="28">
        <f t="shared" si="115"/>
        <v>4729.0999999999995</v>
      </c>
      <c r="J804" s="410"/>
      <c r="K804" s="28">
        <f t="shared" si="115"/>
        <v>4729.0999999999995</v>
      </c>
      <c r="L804" s="28">
        <f t="shared" si="115"/>
        <v>4736</v>
      </c>
      <c r="M804" s="410"/>
      <c r="N804" s="28">
        <f t="shared" si="115"/>
        <v>4736</v>
      </c>
    </row>
    <row r="805" spans="1:14" ht="40.200000000000003" x14ac:dyDescent="0.3">
      <c r="A805" s="153"/>
      <c r="B805" s="153"/>
      <c r="C805" s="153" t="s">
        <v>30</v>
      </c>
      <c r="D805" s="160"/>
      <c r="E805" s="154" t="s">
        <v>29</v>
      </c>
      <c r="F805" s="155">
        <f t="shared" si="115"/>
        <v>4546.5</v>
      </c>
      <c r="G805" s="411"/>
      <c r="H805" s="155">
        <f t="shared" si="115"/>
        <v>4546.5</v>
      </c>
      <c r="I805" s="155">
        <f t="shared" si="115"/>
        <v>4729.0999999999995</v>
      </c>
      <c r="J805" s="411"/>
      <c r="K805" s="155">
        <f t="shared" si="115"/>
        <v>4729.0999999999995</v>
      </c>
      <c r="L805" s="155">
        <f t="shared" si="115"/>
        <v>4736</v>
      </c>
      <c r="M805" s="411"/>
      <c r="N805" s="155">
        <f t="shared" si="115"/>
        <v>4736</v>
      </c>
    </row>
    <row r="806" spans="1:14" ht="26.4" x14ac:dyDescent="0.3">
      <c r="A806" s="36"/>
      <c r="B806" s="54"/>
      <c r="C806" s="56" t="s">
        <v>28</v>
      </c>
      <c r="D806" s="54"/>
      <c r="E806" s="10" t="s">
        <v>27</v>
      </c>
      <c r="F806" s="58">
        <f>F807+F808</f>
        <v>4546.5</v>
      </c>
      <c r="G806" s="437"/>
      <c r="H806" s="58">
        <f>H807+H808</f>
        <v>4546.5</v>
      </c>
      <c r="I806" s="58">
        <f>I807+I808</f>
        <v>4729.0999999999995</v>
      </c>
      <c r="J806" s="437"/>
      <c r="K806" s="58">
        <f>K807+K808</f>
        <v>4729.0999999999995</v>
      </c>
      <c r="L806" s="58">
        <f>L807+L808</f>
        <v>4736</v>
      </c>
      <c r="M806" s="437"/>
      <c r="N806" s="58">
        <f>N807+N808</f>
        <v>4736</v>
      </c>
    </row>
    <row r="807" spans="1:14" ht="40.200000000000003" x14ac:dyDescent="0.3">
      <c r="A807" s="36"/>
      <c r="B807" s="54"/>
      <c r="C807" s="56"/>
      <c r="D807" s="54" t="s">
        <v>2</v>
      </c>
      <c r="E807" s="6" t="s">
        <v>1</v>
      </c>
      <c r="F807" s="58">
        <v>4420.8999999999996</v>
      </c>
      <c r="G807" s="437"/>
      <c r="H807" s="58">
        <v>4420.8999999999996</v>
      </c>
      <c r="I807" s="58">
        <v>4610.3999999999996</v>
      </c>
      <c r="J807" s="437"/>
      <c r="K807" s="58">
        <v>4610.3999999999996</v>
      </c>
      <c r="L807" s="58">
        <v>4610.3999999999996</v>
      </c>
      <c r="M807" s="437"/>
      <c r="N807" s="58">
        <v>4610.3999999999996</v>
      </c>
    </row>
    <row r="808" spans="1:14" x14ac:dyDescent="0.3">
      <c r="A808" s="36"/>
      <c r="B808" s="54"/>
      <c r="C808" s="56"/>
      <c r="D808" s="54" t="s">
        <v>12</v>
      </c>
      <c r="E808" s="55" t="s">
        <v>11</v>
      </c>
      <c r="F808" s="9">
        <v>125.6</v>
      </c>
      <c r="G808" s="412"/>
      <c r="H808" s="9">
        <v>125.6</v>
      </c>
      <c r="I808" s="9">
        <v>118.7</v>
      </c>
      <c r="J808" s="412"/>
      <c r="K808" s="9">
        <v>118.7</v>
      </c>
      <c r="L808" s="9">
        <v>125.6</v>
      </c>
      <c r="M808" s="412"/>
      <c r="N808" s="9">
        <v>125.6</v>
      </c>
    </row>
    <row r="809" spans="1:14" ht="26.4" x14ac:dyDescent="0.3">
      <c r="A809" s="53"/>
      <c r="B809" s="33"/>
      <c r="C809" s="34" t="s">
        <v>59</v>
      </c>
      <c r="D809" s="33"/>
      <c r="E809" s="32" t="s">
        <v>58</v>
      </c>
      <c r="F809" s="31">
        <f>F810</f>
        <v>1286.23333</v>
      </c>
      <c r="G809" s="423"/>
      <c r="H809" s="31">
        <f>H810</f>
        <v>1286.23333</v>
      </c>
      <c r="I809" s="31">
        <f>I810</f>
        <v>0</v>
      </c>
      <c r="J809" s="423"/>
      <c r="K809" s="31">
        <f>K810</f>
        <v>0</v>
      </c>
      <c r="L809" s="31">
        <f>L810</f>
        <v>1594.5</v>
      </c>
      <c r="M809" s="423"/>
      <c r="N809" s="31">
        <f>N810</f>
        <v>1594.5</v>
      </c>
    </row>
    <row r="810" spans="1:14" ht="27" x14ac:dyDescent="0.3">
      <c r="A810" s="30"/>
      <c r="B810" s="30"/>
      <c r="C810" s="30" t="s">
        <v>93</v>
      </c>
      <c r="D810" s="30"/>
      <c r="E810" s="51" t="s">
        <v>92</v>
      </c>
      <c r="F810" s="28">
        <f>F811+F816</f>
        <v>1286.23333</v>
      </c>
      <c r="G810" s="410"/>
      <c r="H810" s="28">
        <f>H811+H816</f>
        <v>1286.23333</v>
      </c>
      <c r="I810" s="28">
        <f>I811+I816</f>
        <v>0</v>
      </c>
      <c r="J810" s="410"/>
      <c r="K810" s="28">
        <f>K811+K816</f>
        <v>0</v>
      </c>
      <c r="L810" s="28">
        <f>L811+L816</f>
        <v>1594.5</v>
      </c>
      <c r="M810" s="410"/>
      <c r="N810" s="28">
        <f>N811+N816</f>
        <v>1594.5</v>
      </c>
    </row>
    <row r="811" spans="1:14" ht="27" x14ac:dyDescent="0.3">
      <c r="A811" s="153"/>
      <c r="B811" s="153"/>
      <c r="C811" s="153" t="s">
        <v>91</v>
      </c>
      <c r="D811" s="160"/>
      <c r="E811" s="154" t="s">
        <v>90</v>
      </c>
      <c r="F811" s="155">
        <f>F812+F814</f>
        <v>1235.5</v>
      </c>
      <c r="G811" s="411"/>
      <c r="H811" s="155">
        <f>H812+H814</f>
        <v>1235.5</v>
      </c>
      <c r="I811" s="155">
        <f>I812+I814</f>
        <v>0</v>
      </c>
      <c r="J811" s="411"/>
      <c r="K811" s="155">
        <f>K812+K814</f>
        <v>0</v>
      </c>
      <c r="L811" s="155">
        <f>L812+L814</f>
        <v>1544.5</v>
      </c>
      <c r="M811" s="411"/>
      <c r="N811" s="155">
        <f>N812+N814</f>
        <v>1544.5</v>
      </c>
    </row>
    <row r="812" spans="1:14" ht="53.4" x14ac:dyDescent="0.3">
      <c r="A812" s="7"/>
      <c r="B812" s="7"/>
      <c r="C812" s="7" t="s">
        <v>89</v>
      </c>
      <c r="D812" s="7"/>
      <c r="E812" s="6" t="s">
        <v>88</v>
      </c>
      <c r="F812" s="9">
        <f>F813</f>
        <v>603.79999999999995</v>
      </c>
      <c r="G812" s="412"/>
      <c r="H812" s="9">
        <f>H813</f>
        <v>603.79999999999995</v>
      </c>
      <c r="I812" s="9">
        <f>I813</f>
        <v>0</v>
      </c>
      <c r="J812" s="412"/>
      <c r="K812" s="9">
        <f>K813</f>
        <v>0</v>
      </c>
      <c r="L812" s="9">
        <f>L813</f>
        <v>754.9</v>
      </c>
      <c r="M812" s="412"/>
      <c r="N812" s="9">
        <f>N813</f>
        <v>754.9</v>
      </c>
    </row>
    <row r="813" spans="1:14" ht="27" x14ac:dyDescent="0.3">
      <c r="A813" s="7"/>
      <c r="B813" s="7"/>
      <c r="C813" s="7"/>
      <c r="D813" s="7" t="s">
        <v>57</v>
      </c>
      <c r="E813" s="6" t="s">
        <v>56</v>
      </c>
      <c r="F813" s="175">
        <v>603.79999999999995</v>
      </c>
      <c r="G813" s="407"/>
      <c r="H813" s="175">
        <v>603.79999999999995</v>
      </c>
      <c r="I813" s="175">
        <v>0</v>
      </c>
      <c r="J813" s="407"/>
      <c r="K813" s="175">
        <v>0</v>
      </c>
      <c r="L813" s="175">
        <v>754.9</v>
      </c>
      <c r="M813" s="407"/>
      <c r="N813" s="175">
        <v>754.9</v>
      </c>
    </row>
    <row r="814" spans="1:14" ht="53.4" x14ac:dyDescent="0.3">
      <c r="A814" s="7"/>
      <c r="B814" s="7"/>
      <c r="C814" s="7" t="s">
        <v>87</v>
      </c>
      <c r="D814" s="7"/>
      <c r="E814" s="6" t="s">
        <v>86</v>
      </c>
      <c r="F814" s="9">
        <f>F815</f>
        <v>631.70000000000005</v>
      </c>
      <c r="G814" s="412"/>
      <c r="H814" s="9">
        <f>H815</f>
        <v>631.70000000000005</v>
      </c>
      <c r="I814" s="9">
        <f>I815</f>
        <v>0</v>
      </c>
      <c r="J814" s="412"/>
      <c r="K814" s="9">
        <f>K815</f>
        <v>0</v>
      </c>
      <c r="L814" s="9">
        <f>L815</f>
        <v>789.6</v>
      </c>
      <c r="M814" s="412"/>
      <c r="N814" s="9">
        <f>N815</f>
        <v>789.6</v>
      </c>
    </row>
    <row r="815" spans="1:14" s="57" customFormat="1" ht="27" x14ac:dyDescent="0.3">
      <c r="A815" s="7"/>
      <c r="B815" s="7"/>
      <c r="C815" s="7"/>
      <c r="D815" s="7" t="s">
        <v>57</v>
      </c>
      <c r="E815" s="6" t="s">
        <v>56</v>
      </c>
      <c r="F815" s="175">
        <v>631.70000000000005</v>
      </c>
      <c r="G815" s="407"/>
      <c r="H815" s="175">
        <v>631.70000000000005</v>
      </c>
      <c r="I815" s="175">
        <v>0</v>
      </c>
      <c r="J815" s="407"/>
      <c r="K815" s="175">
        <v>0</v>
      </c>
      <c r="L815" s="175">
        <v>789.6</v>
      </c>
      <c r="M815" s="407"/>
      <c r="N815" s="175">
        <v>789.6</v>
      </c>
    </row>
    <row r="816" spans="1:14" x14ac:dyDescent="0.3">
      <c r="A816" s="153"/>
      <c r="B816" s="153"/>
      <c r="C816" s="153" t="s">
        <v>85</v>
      </c>
      <c r="D816" s="160"/>
      <c r="E816" s="154" t="s">
        <v>84</v>
      </c>
      <c r="F816" s="155">
        <f>F817+F819+F822</f>
        <v>50.733330000000002</v>
      </c>
      <c r="G816" s="411"/>
      <c r="H816" s="155">
        <f>H817+H819+H822</f>
        <v>50.733330000000002</v>
      </c>
      <c r="I816" s="155">
        <f t="shared" ref="F816:N817" si="116">I817</f>
        <v>0</v>
      </c>
      <c r="J816" s="411"/>
      <c r="K816" s="155">
        <f t="shared" si="116"/>
        <v>0</v>
      </c>
      <c r="L816" s="155">
        <f t="shared" si="116"/>
        <v>50</v>
      </c>
      <c r="M816" s="411"/>
      <c r="N816" s="155">
        <f t="shared" si="116"/>
        <v>50</v>
      </c>
    </row>
    <row r="817" spans="1:14" x14ac:dyDescent="0.3">
      <c r="A817" s="7"/>
      <c r="B817" s="7"/>
      <c r="C817" s="7" t="s">
        <v>83</v>
      </c>
      <c r="D817" s="7"/>
      <c r="E817" s="6" t="s">
        <v>82</v>
      </c>
      <c r="F817" s="9">
        <f t="shared" si="116"/>
        <v>50</v>
      </c>
      <c r="G817" s="412"/>
      <c r="H817" s="9">
        <f t="shared" si="116"/>
        <v>50</v>
      </c>
      <c r="I817" s="9">
        <f t="shared" si="116"/>
        <v>0</v>
      </c>
      <c r="J817" s="412"/>
      <c r="K817" s="9">
        <f t="shared" si="116"/>
        <v>0</v>
      </c>
      <c r="L817" s="9">
        <f t="shared" si="116"/>
        <v>50</v>
      </c>
      <c r="M817" s="412"/>
      <c r="N817" s="9">
        <f t="shared" si="116"/>
        <v>50</v>
      </c>
    </row>
    <row r="818" spans="1:14" ht="27" x14ac:dyDescent="0.3">
      <c r="A818" s="7"/>
      <c r="B818" s="7"/>
      <c r="C818" s="7"/>
      <c r="D818" s="7" t="s">
        <v>57</v>
      </c>
      <c r="E818" s="6" t="s">
        <v>56</v>
      </c>
      <c r="F818" s="9">
        <v>50</v>
      </c>
      <c r="G818" s="412"/>
      <c r="H818" s="9">
        <v>50</v>
      </c>
      <c r="I818" s="9">
        <v>0</v>
      </c>
      <c r="J818" s="412"/>
      <c r="K818" s="9">
        <v>0</v>
      </c>
      <c r="L818" s="9">
        <v>50</v>
      </c>
      <c r="M818" s="412"/>
      <c r="N818" s="9">
        <v>50</v>
      </c>
    </row>
    <row r="819" spans="1:14" ht="27" x14ac:dyDescent="0.3">
      <c r="A819" s="226"/>
      <c r="B819" s="226"/>
      <c r="C819" s="54" t="s">
        <v>746</v>
      </c>
      <c r="D819" s="54"/>
      <c r="E819" s="97" t="s">
        <v>99</v>
      </c>
      <c r="F819" s="175">
        <f t="shared" ref="F819:N820" si="117">F820</f>
        <v>0.20001000000000002</v>
      </c>
      <c r="G819" s="407"/>
      <c r="H819" s="175">
        <f t="shared" si="117"/>
        <v>0.20001000000000002</v>
      </c>
      <c r="I819" s="175">
        <f t="shared" si="117"/>
        <v>0</v>
      </c>
      <c r="J819" s="407"/>
      <c r="K819" s="175">
        <f t="shared" si="117"/>
        <v>0</v>
      </c>
      <c r="L819" s="175">
        <f t="shared" si="117"/>
        <v>0</v>
      </c>
      <c r="M819" s="407"/>
      <c r="N819" s="175">
        <f t="shared" si="117"/>
        <v>0</v>
      </c>
    </row>
    <row r="820" spans="1:14" ht="27" x14ac:dyDescent="0.3">
      <c r="A820" s="226"/>
      <c r="B820" s="226"/>
      <c r="C820" s="22"/>
      <c r="D820" s="54" t="s">
        <v>57</v>
      </c>
      <c r="E820" s="6" t="s">
        <v>56</v>
      </c>
      <c r="F820" s="175">
        <f t="shared" si="117"/>
        <v>0.20001000000000002</v>
      </c>
      <c r="G820" s="407"/>
      <c r="H820" s="175">
        <f t="shared" si="117"/>
        <v>0.20001000000000002</v>
      </c>
      <c r="I820" s="175">
        <f t="shared" si="117"/>
        <v>0</v>
      </c>
      <c r="J820" s="407"/>
      <c r="K820" s="175">
        <f t="shared" si="117"/>
        <v>0</v>
      </c>
      <c r="L820" s="175">
        <f t="shared" si="117"/>
        <v>0</v>
      </c>
      <c r="M820" s="407"/>
      <c r="N820" s="175">
        <f t="shared" si="117"/>
        <v>0</v>
      </c>
    </row>
    <row r="821" spans="1:14" x14ac:dyDescent="0.3">
      <c r="A821" s="226"/>
      <c r="B821" s="226"/>
      <c r="C821" s="22"/>
      <c r="D821" s="54"/>
      <c r="E821" s="6" t="s">
        <v>97</v>
      </c>
      <c r="F821" s="175">
        <v>0.20001000000000002</v>
      </c>
      <c r="G821" s="407"/>
      <c r="H821" s="175">
        <v>0.20001000000000002</v>
      </c>
      <c r="I821" s="175">
        <v>0</v>
      </c>
      <c r="J821" s="407"/>
      <c r="K821" s="175">
        <v>0</v>
      </c>
      <c r="L821" s="175">
        <v>0</v>
      </c>
      <c r="M821" s="407"/>
      <c r="N821" s="175">
        <v>0</v>
      </c>
    </row>
    <row r="822" spans="1:14" ht="27" x14ac:dyDescent="0.3">
      <c r="A822" s="226"/>
      <c r="B822" s="226"/>
      <c r="C822" s="54" t="s">
        <v>747</v>
      </c>
      <c r="D822" s="54"/>
      <c r="E822" s="97" t="s">
        <v>98</v>
      </c>
      <c r="F822" s="175">
        <f t="shared" ref="F822:N823" si="118">F823</f>
        <v>0.53332000000000002</v>
      </c>
      <c r="G822" s="407"/>
      <c r="H822" s="175">
        <f t="shared" si="118"/>
        <v>0.53332000000000002</v>
      </c>
      <c r="I822" s="175">
        <f t="shared" si="118"/>
        <v>0</v>
      </c>
      <c r="J822" s="407"/>
      <c r="K822" s="175">
        <f t="shared" si="118"/>
        <v>0</v>
      </c>
      <c r="L822" s="175">
        <f t="shared" si="118"/>
        <v>0</v>
      </c>
      <c r="M822" s="407"/>
      <c r="N822" s="175">
        <f t="shared" si="118"/>
        <v>0</v>
      </c>
    </row>
    <row r="823" spans="1:14" ht="27" x14ac:dyDescent="0.3">
      <c r="A823" s="226"/>
      <c r="B823" s="226"/>
      <c r="C823" s="22"/>
      <c r="D823" s="54" t="s">
        <v>57</v>
      </c>
      <c r="E823" s="6" t="s">
        <v>56</v>
      </c>
      <c r="F823" s="175">
        <f t="shared" si="118"/>
        <v>0.53332000000000002</v>
      </c>
      <c r="G823" s="407"/>
      <c r="H823" s="175">
        <f t="shared" si="118"/>
        <v>0.53332000000000002</v>
      </c>
      <c r="I823" s="175">
        <f t="shared" si="118"/>
        <v>0</v>
      </c>
      <c r="J823" s="407"/>
      <c r="K823" s="175">
        <f t="shared" si="118"/>
        <v>0</v>
      </c>
      <c r="L823" s="175">
        <f t="shared" si="118"/>
        <v>0</v>
      </c>
      <c r="M823" s="407"/>
      <c r="N823" s="175">
        <f t="shared" si="118"/>
        <v>0</v>
      </c>
    </row>
    <row r="824" spans="1:14" x14ac:dyDescent="0.3">
      <c r="A824" s="226"/>
      <c r="B824" s="226"/>
      <c r="C824" s="22"/>
      <c r="D824" s="54"/>
      <c r="E824" s="6" t="s">
        <v>97</v>
      </c>
      <c r="F824" s="175">
        <v>0.53332000000000002</v>
      </c>
      <c r="G824" s="407"/>
      <c r="H824" s="175">
        <v>0.53332000000000002</v>
      </c>
      <c r="I824" s="175">
        <v>0</v>
      </c>
      <c r="J824" s="407"/>
      <c r="K824" s="175">
        <v>0</v>
      </c>
      <c r="L824" s="175">
        <v>0</v>
      </c>
      <c r="M824" s="407"/>
      <c r="N824" s="175">
        <v>0</v>
      </c>
    </row>
    <row r="825" spans="1:14" x14ac:dyDescent="0.3">
      <c r="A825" s="36"/>
      <c r="B825" s="22">
        <v>1000</v>
      </c>
      <c r="C825" s="21"/>
      <c r="D825" s="20"/>
      <c r="E825" s="19" t="s">
        <v>81</v>
      </c>
      <c r="F825" s="26">
        <f t="shared" ref="F825:N830" si="119">F826</f>
        <v>456.6</v>
      </c>
      <c r="G825" s="424"/>
      <c r="H825" s="26">
        <f t="shared" si="119"/>
        <v>456.6</v>
      </c>
      <c r="I825" s="26">
        <f t="shared" si="119"/>
        <v>456.6</v>
      </c>
      <c r="J825" s="424"/>
      <c r="K825" s="26">
        <f t="shared" si="119"/>
        <v>456.6</v>
      </c>
      <c r="L825" s="26">
        <f t="shared" si="119"/>
        <v>456.6</v>
      </c>
      <c r="M825" s="424"/>
      <c r="N825" s="26">
        <f t="shared" si="119"/>
        <v>456.6</v>
      </c>
    </row>
    <row r="826" spans="1:14" x14ac:dyDescent="0.3">
      <c r="A826" s="20"/>
      <c r="B826" s="22">
        <v>1003</v>
      </c>
      <c r="C826" s="21"/>
      <c r="D826" s="20"/>
      <c r="E826" s="19" t="s">
        <v>80</v>
      </c>
      <c r="F826" s="26">
        <f t="shared" si="119"/>
        <v>456.6</v>
      </c>
      <c r="G826" s="424"/>
      <c r="H826" s="26">
        <f t="shared" si="119"/>
        <v>456.6</v>
      </c>
      <c r="I826" s="26">
        <f t="shared" si="119"/>
        <v>456.6</v>
      </c>
      <c r="J826" s="424"/>
      <c r="K826" s="26">
        <f t="shared" si="119"/>
        <v>456.6</v>
      </c>
      <c r="L826" s="26">
        <f t="shared" si="119"/>
        <v>456.6</v>
      </c>
      <c r="M826" s="424"/>
      <c r="N826" s="26">
        <f t="shared" si="119"/>
        <v>456.6</v>
      </c>
    </row>
    <row r="827" spans="1:14" x14ac:dyDescent="0.3">
      <c r="A827" s="52"/>
      <c r="B827" s="22"/>
      <c r="C827" s="21" t="s">
        <v>36</v>
      </c>
      <c r="D827" s="20"/>
      <c r="E827" s="27" t="s">
        <v>35</v>
      </c>
      <c r="F827" s="26">
        <f t="shared" si="119"/>
        <v>456.6</v>
      </c>
      <c r="G827" s="424"/>
      <c r="H827" s="26">
        <f t="shared" si="119"/>
        <v>456.6</v>
      </c>
      <c r="I827" s="26">
        <f t="shared" si="119"/>
        <v>456.6</v>
      </c>
      <c r="J827" s="424"/>
      <c r="K827" s="26">
        <f t="shared" si="119"/>
        <v>456.6</v>
      </c>
      <c r="L827" s="26">
        <f t="shared" si="119"/>
        <v>456.6</v>
      </c>
      <c r="M827" s="424"/>
      <c r="N827" s="26">
        <f t="shared" si="119"/>
        <v>456.6</v>
      </c>
    </row>
    <row r="828" spans="1:14" ht="26.4" x14ac:dyDescent="0.3">
      <c r="A828" s="53"/>
      <c r="B828" s="33"/>
      <c r="C828" s="34" t="s">
        <v>79</v>
      </c>
      <c r="D828" s="33"/>
      <c r="E828" s="32" t="s">
        <v>78</v>
      </c>
      <c r="F828" s="31">
        <f t="shared" si="119"/>
        <v>456.6</v>
      </c>
      <c r="G828" s="423"/>
      <c r="H828" s="31">
        <f t="shared" si="119"/>
        <v>456.6</v>
      </c>
      <c r="I828" s="31">
        <f t="shared" si="119"/>
        <v>456.6</v>
      </c>
      <c r="J828" s="423"/>
      <c r="K828" s="31">
        <f t="shared" si="119"/>
        <v>456.6</v>
      </c>
      <c r="L828" s="31">
        <f t="shared" si="119"/>
        <v>456.6</v>
      </c>
      <c r="M828" s="423"/>
      <c r="N828" s="31">
        <f t="shared" si="119"/>
        <v>456.6</v>
      </c>
    </row>
    <row r="829" spans="1:14" x14ac:dyDescent="0.3">
      <c r="A829" s="30"/>
      <c r="B829" s="30"/>
      <c r="C829" s="30" t="s">
        <v>77</v>
      </c>
      <c r="D829" s="30"/>
      <c r="E829" s="51" t="s">
        <v>76</v>
      </c>
      <c r="F829" s="28">
        <f t="shared" si="119"/>
        <v>456.6</v>
      </c>
      <c r="G829" s="410"/>
      <c r="H829" s="28">
        <f t="shared" si="119"/>
        <v>456.6</v>
      </c>
      <c r="I829" s="28">
        <f t="shared" si="119"/>
        <v>456.6</v>
      </c>
      <c r="J829" s="410"/>
      <c r="K829" s="28">
        <f t="shared" si="119"/>
        <v>456.6</v>
      </c>
      <c r="L829" s="28">
        <f t="shared" si="119"/>
        <v>456.6</v>
      </c>
      <c r="M829" s="410"/>
      <c r="N829" s="28">
        <f t="shared" si="119"/>
        <v>456.6</v>
      </c>
    </row>
    <row r="830" spans="1:14" ht="27" x14ac:dyDescent="0.3">
      <c r="A830" s="153"/>
      <c r="B830" s="153"/>
      <c r="C830" s="153" t="s">
        <v>75</v>
      </c>
      <c r="D830" s="160"/>
      <c r="E830" s="154" t="s">
        <v>74</v>
      </c>
      <c r="F830" s="155">
        <f t="shared" si="119"/>
        <v>456.6</v>
      </c>
      <c r="G830" s="411"/>
      <c r="H830" s="155">
        <f t="shared" si="119"/>
        <v>456.6</v>
      </c>
      <c r="I830" s="155">
        <f t="shared" si="119"/>
        <v>456.6</v>
      </c>
      <c r="J830" s="411"/>
      <c r="K830" s="155">
        <f t="shared" si="119"/>
        <v>456.6</v>
      </c>
      <c r="L830" s="155">
        <f t="shared" si="119"/>
        <v>456.6</v>
      </c>
      <c r="M830" s="411"/>
      <c r="N830" s="155">
        <f t="shared" si="119"/>
        <v>456.6</v>
      </c>
    </row>
    <row r="831" spans="1:14" ht="40.5" customHeight="1" x14ac:dyDescent="0.3">
      <c r="A831" s="52"/>
      <c r="B831" s="54"/>
      <c r="C831" s="56" t="s">
        <v>73</v>
      </c>
      <c r="D831" s="54"/>
      <c r="E831" s="10" t="s">
        <v>72</v>
      </c>
      <c r="F831" s="9">
        <f>F832+F833</f>
        <v>456.6</v>
      </c>
      <c r="G831" s="412"/>
      <c r="H831" s="9">
        <f>H832+H833</f>
        <v>456.6</v>
      </c>
      <c r="I831" s="9">
        <f>I832+I833</f>
        <v>456.6</v>
      </c>
      <c r="J831" s="412"/>
      <c r="K831" s="9">
        <f>K832+K833</f>
        <v>456.6</v>
      </c>
      <c r="L831" s="9">
        <f>L832+L833</f>
        <v>456.6</v>
      </c>
      <c r="M831" s="412"/>
      <c r="N831" s="9">
        <f>N832+N833</f>
        <v>456.6</v>
      </c>
    </row>
    <row r="832" spans="1:14" x14ac:dyDescent="0.3">
      <c r="A832" s="52"/>
      <c r="B832" s="54"/>
      <c r="C832" s="56"/>
      <c r="D832" s="54" t="s">
        <v>71</v>
      </c>
      <c r="E832" s="6" t="s">
        <v>70</v>
      </c>
      <c r="F832" s="9">
        <v>26.6</v>
      </c>
      <c r="G832" s="412"/>
      <c r="H832" s="9">
        <v>26.6</v>
      </c>
      <c r="I832" s="9">
        <v>26.6</v>
      </c>
      <c r="J832" s="412"/>
      <c r="K832" s="9">
        <v>26.6</v>
      </c>
      <c r="L832" s="9">
        <v>26.6</v>
      </c>
      <c r="M832" s="412"/>
      <c r="N832" s="9">
        <v>26.6</v>
      </c>
    </row>
    <row r="833" spans="1:14" ht="26.4" x14ac:dyDescent="0.3">
      <c r="A833" s="52"/>
      <c r="B833" s="54"/>
      <c r="C833" s="56"/>
      <c r="D833" s="54" t="s">
        <v>57</v>
      </c>
      <c r="E833" s="55" t="s">
        <v>56</v>
      </c>
      <c r="F833" s="9">
        <v>430</v>
      </c>
      <c r="G833" s="412"/>
      <c r="H833" s="9">
        <v>430</v>
      </c>
      <c r="I833" s="9">
        <v>430</v>
      </c>
      <c r="J833" s="412"/>
      <c r="K833" s="9">
        <v>430</v>
      </c>
      <c r="L833" s="9">
        <v>430</v>
      </c>
      <c r="M833" s="412"/>
      <c r="N833" s="9">
        <v>430</v>
      </c>
    </row>
    <row r="834" spans="1:14" x14ac:dyDescent="0.3">
      <c r="A834" s="52"/>
      <c r="B834" s="22">
        <v>1100</v>
      </c>
      <c r="C834" s="21"/>
      <c r="D834" s="20"/>
      <c r="E834" s="19" t="s">
        <v>68</v>
      </c>
      <c r="F834" s="26">
        <f t="shared" ref="F834:N839" si="120">F835</f>
        <v>100</v>
      </c>
      <c r="G834" s="424"/>
      <c r="H834" s="26">
        <f t="shared" si="120"/>
        <v>100</v>
      </c>
      <c r="I834" s="26">
        <f t="shared" si="120"/>
        <v>0</v>
      </c>
      <c r="J834" s="424"/>
      <c r="K834" s="26">
        <f t="shared" si="120"/>
        <v>0</v>
      </c>
      <c r="L834" s="26">
        <f t="shared" si="120"/>
        <v>100</v>
      </c>
      <c r="M834" s="424"/>
      <c r="N834" s="26">
        <f t="shared" si="120"/>
        <v>100</v>
      </c>
    </row>
    <row r="835" spans="1:14" x14ac:dyDescent="0.3">
      <c r="A835" s="52"/>
      <c r="B835" s="22" t="s">
        <v>67</v>
      </c>
      <c r="C835" s="21"/>
      <c r="D835" s="22"/>
      <c r="E835" s="27" t="s">
        <v>66</v>
      </c>
      <c r="F835" s="26">
        <f t="shared" si="120"/>
        <v>100</v>
      </c>
      <c r="G835" s="424"/>
      <c r="H835" s="26">
        <f t="shared" si="120"/>
        <v>100</v>
      </c>
      <c r="I835" s="26">
        <f t="shared" si="120"/>
        <v>0</v>
      </c>
      <c r="J835" s="424"/>
      <c r="K835" s="26">
        <f t="shared" si="120"/>
        <v>0</v>
      </c>
      <c r="L835" s="26">
        <f t="shared" si="120"/>
        <v>100</v>
      </c>
      <c r="M835" s="424"/>
      <c r="N835" s="26">
        <f t="shared" si="120"/>
        <v>100</v>
      </c>
    </row>
    <row r="836" spans="1:14" x14ac:dyDescent="0.3">
      <c r="A836" s="52"/>
      <c r="B836" s="22"/>
      <c r="C836" s="21" t="s">
        <v>36</v>
      </c>
      <c r="D836" s="22"/>
      <c r="E836" s="27" t="s">
        <v>35</v>
      </c>
      <c r="F836" s="26">
        <f t="shared" si="120"/>
        <v>100</v>
      </c>
      <c r="G836" s="424"/>
      <c r="H836" s="26">
        <f t="shared" si="120"/>
        <v>100</v>
      </c>
      <c r="I836" s="26">
        <f t="shared" si="120"/>
        <v>0</v>
      </c>
      <c r="J836" s="424"/>
      <c r="K836" s="26">
        <f t="shared" si="120"/>
        <v>0</v>
      </c>
      <c r="L836" s="26">
        <f t="shared" si="120"/>
        <v>100</v>
      </c>
      <c r="M836" s="424"/>
      <c r="N836" s="26">
        <f t="shared" si="120"/>
        <v>100</v>
      </c>
    </row>
    <row r="837" spans="1:14" ht="26.4" x14ac:dyDescent="0.3">
      <c r="A837" s="53"/>
      <c r="B837" s="33"/>
      <c r="C837" s="34" t="s">
        <v>65</v>
      </c>
      <c r="D837" s="33"/>
      <c r="E837" s="32" t="s">
        <v>64</v>
      </c>
      <c r="F837" s="31">
        <f t="shared" si="120"/>
        <v>100</v>
      </c>
      <c r="G837" s="423"/>
      <c r="H837" s="31">
        <f t="shared" si="120"/>
        <v>100</v>
      </c>
      <c r="I837" s="31">
        <f t="shared" si="120"/>
        <v>0</v>
      </c>
      <c r="J837" s="423"/>
      <c r="K837" s="31">
        <f t="shared" si="120"/>
        <v>0</v>
      </c>
      <c r="L837" s="31">
        <f t="shared" si="120"/>
        <v>100</v>
      </c>
      <c r="M837" s="423"/>
      <c r="N837" s="31">
        <f t="shared" si="120"/>
        <v>100</v>
      </c>
    </row>
    <row r="838" spans="1:14" ht="40.200000000000003" x14ac:dyDescent="0.3">
      <c r="A838" s="153"/>
      <c r="B838" s="153"/>
      <c r="C838" s="153" t="s">
        <v>63</v>
      </c>
      <c r="D838" s="153"/>
      <c r="E838" s="154" t="s">
        <v>62</v>
      </c>
      <c r="F838" s="155">
        <f t="shared" si="120"/>
        <v>100</v>
      </c>
      <c r="G838" s="411"/>
      <c r="H838" s="155">
        <f t="shared" si="120"/>
        <v>100</v>
      </c>
      <c r="I838" s="155">
        <f t="shared" si="120"/>
        <v>0</v>
      </c>
      <c r="J838" s="411"/>
      <c r="K838" s="155">
        <f t="shared" si="120"/>
        <v>0</v>
      </c>
      <c r="L838" s="155">
        <f t="shared" si="120"/>
        <v>100</v>
      </c>
      <c r="M838" s="411"/>
      <c r="N838" s="155">
        <f t="shared" si="120"/>
        <v>100</v>
      </c>
    </row>
    <row r="839" spans="1:14" ht="40.200000000000003" x14ac:dyDescent="0.3">
      <c r="A839" s="8"/>
      <c r="B839" s="8"/>
      <c r="C839" s="7" t="s">
        <v>61</v>
      </c>
      <c r="D839" s="7"/>
      <c r="E839" s="6" t="s">
        <v>60</v>
      </c>
      <c r="F839" s="9">
        <f t="shared" si="120"/>
        <v>100</v>
      </c>
      <c r="G839" s="412"/>
      <c r="H839" s="9">
        <f t="shared" si="120"/>
        <v>100</v>
      </c>
      <c r="I839" s="9">
        <f t="shared" si="120"/>
        <v>0</v>
      </c>
      <c r="J839" s="412"/>
      <c r="K839" s="9">
        <f t="shared" si="120"/>
        <v>0</v>
      </c>
      <c r="L839" s="9">
        <f t="shared" si="120"/>
        <v>100</v>
      </c>
      <c r="M839" s="412"/>
      <c r="N839" s="9">
        <f t="shared" si="120"/>
        <v>100</v>
      </c>
    </row>
    <row r="840" spans="1:14" ht="27" x14ac:dyDescent="0.3">
      <c r="A840" s="8"/>
      <c r="B840" s="8"/>
      <c r="C840" s="7"/>
      <c r="D840" s="7" t="s">
        <v>57</v>
      </c>
      <c r="E840" s="6" t="s">
        <v>56</v>
      </c>
      <c r="F840" s="9">
        <v>100</v>
      </c>
      <c r="G840" s="412"/>
      <c r="H840" s="9">
        <v>100</v>
      </c>
      <c r="I840" s="9">
        <v>0</v>
      </c>
      <c r="J840" s="412"/>
      <c r="K840" s="9">
        <v>0</v>
      </c>
      <c r="L840" s="9">
        <v>100</v>
      </c>
      <c r="M840" s="412"/>
      <c r="N840" s="9">
        <v>100</v>
      </c>
    </row>
    <row r="841" spans="1:14" x14ac:dyDescent="0.3">
      <c r="A841" s="39">
        <v>636</v>
      </c>
      <c r="B841" s="41"/>
      <c r="C841" s="40"/>
      <c r="D841" s="39"/>
      <c r="E841" s="38" t="s">
        <v>55</v>
      </c>
      <c r="F841" s="37">
        <f t="shared" ref="F841:N843" si="121">F842</f>
        <v>3837.2</v>
      </c>
      <c r="G841" s="421"/>
      <c r="H841" s="37">
        <f t="shared" si="121"/>
        <v>3837.2</v>
      </c>
      <c r="I841" s="37">
        <f t="shared" si="121"/>
        <v>3789.9</v>
      </c>
      <c r="J841" s="421"/>
      <c r="K841" s="37">
        <f t="shared" si="121"/>
        <v>3789.9</v>
      </c>
      <c r="L841" s="37">
        <f t="shared" si="121"/>
        <v>3943</v>
      </c>
      <c r="M841" s="421"/>
      <c r="N841" s="37">
        <f t="shared" si="121"/>
        <v>3943</v>
      </c>
    </row>
    <row r="842" spans="1:14" x14ac:dyDescent="0.3">
      <c r="A842" s="36"/>
      <c r="B842" s="22" t="s">
        <v>40</v>
      </c>
      <c r="C842" s="21"/>
      <c r="D842" s="20"/>
      <c r="E842" s="19" t="s">
        <v>39</v>
      </c>
      <c r="F842" s="26">
        <f t="shared" si="121"/>
        <v>3837.2</v>
      </c>
      <c r="G842" s="424"/>
      <c r="H842" s="26">
        <f t="shared" si="121"/>
        <v>3837.2</v>
      </c>
      <c r="I842" s="26">
        <f t="shared" si="121"/>
        <v>3789.9</v>
      </c>
      <c r="J842" s="424"/>
      <c r="K842" s="26">
        <f t="shared" si="121"/>
        <v>3789.9</v>
      </c>
      <c r="L842" s="26">
        <f t="shared" si="121"/>
        <v>3943</v>
      </c>
      <c r="M842" s="424"/>
      <c r="N842" s="26">
        <f t="shared" si="121"/>
        <v>3943</v>
      </c>
    </row>
    <row r="843" spans="1:14" ht="26.4" x14ac:dyDescent="0.3">
      <c r="A843" s="36"/>
      <c r="B843" s="22" t="s">
        <v>54</v>
      </c>
      <c r="C843" s="21"/>
      <c r="D843" s="22"/>
      <c r="E843" s="27" t="s">
        <v>53</v>
      </c>
      <c r="F843" s="26">
        <f t="shared" si="121"/>
        <v>3837.2</v>
      </c>
      <c r="G843" s="424"/>
      <c r="H843" s="26">
        <f t="shared" si="121"/>
        <v>3837.2</v>
      </c>
      <c r="I843" s="26">
        <f t="shared" si="121"/>
        <v>3789.9</v>
      </c>
      <c r="J843" s="424"/>
      <c r="K843" s="26">
        <f t="shared" si="121"/>
        <v>3789.9</v>
      </c>
      <c r="L843" s="26">
        <f t="shared" si="121"/>
        <v>3943</v>
      </c>
      <c r="M843" s="424"/>
      <c r="N843" s="26">
        <f t="shared" si="121"/>
        <v>3943</v>
      </c>
    </row>
    <row r="844" spans="1:14" x14ac:dyDescent="0.3">
      <c r="A844" s="50"/>
      <c r="B844" s="49"/>
      <c r="C844" s="48" t="s">
        <v>52</v>
      </c>
      <c r="D844" s="47"/>
      <c r="E844" s="46" t="s">
        <v>51</v>
      </c>
      <c r="F844" s="15">
        <f>F845+F851</f>
        <v>3837.2</v>
      </c>
      <c r="G844" s="432"/>
      <c r="H844" s="15">
        <f>H845+H851</f>
        <v>3837.2</v>
      </c>
      <c r="I844" s="15">
        <f>I845+I851</f>
        <v>3789.9</v>
      </c>
      <c r="J844" s="432"/>
      <c r="K844" s="15">
        <f>K845+K851</f>
        <v>3789.9</v>
      </c>
      <c r="L844" s="15">
        <f>L845+L851</f>
        <v>3943</v>
      </c>
      <c r="M844" s="432"/>
      <c r="N844" s="15">
        <f>N845+N851</f>
        <v>3943</v>
      </c>
    </row>
    <row r="845" spans="1:14" s="23" customFormat="1" ht="27" x14ac:dyDescent="0.3">
      <c r="A845" s="24"/>
      <c r="B845" s="24"/>
      <c r="C845" s="44" t="s">
        <v>50</v>
      </c>
      <c r="D845" s="45"/>
      <c r="E845" s="13" t="s">
        <v>49</v>
      </c>
      <c r="F845" s="12">
        <f>F846+F848</f>
        <v>3687.2</v>
      </c>
      <c r="G845" s="428"/>
      <c r="H845" s="12">
        <f>H846+H848</f>
        <v>3687.2</v>
      </c>
      <c r="I845" s="12">
        <f>I846+I848</f>
        <v>3789.9</v>
      </c>
      <c r="J845" s="428"/>
      <c r="K845" s="12">
        <f>K846+K848</f>
        <v>3789.9</v>
      </c>
      <c r="L845" s="12">
        <f>L846+L848</f>
        <v>3793</v>
      </c>
      <c r="M845" s="428"/>
      <c r="N845" s="12">
        <f>N846+N848</f>
        <v>3793</v>
      </c>
    </row>
    <row r="846" spans="1:14" ht="27" x14ac:dyDescent="0.3">
      <c r="A846" s="8"/>
      <c r="B846" s="8"/>
      <c r="C846" s="7" t="s">
        <v>48</v>
      </c>
      <c r="D846" s="7"/>
      <c r="E846" s="6" t="s">
        <v>47</v>
      </c>
      <c r="F846" s="9">
        <f>F847</f>
        <v>1164</v>
      </c>
      <c r="G846" s="412"/>
      <c r="H846" s="9">
        <f>H847</f>
        <v>1164</v>
      </c>
      <c r="I846" s="9">
        <f>I847</f>
        <v>1164</v>
      </c>
      <c r="J846" s="412"/>
      <c r="K846" s="9">
        <f>K847</f>
        <v>1164</v>
      </c>
      <c r="L846" s="9">
        <f>L847</f>
        <v>1164</v>
      </c>
      <c r="M846" s="412"/>
      <c r="N846" s="9">
        <f>N847</f>
        <v>1164</v>
      </c>
    </row>
    <row r="847" spans="1:14" ht="40.200000000000003" x14ac:dyDescent="0.3">
      <c r="A847" s="8"/>
      <c r="B847" s="8"/>
      <c r="C847" s="7"/>
      <c r="D847" s="7" t="s">
        <v>2</v>
      </c>
      <c r="E847" s="6" t="s">
        <v>1</v>
      </c>
      <c r="F847" s="5">
        <v>1164</v>
      </c>
      <c r="G847" s="425"/>
      <c r="H847" s="5">
        <v>1164</v>
      </c>
      <c r="I847" s="5">
        <v>1164</v>
      </c>
      <c r="J847" s="425"/>
      <c r="K847" s="5">
        <v>1164</v>
      </c>
      <c r="L847" s="5">
        <v>1164</v>
      </c>
      <c r="M847" s="425"/>
      <c r="N847" s="5">
        <v>1164</v>
      </c>
    </row>
    <row r="848" spans="1:14" ht="27" x14ac:dyDescent="0.3">
      <c r="A848" s="8"/>
      <c r="B848" s="8"/>
      <c r="C848" s="7" t="s">
        <v>46</v>
      </c>
      <c r="D848" s="7"/>
      <c r="E848" s="11" t="s">
        <v>45</v>
      </c>
      <c r="F848" s="5">
        <f>F849+F850</f>
        <v>2523.1999999999998</v>
      </c>
      <c r="G848" s="425"/>
      <c r="H848" s="5">
        <f>H849+H850</f>
        <v>2523.1999999999998</v>
      </c>
      <c r="I848" s="5">
        <f>I849+I850</f>
        <v>2625.9</v>
      </c>
      <c r="J848" s="425"/>
      <c r="K848" s="5">
        <f>K849+K850</f>
        <v>2625.9</v>
      </c>
      <c r="L848" s="5">
        <f>L849+L850</f>
        <v>2629</v>
      </c>
      <c r="M848" s="425"/>
      <c r="N848" s="5">
        <f>N849+N850</f>
        <v>2629</v>
      </c>
    </row>
    <row r="849" spans="1:14" ht="40.200000000000003" x14ac:dyDescent="0.3">
      <c r="A849" s="8"/>
      <c r="B849" s="8"/>
      <c r="C849" s="7"/>
      <c r="D849" s="7" t="s">
        <v>2</v>
      </c>
      <c r="E849" s="6" t="s">
        <v>1</v>
      </c>
      <c r="F849" s="175">
        <v>2465.6999999999998</v>
      </c>
      <c r="G849" s="407"/>
      <c r="H849" s="175">
        <v>2465.6999999999998</v>
      </c>
      <c r="I849" s="175">
        <v>2571.5</v>
      </c>
      <c r="J849" s="407"/>
      <c r="K849" s="175">
        <v>2571.5</v>
      </c>
      <c r="L849" s="175">
        <v>2571.5</v>
      </c>
      <c r="M849" s="407"/>
      <c r="N849" s="175">
        <v>2571.5</v>
      </c>
    </row>
    <row r="850" spans="1:14" x14ac:dyDescent="0.3">
      <c r="A850" s="8"/>
      <c r="B850" s="8"/>
      <c r="C850" s="7"/>
      <c r="D850" s="7" t="s">
        <v>12</v>
      </c>
      <c r="E850" s="6" t="s">
        <v>11</v>
      </c>
      <c r="F850" s="175">
        <v>57.5</v>
      </c>
      <c r="G850" s="407"/>
      <c r="H850" s="175">
        <v>57.5</v>
      </c>
      <c r="I850" s="175">
        <v>54.4</v>
      </c>
      <c r="J850" s="407"/>
      <c r="K850" s="175">
        <v>54.4</v>
      </c>
      <c r="L850" s="175">
        <v>57.5</v>
      </c>
      <c r="M850" s="407"/>
      <c r="N850" s="175">
        <v>57.5</v>
      </c>
    </row>
    <row r="851" spans="1:14" ht="26.4" x14ac:dyDescent="0.3">
      <c r="A851" s="24"/>
      <c r="B851" s="24"/>
      <c r="C851" s="44" t="s">
        <v>16</v>
      </c>
      <c r="D851" s="43"/>
      <c r="E851" s="42" t="s">
        <v>44</v>
      </c>
      <c r="F851" s="12">
        <f t="shared" ref="F851:N852" si="122">F852</f>
        <v>150</v>
      </c>
      <c r="G851" s="428"/>
      <c r="H851" s="12">
        <f t="shared" si="122"/>
        <v>150</v>
      </c>
      <c r="I851" s="12">
        <f t="shared" si="122"/>
        <v>0</v>
      </c>
      <c r="J851" s="428"/>
      <c r="K851" s="12">
        <f t="shared" si="122"/>
        <v>0</v>
      </c>
      <c r="L851" s="12">
        <f t="shared" si="122"/>
        <v>150</v>
      </c>
      <c r="M851" s="428"/>
      <c r="N851" s="12">
        <f t="shared" si="122"/>
        <v>150</v>
      </c>
    </row>
    <row r="852" spans="1:14" ht="27" x14ac:dyDescent="0.3">
      <c r="A852" s="8"/>
      <c r="B852" s="8"/>
      <c r="C852" s="7" t="s">
        <v>43</v>
      </c>
      <c r="D852" s="7"/>
      <c r="E852" s="6" t="s">
        <v>42</v>
      </c>
      <c r="F852" s="9">
        <f t="shared" si="122"/>
        <v>150</v>
      </c>
      <c r="G852" s="412"/>
      <c r="H852" s="9">
        <f t="shared" si="122"/>
        <v>150</v>
      </c>
      <c r="I852" s="9">
        <f t="shared" si="122"/>
        <v>0</v>
      </c>
      <c r="J852" s="412"/>
      <c r="K852" s="9">
        <f t="shared" si="122"/>
        <v>0</v>
      </c>
      <c r="L852" s="9">
        <f t="shared" si="122"/>
        <v>150</v>
      </c>
      <c r="M852" s="412"/>
      <c r="N852" s="9">
        <f t="shared" si="122"/>
        <v>150</v>
      </c>
    </row>
    <row r="853" spans="1:14" x14ac:dyDescent="0.3">
      <c r="A853" s="8"/>
      <c r="B853" s="8"/>
      <c r="C853" s="7"/>
      <c r="D853" s="7" t="s">
        <v>12</v>
      </c>
      <c r="E853" s="6" t="s">
        <v>11</v>
      </c>
      <c r="F853" s="9">
        <v>150</v>
      </c>
      <c r="G853" s="412"/>
      <c r="H853" s="9">
        <v>150</v>
      </c>
      <c r="I853" s="9">
        <v>0</v>
      </c>
      <c r="J853" s="412"/>
      <c r="K853" s="9">
        <v>0</v>
      </c>
      <c r="L853" s="9">
        <v>150</v>
      </c>
      <c r="M853" s="412"/>
      <c r="N853" s="9">
        <v>150</v>
      </c>
    </row>
    <row r="854" spans="1:14" ht="26.4" x14ac:dyDescent="0.3">
      <c r="A854" s="39">
        <v>651</v>
      </c>
      <c r="B854" s="41"/>
      <c r="C854" s="40"/>
      <c r="D854" s="39"/>
      <c r="E854" s="38" t="s">
        <v>41</v>
      </c>
      <c r="F854" s="37">
        <f t="shared" ref="F854:N854" si="123">F855</f>
        <v>41046.502240000002</v>
      </c>
      <c r="G854" s="37">
        <f t="shared" si="123"/>
        <v>302.89999999999998</v>
      </c>
      <c r="H854" s="37">
        <f t="shared" si="123"/>
        <v>41349.402239999996</v>
      </c>
      <c r="I854" s="37">
        <f t="shared" si="123"/>
        <v>39802.173309999998</v>
      </c>
      <c r="J854" s="421"/>
      <c r="K854" s="37">
        <f t="shared" si="123"/>
        <v>39802.173309999998</v>
      </c>
      <c r="L854" s="37">
        <f t="shared" si="123"/>
        <v>39714.974609999997</v>
      </c>
      <c r="M854" s="421"/>
      <c r="N854" s="37">
        <f t="shared" si="123"/>
        <v>39714.974609999997</v>
      </c>
    </row>
    <row r="855" spans="1:14" x14ac:dyDescent="0.3">
      <c r="A855" s="36"/>
      <c r="B855" s="22" t="s">
        <v>40</v>
      </c>
      <c r="C855" s="21"/>
      <c r="D855" s="20"/>
      <c r="E855" s="19" t="s">
        <v>39</v>
      </c>
      <c r="F855" s="26">
        <f>F856+F864+F869</f>
        <v>41046.502240000002</v>
      </c>
      <c r="G855" s="26">
        <f>G856+G864+G869</f>
        <v>302.89999999999998</v>
      </c>
      <c r="H855" s="26">
        <f>H856+H864+H869</f>
        <v>41349.402239999996</v>
      </c>
      <c r="I855" s="26">
        <f>I856+I864+I869</f>
        <v>39802.173309999998</v>
      </c>
      <c r="J855" s="424"/>
      <c r="K855" s="26">
        <f>K856+K864+K869</f>
        <v>39802.173309999998</v>
      </c>
      <c r="L855" s="26">
        <f>L856+L864+L869</f>
        <v>39714.974609999997</v>
      </c>
      <c r="M855" s="424"/>
      <c r="N855" s="26">
        <f>N856+N864+N869</f>
        <v>39714.974609999997</v>
      </c>
    </row>
    <row r="856" spans="1:14" ht="26.4" x14ac:dyDescent="0.3">
      <c r="A856" s="36"/>
      <c r="B856" s="22" t="s">
        <v>38</v>
      </c>
      <c r="C856" s="21"/>
      <c r="D856" s="20"/>
      <c r="E856" s="19" t="s">
        <v>37</v>
      </c>
      <c r="F856" s="26">
        <f>F857</f>
        <v>10290</v>
      </c>
      <c r="G856" s="424"/>
      <c r="H856" s="26">
        <f>H857</f>
        <v>10290</v>
      </c>
      <c r="I856" s="26">
        <f>I857</f>
        <v>10672</v>
      </c>
      <c r="J856" s="424"/>
      <c r="K856" s="26">
        <f>K857</f>
        <v>10672</v>
      </c>
      <c r="L856" s="26">
        <f>L857</f>
        <v>10705.7</v>
      </c>
      <c r="M856" s="424"/>
      <c r="N856" s="26">
        <f>N857</f>
        <v>10705.7</v>
      </c>
    </row>
    <row r="857" spans="1:14" x14ac:dyDescent="0.3">
      <c r="A857" s="36"/>
      <c r="B857" s="22"/>
      <c r="C857" s="21" t="s">
        <v>36</v>
      </c>
      <c r="D857" s="20"/>
      <c r="E857" s="19" t="s">
        <v>35</v>
      </c>
      <c r="F857" s="26">
        <f>F859</f>
        <v>10290</v>
      </c>
      <c r="G857" s="424"/>
      <c r="H857" s="26">
        <f>H859</f>
        <v>10290</v>
      </c>
      <c r="I857" s="26">
        <f>I859</f>
        <v>10672</v>
      </c>
      <c r="J857" s="424"/>
      <c r="K857" s="26">
        <f>K859</f>
        <v>10672</v>
      </c>
      <c r="L857" s="26">
        <f>L859</f>
        <v>10705.7</v>
      </c>
      <c r="M857" s="424"/>
      <c r="N857" s="26">
        <f>N859</f>
        <v>10705.7</v>
      </c>
    </row>
    <row r="858" spans="1:14" ht="26.4" x14ac:dyDescent="0.3">
      <c r="A858" s="35"/>
      <c r="B858" s="33"/>
      <c r="C858" s="34" t="s">
        <v>34</v>
      </c>
      <c r="D858" s="33"/>
      <c r="E858" s="32" t="s">
        <v>33</v>
      </c>
      <c r="F858" s="31">
        <f t="shared" ref="F858:N860" si="124">F859</f>
        <v>10290</v>
      </c>
      <c r="G858" s="423"/>
      <c r="H858" s="31">
        <f t="shared" si="124"/>
        <v>10290</v>
      </c>
      <c r="I858" s="31">
        <f t="shared" si="124"/>
        <v>10672</v>
      </c>
      <c r="J858" s="423"/>
      <c r="K858" s="31">
        <f t="shared" si="124"/>
        <v>10672</v>
      </c>
      <c r="L858" s="31">
        <f t="shared" si="124"/>
        <v>10705.7</v>
      </c>
      <c r="M858" s="423"/>
      <c r="N858" s="31">
        <f t="shared" si="124"/>
        <v>10705.7</v>
      </c>
    </row>
    <row r="859" spans="1:14" ht="27" x14ac:dyDescent="0.3">
      <c r="A859" s="30"/>
      <c r="B859" s="30"/>
      <c r="C859" s="30" t="s">
        <v>32</v>
      </c>
      <c r="D859" s="30"/>
      <c r="E859" s="29" t="s">
        <v>31</v>
      </c>
      <c r="F859" s="28">
        <f t="shared" si="124"/>
        <v>10290</v>
      </c>
      <c r="G859" s="410"/>
      <c r="H859" s="28">
        <f t="shared" si="124"/>
        <v>10290</v>
      </c>
      <c r="I859" s="28">
        <f t="shared" si="124"/>
        <v>10672</v>
      </c>
      <c r="J859" s="410"/>
      <c r="K859" s="28">
        <f t="shared" si="124"/>
        <v>10672</v>
      </c>
      <c r="L859" s="28">
        <f t="shared" si="124"/>
        <v>10705.7</v>
      </c>
      <c r="M859" s="410"/>
      <c r="N859" s="28">
        <f t="shared" si="124"/>
        <v>10705.7</v>
      </c>
    </row>
    <row r="860" spans="1:14" ht="40.200000000000003" x14ac:dyDescent="0.3">
      <c r="A860" s="153"/>
      <c r="B860" s="153"/>
      <c r="C860" s="153" t="s">
        <v>30</v>
      </c>
      <c r="D860" s="153"/>
      <c r="E860" s="154" t="s">
        <v>29</v>
      </c>
      <c r="F860" s="155">
        <f t="shared" si="124"/>
        <v>10290</v>
      </c>
      <c r="G860" s="411"/>
      <c r="H860" s="155">
        <f t="shared" si="124"/>
        <v>10290</v>
      </c>
      <c r="I860" s="155">
        <f t="shared" si="124"/>
        <v>10672</v>
      </c>
      <c r="J860" s="411"/>
      <c r="K860" s="155">
        <f t="shared" si="124"/>
        <v>10672</v>
      </c>
      <c r="L860" s="155">
        <f t="shared" si="124"/>
        <v>10705.7</v>
      </c>
      <c r="M860" s="411"/>
      <c r="N860" s="155">
        <f t="shared" si="124"/>
        <v>10705.7</v>
      </c>
    </row>
    <row r="861" spans="1:14" ht="26.4" x14ac:dyDescent="0.3">
      <c r="A861" s="8"/>
      <c r="B861" s="8"/>
      <c r="C861" s="7" t="s">
        <v>28</v>
      </c>
      <c r="D861" s="7"/>
      <c r="E861" s="10" t="s">
        <v>27</v>
      </c>
      <c r="F861" s="9">
        <f>F862+F863</f>
        <v>10290</v>
      </c>
      <c r="G861" s="412"/>
      <c r="H861" s="9">
        <f>H862+H863</f>
        <v>10290</v>
      </c>
      <c r="I861" s="9">
        <f>I862+I863</f>
        <v>10672</v>
      </c>
      <c r="J861" s="412"/>
      <c r="K861" s="9">
        <f>K862+K863</f>
        <v>10672</v>
      </c>
      <c r="L861" s="9">
        <f>L862+L863</f>
        <v>10705.7</v>
      </c>
      <c r="M861" s="412"/>
      <c r="N861" s="9">
        <f>N862+N863</f>
        <v>10705.7</v>
      </c>
    </row>
    <row r="862" spans="1:14" ht="40.200000000000003" x14ac:dyDescent="0.3">
      <c r="A862" s="8"/>
      <c r="B862" s="8"/>
      <c r="C862" s="7"/>
      <c r="D862" s="7" t="s">
        <v>2</v>
      </c>
      <c r="E862" s="6" t="s">
        <v>1</v>
      </c>
      <c r="F862" s="9">
        <v>9693.7999999999993</v>
      </c>
      <c r="G862" s="412"/>
      <c r="H862" s="9">
        <v>9693.7999999999993</v>
      </c>
      <c r="I862" s="9">
        <v>10109.5</v>
      </c>
      <c r="J862" s="412"/>
      <c r="K862" s="9">
        <v>10109.5</v>
      </c>
      <c r="L862" s="9">
        <v>10109.5</v>
      </c>
      <c r="M862" s="412"/>
      <c r="N862" s="9">
        <v>10109.5</v>
      </c>
    </row>
    <row r="863" spans="1:14" x14ac:dyDescent="0.3">
      <c r="A863" s="8"/>
      <c r="B863" s="8"/>
      <c r="C863" s="7"/>
      <c r="D863" s="7" t="s">
        <v>12</v>
      </c>
      <c r="E863" s="6" t="s">
        <v>11</v>
      </c>
      <c r="F863" s="9">
        <v>596.20000000000005</v>
      </c>
      <c r="G863" s="412"/>
      <c r="H863" s="9">
        <v>596.20000000000005</v>
      </c>
      <c r="I863" s="9">
        <v>562.5</v>
      </c>
      <c r="J863" s="412"/>
      <c r="K863" s="9">
        <v>562.5</v>
      </c>
      <c r="L863" s="9">
        <v>596.20000000000005</v>
      </c>
      <c r="M863" s="412"/>
      <c r="N863" s="9">
        <v>596.20000000000005</v>
      </c>
    </row>
    <row r="864" spans="1:14" x14ac:dyDescent="0.3">
      <c r="A864" s="8"/>
      <c r="B864" s="22" t="s">
        <v>26</v>
      </c>
      <c r="C864" s="21"/>
      <c r="D864" s="22"/>
      <c r="E864" s="27" t="s">
        <v>25</v>
      </c>
      <c r="F864" s="26">
        <f t="shared" ref="F864:N867" si="125">F865</f>
        <v>2405.6</v>
      </c>
      <c r="G864" s="26">
        <f t="shared" si="125"/>
        <v>302.89999999999998</v>
      </c>
      <c r="H864" s="26">
        <f t="shared" si="125"/>
        <v>2708.5</v>
      </c>
      <c r="I864" s="26">
        <f t="shared" si="125"/>
        <v>836.9</v>
      </c>
      <c r="J864" s="424"/>
      <c r="K864" s="26">
        <f t="shared" si="125"/>
        <v>836.9</v>
      </c>
      <c r="L864" s="26">
        <f t="shared" si="125"/>
        <v>836.9</v>
      </c>
      <c r="M864" s="424"/>
      <c r="N864" s="26">
        <f t="shared" si="125"/>
        <v>836.9</v>
      </c>
    </row>
    <row r="865" spans="1:14" s="23" customFormat="1" x14ac:dyDescent="0.3">
      <c r="A865" s="25"/>
      <c r="B865" s="25"/>
      <c r="C865" s="17" t="s">
        <v>18</v>
      </c>
      <c r="D865" s="17"/>
      <c r="E865" s="16" t="s">
        <v>17</v>
      </c>
      <c r="F865" s="15">
        <f t="shared" si="125"/>
        <v>2405.6</v>
      </c>
      <c r="G865" s="15">
        <f t="shared" si="125"/>
        <v>302.89999999999998</v>
      </c>
      <c r="H865" s="15">
        <f t="shared" si="125"/>
        <v>2708.5</v>
      </c>
      <c r="I865" s="15">
        <f t="shared" si="125"/>
        <v>836.9</v>
      </c>
      <c r="J865" s="432"/>
      <c r="K865" s="15">
        <f t="shared" si="125"/>
        <v>836.9</v>
      </c>
      <c r="L865" s="15">
        <f t="shared" si="125"/>
        <v>836.9</v>
      </c>
      <c r="M865" s="432"/>
      <c r="N865" s="15">
        <f t="shared" si="125"/>
        <v>836.9</v>
      </c>
    </row>
    <row r="866" spans="1:14" s="23" customFormat="1" ht="27" x14ac:dyDescent="0.3">
      <c r="A866" s="24"/>
      <c r="B866" s="24"/>
      <c r="C866" s="14" t="s">
        <v>16</v>
      </c>
      <c r="D866" s="14"/>
      <c r="E866" s="13" t="s">
        <v>15</v>
      </c>
      <c r="F866" s="12">
        <f t="shared" si="125"/>
        <v>2405.6</v>
      </c>
      <c r="G866" s="12">
        <f t="shared" si="125"/>
        <v>302.89999999999998</v>
      </c>
      <c r="H866" s="12">
        <f t="shared" si="125"/>
        <v>2708.5</v>
      </c>
      <c r="I866" s="12">
        <f t="shared" si="125"/>
        <v>836.9</v>
      </c>
      <c r="J866" s="428"/>
      <c r="K866" s="12">
        <f t="shared" si="125"/>
        <v>836.9</v>
      </c>
      <c r="L866" s="12">
        <f t="shared" si="125"/>
        <v>836.9</v>
      </c>
      <c r="M866" s="428"/>
      <c r="N866" s="12">
        <f t="shared" si="125"/>
        <v>836.9</v>
      </c>
    </row>
    <row r="867" spans="1:14" x14ac:dyDescent="0.3">
      <c r="A867" s="8"/>
      <c r="B867" s="8"/>
      <c r="C867" s="7" t="s">
        <v>24</v>
      </c>
      <c r="D867" s="7"/>
      <c r="E867" s="6" t="s">
        <v>23</v>
      </c>
      <c r="F867" s="9">
        <f t="shared" si="125"/>
        <v>2405.6</v>
      </c>
      <c r="G867" s="9">
        <f t="shared" si="125"/>
        <v>302.89999999999998</v>
      </c>
      <c r="H867" s="9">
        <f t="shared" si="125"/>
        <v>2708.5</v>
      </c>
      <c r="I867" s="9">
        <f t="shared" si="125"/>
        <v>836.9</v>
      </c>
      <c r="J867" s="412"/>
      <c r="K867" s="9">
        <f t="shared" si="125"/>
        <v>836.9</v>
      </c>
      <c r="L867" s="9">
        <f t="shared" si="125"/>
        <v>836.9</v>
      </c>
      <c r="M867" s="412"/>
      <c r="N867" s="9">
        <f t="shared" si="125"/>
        <v>836.9</v>
      </c>
    </row>
    <row r="868" spans="1:14" x14ac:dyDescent="0.3">
      <c r="A868" s="8"/>
      <c r="B868" s="8"/>
      <c r="C868" s="7"/>
      <c r="D868" s="7" t="s">
        <v>22</v>
      </c>
      <c r="E868" s="6" t="s">
        <v>21</v>
      </c>
      <c r="F868" s="175">
        <f>836.9+1568.7</f>
        <v>2405.6</v>
      </c>
      <c r="G868" s="407">
        <v>302.89999999999998</v>
      </c>
      <c r="H868" s="175">
        <f>836.9+1568.7+302.9</f>
        <v>2708.5</v>
      </c>
      <c r="I868" s="175">
        <v>836.9</v>
      </c>
      <c r="J868" s="407"/>
      <c r="K868" s="175">
        <v>836.9</v>
      </c>
      <c r="L868" s="175">
        <v>836.9</v>
      </c>
      <c r="M868" s="407"/>
      <c r="N868" s="175">
        <v>836.9</v>
      </c>
    </row>
    <row r="869" spans="1:14" x14ac:dyDescent="0.3">
      <c r="A869" s="20"/>
      <c r="B869" s="22" t="s">
        <v>20</v>
      </c>
      <c r="C869" s="21"/>
      <c r="D869" s="20"/>
      <c r="E869" s="19" t="s">
        <v>19</v>
      </c>
      <c r="F869" s="18">
        <f t="shared" ref="F869:L869" si="126">F870+F900</f>
        <v>28350.902239999999</v>
      </c>
      <c r="G869" s="429"/>
      <c r="H869" s="18">
        <f>H870+H900</f>
        <v>28350.902239999999</v>
      </c>
      <c r="I869" s="18">
        <f t="shared" si="126"/>
        <v>28293.273309999997</v>
      </c>
      <c r="J869" s="429"/>
      <c r="K869" s="18">
        <f>K870+K900</f>
        <v>28293.273309999997</v>
      </c>
      <c r="L869" s="18">
        <f t="shared" si="126"/>
        <v>28172.374609999999</v>
      </c>
      <c r="M869" s="429"/>
      <c r="N869" s="18">
        <f>N870+N900</f>
        <v>28172.374609999999</v>
      </c>
    </row>
    <row r="870" spans="1:14" x14ac:dyDescent="0.3">
      <c r="A870" s="17"/>
      <c r="B870" s="17"/>
      <c r="C870" s="17" t="s">
        <v>18</v>
      </c>
      <c r="D870" s="17"/>
      <c r="E870" s="16" t="s">
        <v>17</v>
      </c>
      <c r="F870" s="15">
        <f t="shared" ref="F870:N870" si="127">F871</f>
        <v>28350.902239999999</v>
      </c>
      <c r="G870" s="432"/>
      <c r="H870" s="15">
        <f t="shared" si="127"/>
        <v>28350.902239999999</v>
      </c>
      <c r="I870" s="15">
        <f t="shared" si="127"/>
        <v>28293.273309999997</v>
      </c>
      <c r="J870" s="432"/>
      <c r="K870" s="15">
        <f t="shared" si="127"/>
        <v>28293.273309999997</v>
      </c>
      <c r="L870" s="15">
        <f t="shared" si="127"/>
        <v>28172.374609999999</v>
      </c>
      <c r="M870" s="432"/>
      <c r="N870" s="15">
        <f t="shared" si="127"/>
        <v>28172.374609999999</v>
      </c>
    </row>
    <row r="871" spans="1:14" ht="27" x14ac:dyDescent="0.3">
      <c r="A871" s="14"/>
      <c r="B871" s="14"/>
      <c r="C871" s="14" t="s">
        <v>16</v>
      </c>
      <c r="D871" s="14"/>
      <c r="E871" s="13" t="s">
        <v>15</v>
      </c>
      <c r="F871" s="12">
        <f t="shared" ref="F871:L871" si="128">F872+F875+F877+F879+F881</f>
        <v>28350.902239999999</v>
      </c>
      <c r="G871" s="428"/>
      <c r="H871" s="12">
        <f>H872+H875+H877+H879+H881</f>
        <v>28350.902239999999</v>
      </c>
      <c r="I871" s="12">
        <f t="shared" si="128"/>
        <v>28293.273309999997</v>
      </c>
      <c r="J871" s="428"/>
      <c r="K871" s="12">
        <f>K872+K875+K877+K879+K881</f>
        <v>28293.273309999997</v>
      </c>
      <c r="L871" s="12">
        <f t="shared" si="128"/>
        <v>28172.374609999999</v>
      </c>
      <c r="M871" s="428"/>
      <c r="N871" s="12">
        <f>N872+N875+N877+N879+N881</f>
        <v>28172.374609999999</v>
      </c>
    </row>
    <row r="872" spans="1:14" ht="18.75" customHeight="1" x14ac:dyDescent="0.3">
      <c r="A872" s="8"/>
      <c r="B872" s="8"/>
      <c r="C872" s="7" t="s">
        <v>14</v>
      </c>
      <c r="D872" s="7"/>
      <c r="E872" s="11" t="s">
        <v>13</v>
      </c>
      <c r="F872" s="9">
        <f t="shared" ref="F872:L872" si="129">F873+F874</f>
        <v>20725.899999999998</v>
      </c>
      <c r="G872" s="412"/>
      <c r="H872" s="9">
        <f>H873+H874</f>
        <v>20725.899999999998</v>
      </c>
      <c r="I872" s="9">
        <f t="shared" si="129"/>
        <v>20864</v>
      </c>
      <c r="J872" s="412"/>
      <c r="K872" s="9">
        <f>K873+K874</f>
        <v>20864</v>
      </c>
      <c r="L872" s="9">
        <f t="shared" si="129"/>
        <v>20916.099999999999</v>
      </c>
      <c r="M872" s="412"/>
      <c r="N872" s="9">
        <f>N873+N874</f>
        <v>20916.099999999999</v>
      </c>
    </row>
    <row r="873" spans="1:14" ht="40.200000000000003" x14ac:dyDescent="0.3">
      <c r="A873" s="8"/>
      <c r="B873" s="8"/>
      <c r="C873" s="7"/>
      <c r="D873" s="7" t="s">
        <v>2</v>
      </c>
      <c r="E873" s="6" t="s">
        <v>1</v>
      </c>
      <c r="F873" s="175">
        <f>19619.8+120.8</f>
        <v>19740.599999999999</v>
      </c>
      <c r="G873" s="407"/>
      <c r="H873" s="175">
        <f>19619.8+120.8</f>
        <v>19740.599999999999</v>
      </c>
      <c r="I873" s="248">
        <v>19966.5</v>
      </c>
      <c r="J873" s="407"/>
      <c r="K873" s="248">
        <v>19966.5</v>
      </c>
      <c r="L873" s="248">
        <v>19966.5</v>
      </c>
      <c r="M873" s="407"/>
      <c r="N873" s="248">
        <v>19966.5</v>
      </c>
    </row>
    <row r="874" spans="1:14" x14ac:dyDescent="0.3">
      <c r="A874" s="8"/>
      <c r="B874" s="8"/>
      <c r="C874" s="7"/>
      <c r="D874" s="7" t="s">
        <v>12</v>
      </c>
      <c r="E874" s="6" t="s">
        <v>11</v>
      </c>
      <c r="F874" s="175">
        <v>985.3</v>
      </c>
      <c r="G874" s="407"/>
      <c r="H874" s="175">
        <v>985.3</v>
      </c>
      <c r="I874" s="175">
        <v>897.5</v>
      </c>
      <c r="J874" s="407"/>
      <c r="K874" s="175">
        <v>897.5</v>
      </c>
      <c r="L874" s="175">
        <v>949.6</v>
      </c>
      <c r="M874" s="407"/>
      <c r="N874" s="175">
        <v>949.6</v>
      </c>
    </row>
    <row r="875" spans="1:14" ht="40.200000000000003" x14ac:dyDescent="0.3">
      <c r="A875" s="8"/>
      <c r="B875" s="8"/>
      <c r="C875" s="7" t="s">
        <v>10</v>
      </c>
      <c r="D875" s="7"/>
      <c r="E875" s="6" t="s">
        <v>9</v>
      </c>
      <c r="F875" s="9">
        <f>F876</f>
        <v>122.9</v>
      </c>
      <c r="G875" s="412"/>
      <c r="H875" s="9">
        <f>H876</f>
        <v>122.9</v>
      </c>
      <c r="I875" s="9">
        <f>I876</f>
        <v>113.6</v>
      </c>
      <c r="J875" s="412"/>
      <c r="K875" s="9">
        <f>K876</f>
        <v>113.6</v>
      </c>
      <c r="L875" s="9">
        <f>L876</f>
        <v>116.9</v>
      </c>
      <c r="M875" s="412"/>
      <c r="N875" s="9">
        <f>N876</f>
        <v>116.9</v>
      </c>
    </row>
    <row r="876" spans="1:14" ht="40.200000000000003" x14ac:dyDescent="0.3">
      <c r="A876" s="8"/>
      <c r="B876" s="8"/>
      <c r="C876" s="7"/>
      <c r="D876" s="7" t="s">
        <v>2</v>
      </c>
      <c r="E876" s="6" t="s">
        <v>1</v>
      </c>
      <c r="F876" s="9">
        <v>122.9</v>
      </c>
      <c r="G876" s="412"/>
      <c r="H876" s="9">
        <v>122.9</v>
      </c>
      <c r="I876" s="9">
        <v>113.6</v>
      </c>
      <c r="J876" s="412"/>
      <c r="K876" s="9">
        <v>113.6</v>
      </c>
      <c r="L876" s="9">
        <v>116.9</v>
      </c>
      <c r="M876" s="412"/>
      <c r="N876" s="9">
        <v>116.9</v>
      </c>
    </row>
    <row r="877" spans="1:14" ht="26.4" x14ac:dyDescent="0.3">
      <c r="A877" s="8"/>
      <c r="B877" s="8"/>
      <c r="C877" s="7" t="s">
        <v>8</v>
      </c>
      <c r="D877" s="7"/>
      <c r="E877" s="10" t="s">
        <v>7</v>
      </c>
      <c r="F877" s="5">
        <f>F878</f>
        <v>101.11799999999999</v>
      </c>
      <c r="G877" s="425"/>
      <c r="H877" s="5">
        <f>H878</f>
        <v>101.11799999999999</v>
      </c>
      <c r="I877" s="5">
        <f>I878</f>
        <v>107.849</v>
      </c>
      <c r="J877" s="425"/>
      <c r="K877" s="5">
        <f>K878</f>
        <v>107.849</v>
      </c>
      <c r="L877" s="5">
        <f>L878</f>
        <v>110.438</v>
      </c>
      <c r="M877" s="425"/>
      <c r="N877" s="5">
        <f>N878</f>
        <v>110.438</v>
      </c>
    </row>
    <row r="878" spans="1:14" ht="40.200000000000003" x14ac:dyDescent="0.3">
      <c r="A878" s="8"/>
      <c r="B878" s="8"/>
      <c r="C878" s="7"/>
      <c r="D878" s="7" t="s">
        <v>2</v>
      </c>
      <c r="E878" s="6" t="s">
        <v>1</v>
      </c>
      <c r="F878" s="175">
        <v>101.11799999999999</v>
      </c>
      <c r="G878" s="407"/>
      <c r="H878" s="175">
        <v>101.11799999999999</v>
      </c>
      <c r="I878" s="175">
        <v>107.849</v>
      </c>
      <c r="J878" s="407"/>
      <c r="K878" s="175">
        <v>107.849</v>
      </c>
      <c r="L878" s="175">
        <v>110.438</v>
      </c>
      <c r="M878" s="407"/>
      <c r="N878" s="175">
        <v>110.438</v>
      </c>
    </row>
    <row r="879" spans="1:14" ht="40.200000000000003" x14ac:dyDescent="0.3">
      <c r="A879" s="8"/>
      <c r="B879" s="8"/>
      <c r="C879" s="7" t="s">
        <v>6</v>
      </c>
      <c r="D879" s="7"/>
      <c r="E879" s="6" t="s">
        <v>5</v>
      </c>
      <c r="F879" s="9">
        <f>F880</f>
        <v>7134.8892400000004</v>
      </c>
      <c r="G879" s="412"/>
      <c r="H879" s="9">
        <f>H880</f>
        <v>7134.8892400000004</v>
      </c>
      <c r="I879" s="9">
        <f>I880</f>
        <v>6941.7293100000006</v>
      </c>
      <c r="J879" s="412"/>
      <c r="K879" s="9">
        <f>K880</f>
        <v>6941.7293100000006</v>
      </c>
      <c r="L879" s="9">
        <f>L880</f>
        <v>6762.8416099999995</v>
      </c>
      <c r="M879" s="412"/>
      <c r="N879" s="9">
        <f>N880</f>
        <v>6762.8416099999995</v>
      </c>
    </row>
    <row r="880" spans="1:14" ht="40.200000000000003" x14ac:dyDescent="0.3">
      <c r="A880" s="8"/>
      <c r="B880" s="8"/>
      <c r="C880" s="7"/>
      <c r="D880" s="7" t="s">
        <v>2</v>
      </c>
      <c r="E880" s="6" t="s">
        <v>1</v>
      </c>
      <c r="F880" s="175">
        <f>2483.9144+4650.97484</f>
        <v>7134.8892400000004</v>
      </c>
      <c r="G880" s="407"/>
      <c r="H880" s="175">
        <f>2483.9144+4650.97484</f>
        <v>7134.8892400000004</v>
      </c>
      <c r="I880" s="175">
        <f>2372.5592+4569.17011</f>
        <v>6941.7293100000006</v>
      </c>
      <c r="J880" s="407"/>
      <c r="K880" s="175">
        <f>2372.5592+4569.17011</f>
        <v>6941.7293100000006</v>
      </c>
      <c r="L880" s="175">
        <f>2342.9274+4419.91421</f>
        <v>6762.8416099999995</v>
      </c>
      <c r="M880" s="407"/>
      <c r="N880" s="175">
        <f>2342.9274+4419.91421</f>
        <v>6762.8416099999995</v>
      </c>
    </row>
    <row r="881" spans="1:14" ht="53.4" x14ac:dyDescent="0.3">
      <c r="A881" s="8"/>
      <c r="B881" s="86"/>
      <c r="C881" s="7" t="s">
        <v>4</v>
      </c>
      <c r="D881" s="7"/>
      <c r="E881" s="6" t="s">
        <v>3</v>
      </c>
      <c r="F881" s="9">
        <f>F882</f>
        <v>266.09500000000003</v>
      </c>
      <c r="G881" s="412"/>
      <c r="H881" s="9">
        <f>H882</f>
        <v>266.09500000000003</v>
      </c>
      <c r="I881" s="9">
        <f>I882</f>
        <v>266.09500000000003</v>
      </c>
      <c r="J881" s="412"/>
      <c r="K881" s="9">
        <f>K882</f>
        <v>266.09500000000003</v>
      </c>
      <c r="L881" s="9">
        <f>L882</f>
        <v>266.09500000000003</v>
      </c>
      <c r="M881" s="412"/>
      <c r="N881" s="9">
        <f>N882</f>
        <v>266.09500000000003</v>
      </c>
    </row>
    <row r="882" spans="1:14" ht="40.200000000000003" x14ac:dyDescent="0.3">
      <c r="A882" s="8"/>
      <c r="B882" s="86"/>
      <c r="C882" s="7"/>
      <c r="D882" s="7" t="s">
        <v>2</v>
      </c>
      <c r="E882" s="6" t="s">
        <v>1</v>
      </c>
      <c r="F882" s="176">
        <v>266.09500000000003</v>
      </c>
      <c r="G882" s="408"/>
      <c r="H882" s="176">
        <v>266.09500000000003</v>
      </c>
      <c r="I882" s="176">
        <v>266.09500000000003</v>
      </c>
      <c r="J882" s="408"/>
      <c r="K882" s="176">
        <v>266.09500000000003</v>
      </c>
      <c r="L882" s="176">
        <v>266.09500000000003</v>
      </c>
      <c r="M882" s="408"/>
      <c r="N882" s="176">
        <v>266.09500000000003</v>
      </c>
    </row>
    <row r="883" spans="1:14" x14ac:dyDescent="0.3">
      <c r="A883" s="4"/>
      <c r="B883" s="4"/>
      <c r="C883" s="4"/>
      <c r="D883" s="4"/>
      <c r="E883" s="3" t="s">
        <v>0</v>
      </c>
      <c r="F883" s="2">
        <f t="shared" ref="F883:L883" si="130">SUM(F854+F841+F721+F526+F11)</f>
        <v>1451721.9516099999</v>
      </c>
      <c r="G883" s="2">
        <f t="shared" si="130"/>
        <v>5763.9041499999994</v>
      </c>
      <c r="H883" s="2">
        <f t="shared" si="130"/>
        <v>1457485.8557600002</v>
      </c>
      <c r="I883" s="2">
        <f t="shared" si="130"/>
        <v>1067444.3052400001</v>
      </c>
      <c r="J883" s="2">
        <f t="shared" si="130"/>
        <v>1398.43055</v>
      </c>
      <c r="K883" s="2">
        <f t="shared" si="130"/>
        <v>1068842.7357900003</v>
      </c>
      <c r="L883" s="2">
        <f t="shared" si="130"/>
        <v>1030631.36107</v>
      </c>
      <c r="M883" s="440"/>
      <c r="N883" s="2">
        <f>SUM(N854+N841+N721+N526+N11)</f>
        <v>1030631.36107</v>
      </c>
    </row>
    <row r="884" spans="1:14" ht="15" x14ac:dyDescent="0.25">
      <c r="F884" s="251"/>
      <c r="G884" s="251"/>
      <c r="H884" s="251"/>
      <c r="I884" s="251"/>
      <c r="J884" s="251"/>
      <c r="K884" s="251"/>
      <c r="L884" s="251"/>
      <c r="M884" s="251"/>
      <c r="N884" s="251"/>
    </row>
    <row r="885" spans="1:14" ht="15" x14ac:dyDescent="0.25">
      <c r="F885" s="251">
        <f>F883-'приложение 1'!D600</f>
        <v>0</v>
      </c>
      <c r="G885" s="251">
        <f>G883-'приложение 1'!E600</f>
        <v>0</v>
      </c>
      <c r="H885" s="251">
        <f>H883-'приложение 1'!F600</f>
        <v>0</v>
      </c>
      <c r="I885" s="251">
        <f>I883-'приложение 1'!G600</f>
        <v>0</v>
      </c>
      <c r="J885" s="251">
        <f>J883-'приложение 1'!H600</f>
        <v>0</v>
      </c>
      <c r="K885" s="251">
        <f>K883-'приложение 1'!I600</f>
        <v>0</v>
      </c>
      <c r="L885" s="251">
        <f>L883-'приложение 1'!J600</f>
        <v>0</v>
      </c>
    </row>
    <row r="886" spans="1:14" ht="15" x14ac:dyDescent="0.25">
      <c r="I886" s="360"/>
      <c r="J886" s="360"/>
      <c r="K886" s="360"/>
      <c r="L886" s="360"/>
      <c r="M886" s="360"/>
      <c r="N886" s="360"/>
    </row>
  </sheetData>
  <autoFilter ref="A9:I883"/>
  <mergeCells count="6">
    <mergeCell ref="A7:L7"/>
    <mergeCell ref="K1:L1"/>
    <mergeCell ref="K2:L2"/>
    <mergeCell ref="K3:L3"/>
    <mergeCell ref="K4:L4"/>
    <mergeCell ref="K5:L5"/>
  </mergeCells>
  <pageMargins left="1.1023622047244095" right="0.31496062992125984" top="0.74803149606299213" bottom="0.74803149606299213" header="0.31496062992125984" footer="0.31496062992125984"/>
  <pageSetup paperSize="9" scale="4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R107"/>
  <sheetViews>
    <sheetView view="pageBreakPreview" topLeftCell="B1" zoomScale="60" zoomScaleNormal="85" workbookViewId="0">
      <selection activeCell="J12" sqref="J12"/>
    </sheetView>
  </sheetViews>
  <sheetFormatPr defaultRowHeight="14.4" x14ac:dyDescent="0.3"/>
  <cols>
    <col min="1" max="1" width="8.6640625" customWidth="1"/>
    <col min="2" max="2" width="68.88671875" customWidth="1"/>
    <col min="3" max="3" width="16.44140625" customWidth="1"/>
    <col min="4" max="4" width="16.88671875" customWidth="1"/>
    <col min="5" max="5" width="15.88671875" customWidth="1"/>
    <col min="6" max="6" width="16.6640625" customWidth="1"/>
    <col min="7" max="8" width="17" customWidth="1"/>
    <col min="9" max="9" width="17.88671875" customWidth="1"/>
    <col min="10" max="10" width="14.5546875" customWidth="1"/>
    <col min="11" max="11" width="17.5546875" customWidth="1"/>
    <col min="12" max="12" width="17.109375" customWidth="1"/>
    <col min="13" max="13" width="15.6640625" customWidth="1"/>
    <col min="14" max="16" width="14" bestFit="1" customWidth="1"/>
    <col min="259" max="259" width="8.6640625" customWidth="1"/>
    <col min="260" max="260" width="53.44140625" customWidth="1"/>
    <col min="261" max="261" width="15.6640625" customWidth="1"/>
    <col min="262" max="262" width="15.88671875" customWidth="1"/>
    <col min="263" max="263" width="15.5546875" customWidth="1"/>
    <col min="264" max="264" width="17" customWidth="1"/>
    <col min="265" max="265" width="17.88671875" customWidth="1"/>
    <col min="266" max="266" width="14.5546875" customWidth="1"/>
    <col min="267" max="267" width="15.109375" customWidth="1"/>
    <col min="268" max="268" width="17.109375" customWidth="1"/>
    <col min="269" max="269" width="15.6640625" customWidth="1"/>
    <col min="270" max="270" width="13.5546875" bestFit="1" customWidth="1"/>
    <col min="515" max="515" width="8.6640625" customWidth="1"/>
    <col min="516" max="516" width="53.44140625" customWidth="1"/>
    <col min="517" max="517" width="15.6640625" customWidth="1"/>
    <col min="518" max="518" width="15.88671875" customWidth="1"/>
    <col min="519" max="519" width="15.5546875" customWidth="1"/>
    <col min="520" max="520" width="17" customWidth="1"/>
    <col min="521" max="521" width="17.88671875" customWidth="1"/>
    <col min="522" max="522" width="14.5546875" customWidth="1"/>
    <col min="523" max="523" width="15.109375" customWidth="1"/>
    <col min="524" max="524" width="17.109375" customWidth="1"/>
    <col min="525" max="525" width="15.6640625" customWidth="1"/>
    <col min="526" max="526" width="13.5546875" bestFit="1" customWidth="1"/>
    <col min="771" max="771" width="8.6640625" customWidth="1"/>
    <col min="772" max="772" width="53.44140625" customWidth="1"/>
    <col min="773" max="773" width="15.6640625" customWidth="1"/>
    <col min="774" max="774" width="15.88671875" customWidth="1"/>
    <col min="775" max="775" width="15.5546875" customWidth="1"/>
    <col min="776" max="776" width="17" customWidth="1"/>
    <col min="777" max="777" width="17.88671875" customWidth="1"/>
    <col min="778" max="778" width="14.5546875" customWidth="1"/>
    <col min="779" max="779" width="15.109375" customWidth="1"/>
    <col min="780" max="780" width="17.109375" customWidth="1"/>
    <col min="781" max="781" width="15.6640625" customWidth="1"/>
    <col min="782" max="782" width="13.5546875" bestFit="1" customWidth="1"/>
    <col min="1027" max="1027" width="8.6640625" customWidth="1"/>
    <col min="1028" max="1028" width="53.44140625" customWidth="1"/>
    <col min="1029" max="1029" width="15.6640625" customWidth="1"/>
    <col min="1030" max="1030" width="15.88671875" customWidth="1"/>
    <col min="1031" max="1031" width="15.5546875" customWidth="1"/>
    <col min="1032" max="1032" width="17" customWidth="1"/>
    <col min="1033" max="1033" width="17.88671875" customWidth="1"/>
    <col min="1034" max="1034" width="14.5546875" customWidth="1"/>
    <col min="1035" max="1035" width="15.109375" customWidth="1"/>
    <col min="1036" max="1036" width="17.109375" customWidth="1"/>
    <col min="1037" max="1037" width="15.6640625" customWidth="1"/>
    <col min="1038" max="1038" width="13.5546875" bestFit="1" customWidth="1"/>
    <col min="1283" max="1283" width="8.6640625" customWidth="1"/>
    <col min="1284" max="1284" width="53.44140625" customWidth="1"/>
    <col min="1285" max="1285" width="15.6640625" customWidth="1"/>
    <col min="1286" max="1286" width="15.88671875" customWidth="1"/>
    <col min="1287" max="1287" width="15.5546875" customWidth="1"/>
    <col min="1288" max="1288" width="17" customWidth="1"/>
    <col min="1289" max="1289" width="17.88671875" customWidth="1"/>
    <col min="1290" max="1290" width="14.5546875" customWidth="1"/>
    <col min="1291" max="1291" width="15.109375" customWidth="1"/>
    <col min="1292" max="1292" width="17.109375" customWidth="1"/>
    <col min="1293" max="1293" width="15.6640625" customWidth="1"/>
    <col min="1294" max="1294" width="13.5546875" bestFit="1" customWidth="1"/>
    <col min="1539" max="1539" width="8.6640625" customWidth="1"/>
    <col min="1540" max="1540" width="53.44140625" customWidth="1"/>
    <col min="1541" max="1541" width="15.6640625" customWidth="1"/>
    <col min="1542" max="1542" width="15.88671875" customWidth="1"/>
    <col min="1543" max="1543" width="15.5546875" customWidth="1"/>
    <col min="1544" max="1544" width="17" customWidth="1"/>
    <col min="1545" max="1545" width="17.88671875" customWidth="1"/>
    <col min="1546" max="1546" width="14.5546875" customWidth="1"/>
    <col min="1547" max="1547" width="15.109375" customWidth="1"/>
    <col min="1548" max="1548" width="17.109375" customWidth="1"/>
    <col min="1549" max="1549" width="15.6640625" customWidth="1"/>
    <col min="1550" max="1550" width="13.5546875" bestFit="1" customWidth="1"/>
    <col min="1795" max="1795" width="8.6640625" customWidth="1"/>
    <col min="1796" max="1796" width="53.44140625" customWidth="1"/>
    <col min="1797" max="1797" width="15.6640625" customWidth="1"/>
    <col min="1798" max="1798" width="15.88671875" customWidth="1"/>
    <col min="1799" max="1799" width="15.5546875" customWidth="1"/>
    <col min="1800" max="1800" width="17" customWidth="1"/>
    <col min="1801" max="1801" width="17.88671875" customWidth="1"/>
    <col min="1802" max="1802" width="14.5546875" customWidth="1"/>
    <col min="1803" max="1803" width="15.109375" customWidth="1"/>
    <col min="1804" max="1804" width="17.109375" customWidth="1"/>
    <col min="1805" max="1805" width="15.6640625" customWidth="1"/>
    <col min="1806" max="1806" width="13.5546875" bestFit="1" customWidth="1"/>
    <col min="2051" max="2051" width="8.6640625" customWidth="1"/>
    <col min="2052" max="2052" width="53.44140625" customWidth="1"/>
    <col min="2053" max="2053" width="15.6640625" customWidth="1"/>
    <col min="2054" max="2054" width="15.88671875" customWidth="1"/>
    <col min="2055" max="2055" width="15.5546875" customWidth="1"/>
    <col min="2056" max="2056" width="17" customWidth="1"/>
    <col min="2057" max="2057" width="17.88671875" customWidth="1"/>
    <col min="2058" max="2058" width="14.5546875" customWidth="1"/>
    <col min="2059" max="2059" width="15.109375" customWidth="1"/>
    <col min="2060" max="2060" width="17.109375" customWidth="1"/>
    <col min="2061" max="2061" width="15.6640625" customWidth="1"/>
    <col min="2062" max="2062" width="13.5546875" bestFit="1" customWidth="1"/>
    <col min="2307" max="2307" width="8.6640625" customWidth="1"/>
    <col min="2308" max="2308" width="53.44140625" customWidth="1"/>
    <col min="2309" max="2309" width="15.6640625" customWidth="1"/>
    <col min="2310" max="2310" width="15.88671875" customWidth="1"/>
    <col min="2311" max="2311" width="15.5546875" customWidth="1"/>
    <col min="2312" max="2312" width="17" customWidth="1"/>
    <col min="2313" max="2313" width="17.88671875" customWidth="1"/>
    <col min="2314" max="2314" width="14.5546875" customWidth="1"/>
    <col min="2315" max="2315" width="15.109375" customWidth="1"/>
    <col min="2316" max="2316" width="17.109375" customWidth="1"/>
    <col min="2317" max="2317" width="15.6640625" customWidth="1"/>
    <col min="2318" max="2318" width="13.5546875" bestFit="1" customWidth="1"/>
    <col min="2563" max="2563" width="8.6640625" customWidth="1"/>
    <col min="2564" max="2564" width="53.44140625" customWidth="1"/>
    <col min="2565" max="2565" width="15.6640625" customWidth="1"/>
    <col min="2566" max="2566" width="15.88671875" customWidth="1"/>
    <col min="2567" max="2567" width="15.5546875" customWidth="1"/>
    <col min="2568" max="2568" width="17" customWidth="1"/>
    <col min="2569" max="2569" width="17.88671875" customWidth="1"/>
    <col min="2570" max="2570" width="14.5546875" customWidth="1"/>
    <col min="2571" max="2571" width="15.109375" customWidth="1"/>
    <col min="2572" max="2572" width="17.109375" customWidth="1"/>
    <col min="2573" max="2573" width="15.6640625" customWidth="1"/>
    <col min="2574" max="2574" width="13.5546875" bestFit="1" customWidth="1"/>
    <col min="2819" max="2819" width="8.6640625" customWidth="1"/>
    <col min="2820" max="2820" width="53.44140625" customWidth="1"/>
    <col min="2821" max="2821" width="15.6640625" customWidth="1"/>
    <col min="2822" max="2822" width="15.88671875" customWidth="1"/>
    <col min="2823" max="2823" width="15.5546875" customWidth="1"/>
    <col min="2824" max="2824" width="17" customWidth="1"/>
    <col min="2825" max="2825" width="17.88671875" customWidth="1"/>
    <col min="2826" max="2826" width="14.5546875" customWidth="1"/>
    <col min="2827" max="2827" width="15.109375" customWidth="1"/>
    <col min="2828" max="2828" width="17.109375" customWidth="1"/>
    <col min="2829" max="2829" width="15.6640625" customWidth="1"/>
    <col min="2830" max="2830" width="13.5546875" bestFit="1" customWidth="1"/>
    <col min="3075" max="3075" width="8.6640625" customWidth="1"/>
    <col min="3076" max="3076" width="53.44140625" customWidth="1"/>
    <col min="3077" max="3077" width="15.6640625" customWidth="1"/>
    <col min="3078" max="3078" width="15.88671875" customWidth="1"/>
    <col min="3079" max="3079" width="15.5546875" customWidth="1"/>
    <col min="3080" max="3080" width="17" customWidth="1"/>
    <col min="3081" max="3081" width="17.88671875" customWidth="1"/>
    <col min="3082" max="3082" width="14.5546875" customWidth="1"/>
    <col min="3083" max="3083" width="15.109375" customWidth="1"/>
    <col min="3084" max="3084" width="17.109375" customWidth="1"/>
    <col min="3085" max="3085" width="15.6640625" customWidth="1"/>
    <col min="3086" max="3086" width="13.5546875" bestFit="1" customWidth="1"/>
    <col min="3331" max="3331" width="8.6640625" customWidth="1"/>
    <col min="3332" max="3332" width="53.44140625" customWidth="1"/>
    <col min="3333" max="3333" width="15.6640625" customWidth="1"/>
    <col min="3334" max="3334" width="15.88671875" customWidth="1"/>
    <col min="3335" max="3335" width="15.5546875" customWidth="1"/>
    <col min="3336" max="3336" width="17" customWidth="1"/>
    <col min="3337" max="3337" width="17.88671875" customWidth="1"/>
    <col min="3338" max="3338" width="14.5546875" customWidth="1"/>
    <col min="3339" max="3339" width="15.109375" customWidth="1"/>
    <col min="3340" max="3340" width="17.109375" customWidth="1"/>
    <col min="3341" max="3341" width="15.6640625" customWidth="1"/>
    <col min="3342" max="3342" width="13.5546875" bestFit="1" customWidth="1"/>
    <col min="3587" max="3587" width="8.6640625" customWidth="1"/>
    <col min="3588" max="3588" width="53.44140625" customWidth="1"/>
    <col min="3589" max="3589" width="15.6640625" customWidth="1"/>
    <col min="3590" max="3590" width="15.88671875" customWidth="1"/>
    <col min="3591" max="3591" width="15.5546875" customWidth="1"/>
    <col min="3592" max="3592" width="17" customWidth="1"/>
    <col min="3593" max="3593" width="17.88671875" customWidth="1"/>
    <col min="3594" max="3594" width="14.5546875" customWidth="1"/>
    <col min="3595" max="3595" width="15.109375" customWidth="1"/>
    <col min="3596" max="3596" width="17.109375" customWidth="1"/>
    <col min="3597" max="3597" width="15.6640625" customWidth="1"/>
    <col min="3598" max="3598" width="13.5546875" bestFit="1" customWidth="1"/>
    <col min="3843" max="3843" width="8.6640625" customWidth="1"/>
    <col min="3844" max="3844" width="53.44140625" customWidth="1"/>
    <col min="3845" max="3845" width="15.6640625" customWidth="1"/>
    <col min="3846" max="3846" width="15.88671875" customWidth="1"/>
    <col min="3847" max="3847" width="15.5546875" customWidth="1"/>
    <col min="3848" max="3848" width="17" customWidth="1"/>
    <col min="3849" max="3849" width="17.88671875" customWidth="1"/>
    <col min="3850" max="3850" width="14.5546875" customWidth="1"/>
    <col min="3851" max="3851" width="15.109375" customWidth="1"/>
    <col min="3852" max="3852" width="17.109375" customWidth="1"/>
    <col min="3853" max="3853" width="15.6640625" customWidth="1"/>
    <col min="3854" max="3854" width="13.5546875" bestFit="1" customWidth="1"/>
    <col min="4099" max="4099" width="8.6640625" customWidth="1"/>
    <col min="4100" max="4100" width="53.44140625" customWidth="1"/>
    <col min="4101" max="4101" width="15.6640625" customWidth="1"/>
    <col min="4102" max="4102" width="15.88671875" customWidth="1"/>
    <col min="4103" max="4103" width="15.5546875" customWidth="1"/>
    <col min="4104" max="4104" width="17" customWidth="1"/>
    <col min="4105" max="4105" width="17.88671875" customWidth="1"/>
    <col min="4106" max="4106" width="14.5546875" customWidth="1"/>
    <col min="4107" max="4107" width="15.109375" customWidth="1"/>
    <col min="4108" max="4108" width="17.109375" customWidth="1"/>
    <col min="4109" max="4109" width="15.6640625" customWidth="1"/>
    <col min="4110" max="4110" width="13.5546875" bestFit="1" customWidth="1"/>
    <col min="4355" max="4355" width="8.6640625" customWidth="1"/>
    <col min="4356" max="4356" width="53.44140625" customWidth="1"/>
    <col min="4357" max="4357" width="15.6640625" customWidth="1"/>
    <col min="4358" max="4358" width="15.88671875" customWidth="1"/>
    <col min="4359" max="4359" width="15.5546875" customWidth="1"/>
    <col min="4360" max="4360" width="17" customWidth="1"/>
    <col min="4361" max="4361" width="17.88671875" customWidth="1"/>
    <col min="4362" max="4362" width="14.5546875" customWidth="1"/>
    <col min="4363" max="4363" width="15.109375" customWidth="1"/>
    <col min="4364" max="4364" width="17.109375" customWidth="1"/>
    <col min="4365" max="4365" width="15.6640625" customWidth="1"/>
    <col min="4366" max="4366" width="13.5546875" bestFit="1" customWidth="1"/>
    <col min="4611" max="4611" width="8.6640625" customWidth="1"/>
    <col min="4612" max="4612" width="53.44140625" customWidth="1"/>
    <col min="4613" max="4613" width="15.6640625" customWidth="1"/>
    <col min="4614" max="4614" width="15.88671875" customWidth="1"/>
    <col min="4615" max="4615" width="15.5546875" customWidth="1"/>
    <col min="4616" max="4616" width="17" customWidth="1"/>
    <col min="4617" max="4617" width="17.88671875" customWidth="1"/>
    <col min="4618" max="4618" width="14.5546875" customWidth="1"/>
    <col min="4619" max="4619" width="15.109375" customWidth="1"/>
    <col min="4620" max="4620" width="17.109375" customWidth="1"/>
    <col min="4621" max="4621" width="15.6640625" customWidth="1"/>
    <col min="4622" max="4622" width="13.5546875" bestFit="1" customWidth="1"/>
    <col min="4867" max="4867" width="8.6640625" customWidth="1"/>
    <col min="4868" max="4868" width="53.44140625" customWidth="1"/>
    <col min="4869" max="4869" width="15.6640625" customWidth="1"/>
    <col min="4870" max="4870" width="15.88671875" customWidth="1"/>
    <col min="4871" max="4871" width="15.5546875" customWidth="1"/>
    <col min="4872" max="4872" width="17" customWidth="1"/>
    <col min="4873" max="4873" width="17.88671875" customWidth="1"/>
    <col min="4874" max="4874" width="14.5546875" customWidth="1"/>
    <col min="4875" max="4875" width="15.109375" customWidth="1"/>
    <col min="4876" max="4876" width="17.109375" customWidth="1"/>
    <col min="4877" max="4877" width="15.6640625" customWidth="1"/>
    <col min="4878" max="4878" width="13.5546875" bestFit="1" customWidth="1"/>
    <col min="5123" max="5123" width="8.6640625" customWidth="1"/>
    <col min="5124" max="5124" width="53.44140625" customWidth="1"/>
    <col min="5125" max="5125" width="15.6640625" customWidth="1"/>
    <col min="5126" max="5126" width="15.88671875" customWidth="1"/>
    <col min="5127" max="5127" width="15.5546875" customWidth="1"/>
    <col min="5128" max="5128" width="17" customWidth="1"/>
    <col min="5129" max="5129" width="17.88671875" customWidth="1"/>
    <col min="5130" max="5130" width="14.5546875" customWidth="1"/>
    <col min="5131" max="5131" width="15.109375" customWidth="1"/>
    <col min="5132" max="5132" width="17.109375" customWidth="1"/>
    <col min="5133" max="5133" width="15.6640625" customWidth="1"/>
    <col min="5134" max="5134" width="13.5546875" bestFit="1" customWidth="1"/>
    <col min="5379" max="5379" width="8.6640625" customWidth="1"/>
    <col min="5380" max="5380" width="53.44140625" customWidth="1"/>
    <col min="5381" max="5381" width="15.6640625" customWidth="1"/>
    <col min="5382" max="5382" width="15.88671875" customWidth="1"/>
    <col min="5383" max="5383" width="15.5546875" customWidth="1"/>
    <col min="5384" max="5384" width="17" customWidth="1"/>
    <col min="5385" max="5385" width="17.88671875" customWidth="1"/>
    <col min="5386" max="5386" width="14.5546875" customWidth="1"/>
    <col min="5387" max="5387" width="15.109375" customWidth="1"/>
    <col min="5388" max="5388" width="17.109375" customWidth="1"/>
    <col min="5389" max="5389" width="15.6640625" customWidth="1"/>
    <col min="5390" max="5390" width="13.5546875" bestFit="1" customWidth="1"/>
    <col min="5635" max="5635" width="8.6640625" customWidth="1"/>
    <col min="5636" max="5636" width="53.44140625" customWidth="1"/>
    <col min="5637" max="5637" width="15.6640625" customWidth="1"/>
    <col min="5638" max="5638" width="15.88671875" customWidth="1"/>
    <col min="5639" max="5639" width="15.5546875" customWidth="1"/>
    <col min="5640" max="5640" width="17" customWidth="1"/>
    <col min="5641" max="5641" width="17.88671875" customWidth="1"/>
    <col min="5642" max="5642" width="14.5546875" customWidth="1"/>
    <col min="5643" max="5643" width="15.109375" customWidth="1"/>
    <col min="5644" max="5644" width="17.109375" customWidth="1"/>
    <col min="5645" max="5645" width="15.6640625" customWidth="1"/>
    <col min="5646" max="5646" width="13.5546875" bestFit="1" customWidth="1"/>
    <col min="5891" max="5891" width="8.6640625" customWidth="1"/>
    <col min="5892" max="5892" width="53.44140625" customWidth="1"/>
    <col min="5893" max="5893" width="15.6640625" customWidth="1"/>
    <col min="5894" max="5894" width="15.88671875" customWidth="1"/>
    <col min="5895" max="5895" width="15.5546875" customWidth="1"/>
    <col min="5896" max="5896" width="17" customWidth="1"/>
    <col min="5897" max="5897" width="17.88671875" customWidth="1"/>
    <col min="5898" max="5898" width="14.5546875" customWidth="1"/>
    <col min="5899" max="5899" width="15.109375" customWidth="1"/>
    <col min="5900" max="5900" width="17.109375" customWidth="1"/>
    <col min="5901" max="5901" width="15.6640625" customWidth="1"/>
    <col min="5902" max="5902" width="13.5546875" bestFit="1" customWidth="1"/>
    <col min="6147" max="6147" width="8.6640625" customWidth="1"/>
    <col min="6148" max="6148" width="53.44140625" customWidth="1"/>
    <col min="6149" max="6149" width="15.6640625" customWidth="1"/>
    <col min="6150" max="6150" width="15.88671875" customWidth="1"/>
    <col min="6151" max="6151" width="15.5546875" customWidth="1"/>
    <col min="6152" max="6152" width="17" customWidth="1"/>
    <col min="6153" max="6153" width="17.88671875" customWidth="1"/>
    <col min="6154" max="6154" width="14.5546875" customWidth="1"/>
    <col min="6155" max="6155" width="15.109375" customWidth="1"/>
    <col min="6156" max="6156" width="17.109375" customWidth="1"/>
    <col min="6157" max="6157" width="15.6640625" customWidth="1"/>
    <col min="6158" max="6158" width="13.5546875" bestFit="1" customWidth="1"/>
    <col min="6403" max="6403" width="8.6640625" customWidth="1"/>
    <col min="6404" max="6404" width="53.44140625" customWidth="1"/>
    <col min="6405" max="6405" width="15.6640625" customWidth="1"/>
    <col min="6406" max="6406" width="15.88671875" customWidth="1"/>
    <col min="6407" max="6407" width="15.5546875" customWidth="1"/>
    <col min="6408" max="6408" width="17" customWidth="1"/>
    <col min="6409" max="6409" width="17.88671875" customWidth="1"/>
    <col min="6410" max="6410" width="14.5546875" customWidth="1"/>
    <col min="6411" max="6411" width="15.109375" customWidth="1"/>
    <col min="6412" max="6412" width="17.109375" customWidth="1"/>
    <col min="6413" max="6413" width="15.6640625" customWidth="1"/>
    <col min="6414" max="6414" width="13.5546875" bestFit="1" customWidth="1"/>
    <col min="6659" max="6659" width="8.6640625" customWidth="1"/>
    <col min="6660" max="6660" width="53.44140625" customWidth="1"/>
    <col min="6661" max="6661" width="15.6640625" customWidth="1"/>
    <col min="6662" max="6662" width="15.88671875" customWidth="1"/>
    <col min="6663" max="6663" width="15.5546875" customWidth="1"/>
    <col min="6664" max="6664" width="17" customWidth="1"/>
    <col min="6665" max="6665" width="17.88671875" customWidth="1"/>
    <col min="6666" max="6666" width="14.5546875" customWidth="1"/>
    <col min="6667" max="6667" width="15.109375" customWidth="1"/>
    <col min="6668" max="6668" width="17.109375" customWidth="1"/>
    <col min="6669" max="6669" width="15.6640625" customWidth="1"/>
    <col min="6670" max="6670" width="13.5546875" bestFit="1" customWidth="1"/>
    <col min="6915" max="6915" width="8.6640625" customWidth="1"/>
    <col min="6916" max="6916" width="53.44140625" customWidth="1"/>
    <col min="6917" max="6917" width="15.6640625" customWidth="1"/>
    <col min="6918" max="6918" width="15.88671875" customWidth="1"/>
    <col min="6919" max="6919" width="15.5546875" customWidth="1"/>
    <col min="6920" max="6920" width="17" customWidth="1"/>
    <col min="6921" max="6921" width="17.88671875" customWidth="1"/>
    <col min="6922" max="6922" width="14.5546875" customWidth="1"/>
    <col min="6923" max="6923" width="15.109375" customWidth="1"/>
    <col min="6924" max="6924" width="17.109375" customWidth="1"/>
    <col min="6925" max="6925" width="15.6640625" customWidth="1"/>
    <col min="6926" max="6926" width="13.5546875" bestFit="1" customWidth="1"/>
    <col min="7171" max="7171" width="8.6640625" customWidth="1"/>
    <col min="7172" max="7172" width="53.44140625" customWidth="1"/>
    <col min="7173" max="7173" width="15.6640625" customWidth="1"/>
    <col min="7174" max="7174" width="15.88671875" customWidth="1"/>
    <col min="7175" max="7175" width="15.5546875" customWidth="1"/>
    <col min="7176" max="7176" width="17" customWidth="1"/>
    <col min="7177" max="7177" width="17.88671875" customWidth="1"/>
    <col min="7178" max="7178" width="14.5546875" customWidth="1"/>
    <col min="7179" max="7179" width="15.109375" customWidth="1"/>
    <col min="7180" max="7180" width="17.109375" customWidth="1"/>
    <col min="7181" max="7181" width="15.6640625" customWidth="1"/>
    <col min="7182" max="7182" width="13.5546875" bestFit="1" customWidth="1"/>
    <col min="7427" max="7427" width="8.6640625" customWidth="1"/>
    <col min="7428" max="7428" width="53.44140625" customWidth="1"/>
    <col min="7429" max="7429" width="15.6640625" customWidth="1"/>
    <col min="7430" max="7430" width="15.88671875" customWidth="1"/>
    <col min="7431" max="7431" width="15.5546875" customWidth="1"/>
    <col min="7432" max="7432" width="17" customWidth="1"/>
    <col min="7433" max="7433" width="17.88671875" customWidth="1"/>
    <col min="7434" max="7434" width="14.5546875" customWidth="1"/>
    <col min="7435" max="7435" width="15.109375" customWidth="1"/>
    <col min="7436" max="7436" width="17.109375" customWidth="1"/>
    <col min="7437" max="7437" width="15.6640625" customWidth="1"/>
    <col min="7438" max="7438" width="13.5546875" bestFit="1" customWidth="1"/>
    <col min="7683" max="7683" width="8.6640625" customWidth="1"/>
    <col min="7684" max="7684" width="53.44140625" customWidth="1"/>
    <col min="7685" max="7685" width="15.6640625" customWidth="1"/>
    <col min="7686" max="7686" width="15.88671875" customWidth="1"/>
    <col min="7687" max="7687" width="15.5546875" customWidth="1"/>
    <col min="7688" max="7688" width="17" customWidth="1"/>
    <col min="7689" max="7689" width="17.88671875" customWidth="1"/>
    <col min="7690" max="7690" width="14.5546875" customWidth="1"/>
    <col min="7691" max="7691" width="15.109375" customWidth="1"/>
    <col min="7692" max="7692" width="17.109375" customWidth="1"/>
    <col min="7693" max="7693" width="15.6640625" customWidth="1"/>
    <col min="7694" max="7694" width="13.5546875" bestFit="1" customWidth="1"/>
    <col min="7939" max="7939" width="8.6640625" customWidth="1"/>
    <col min="7940" max="7940" width="53.44140625" customWidth="1"/>
    <col min="7941" max="7941" width="15.6640625" customWidth="1"/>
    <col min="7942" max="7942" width="15.88671875" customWidth="1"/>
    <col min="7943" max="7943" width="15.5546875" customWidth="1"/>
    <col min="7944" max="7944" width="17" customWidth="1"/>
    <col min="7945" max="7945" width="17.88671875" customWidth="1"/>
    <col min="7946" max="7946" width="14.5546875" customWidth="1"/>
    <col min="7947" max="7947" width="15.109375" customWidth="1"/>
    <col min="7948" max="7948" width="17.109375" customWidth="1"/>
    <col min="7949" max="7949" width="15.6640625" customWidth="1"/>
    <col min="7950" max="7950" width="13.5546875" bestFit="1" customWidth="1"/>
    <col min="8195" max="8195" width="8.6640625" customWidth="1"/>
    <col min="8196" max="8196" width="53.44140625" customWidth="1"/>
    <col min="8197" max="8197" width="15.6640625" customWidth="1"/>
    <col min="8198" max="8198" width="15.88671875" customWidth="1"/>
    <col min="8199" max="8199" width="15.5546875" customWidth="1"/>
    <col min="8200" max="8200" width="17" customWidth="1"/>
    <col min="8201" max="8201" width="17.88671875" customWidth="1"/>
    <col min="8202" max="8202" width="14.5546875" customWidth="1"/>
    <col min="8203" max="8203" width="15.109375" customWidth="1"/>
    <col min="8204" max="8204" width="17.109375" customWidth="1"/>
    <col min="8205" max="8205" width="15.6640625" customWidth="1"/>
    <col min="8206" max="8206" width="13.5546875" bestFit="1" customWidth="1"/>
    <col min="8451" max="8451" width="8.6640625" customWidth="1"/>
    <col min="8452" max="8452" width="53.44140625" customWidth="1"/>
    <col min="8453" max="8453" width="15.6640625" customWidth="1"/>
    <col min="8454" max="8454" width="15.88671875" customWidth="1"/>
    <col min="8455" max="8455" width="15.5546875" customWidth="1"/>
    <col min="8456" max="8456" width="17" customWidth="1"/>
    <col min="8457" max="8457" width="17.88671875" customWidth="1"/>
    <col min="8458" max="8458" width="14.5546875" customWidth="1"/>
    <col min="8459" max="8459" width="15.109375" customWidth="1"/>
    <col min="8460" max="8460" width="17.109375" customWidth="1"/>
    <col min="8461" max="8461" width="15.6640625" customWidth="1"/>
    <col min="8462" max="8462" width="13.5546875" bestFit="1" customWidth="1"/>
    <col min="8707" max="8707" width="8.6640625" customWidth="1"/>
    <col min="8708" max="8708" width="53.44140625" customWidth="1"/>
    <col min="8709" max="8709" width="15.6640625" customWidth="1"/>
    <col min="8710" max="8710" width="15.88671875" customWidth="1"/>
    <col min="8711" max="8711" width="15.5546875" customWidth="1"/>
    <col min="8712" max="8712" width="17" customWidth="1"/>
    <col min="8713" max="8713" width="17.88671875" customWidth="1"/>
    <col min="8714" max="8714" width="14.5546875" customWidth="1"/>
    <col min="8715" max="8715" width="15.109375" customWidth="1"/>
    <col min="8716" max="8716" width="17.109375" customWidth="1"/>
    <col min="8717" max="8717" width="15.6640625" customWidth="1"/>
    <col min="8718" max="8718" width="13.5546875" bestFit="1" customWidth="1"/>
    <col min="8963" max="8963" width="8.6640625" customWidth="1"/>
    <col min="8964" max="8964" width="53.44140625" customWidth="1"/>
    <col min="8965" max="8965" width="15.6640625" customWidth="1"/>
    <col min="8966" max="8966" width="15.88671875" customWidth="1"/>
    <col min="8967" max="8967" width="15.5546875" customWidth="1"/>
    <col min="8968" max="8968" width="17" customWidth="1"/>
    <col min="8969" max="8969" width="17.88671875" customWidth="1"/>
    <col min="8970" max="8970" width="14.5546875" customWidth="1"/>
    <col min="8971" max="8971" width="15.109375" customWidth="1"/>
    <col min="8972" max="8972" width="17.109375" customWidth="1"/>
    <col min="8973" max="8973" width="15.6640625" customWidth="1"/>
    <col min="8974" max="8974" width="13.5546875" bestFit="1" customWidth="1"/>
    <col min="9219" max="9219" width="8.6640625" customWidth="1"/>
    <col min="9220" max="9220" width="53.44140625" customWidth="1"/>
    <col min="9221" max="9221" width="15.6640625" customWidth="1"/>
    <col min="9222" max="9222" width="15.88671875" customWidth="1"/>
    <col min="9223" max="9223" width="15.5546875" customWidth="1"/>
    <col min="9224" max="9224" width="17" customWidth="1"/>
    <col min="9225" max="9225" width="17.88671875" customWidth="1"/>
    <col min="9226" max="9226" width="14.5546875" customWidth="1"/>
    <col min="9227" max="9227" width="15.109375" customWidth="1"/>
    <col min="9228" max="9228" width="17.109375" customWidth="1"/>
    <col min="9229" max="9229" width="15.6640625" customWidth="1"/>
    <col min="9230" max="9230" width="13.5546875" bestFit="1" customWidth="1"/>
    <col min="9475" max="9475" width="8.6640625" customWidth="1"/>
    <col min="9476" max="9476" width="53.44140625" customWidth="1"/>
    <col min="9477" max="9477" width="15.6640625" customWidth="1"/>
    <col min="9478" max="9478" width="15.88671875" customWidth="1"/>
    <col min="9479" max="9479" width="15.5546875" customWidth="1"/>
    <col min="9480" max="9480" width="17" customWidth="1"/>
    <col min="9481" max="9481" width="17.88671875" customWidth="1"/>
    <col min="9482" max="9482" width="14.5546875" customWidth="1"/>
    <col min="9483" max="9483" width="15.109375" customWidth="1"/>
    <col min="9484" max="9484" width="17.109375" customWidth="1"/>
    <col min="9485" max="9485" width="15.6640625" customWidth="1"/>
    <col min="9486" max="9486" width="13.5546875" bestFit="1" customWidth="1"/>
    <col min="9731" max="9731" width="8.6640625" customWidth="1"/>
    <col min="9732" max="9732" width="53.44140625" customWidth="1"/>
    <col min="9733" max="9733" width="15.6640625" customWidth="1"/>
    <col min="9734" max="9734" width="15.88671875" customWidth="1"/>
    <col min="9735" max="9735" width="15.5546875" customWidth="1"/>
    <col min="9736" max="9736" width="17" customWidth="1"/>
    <col min="9737" max="9737" width="17.88671875" customWidth="1"/>
    <col min="9738" max="9738" width="14.5546875" customWidth="1"/>
    <col min="9739" max="9739" width="15.109375" customWidth="1"/>
    <col min="9740" max="9740" width="17.109375" customWidth="1"/>
    <col min="9741" max="9741" width="15.6640625" customWidth="1"/>
    <col min="9742" max="9742" width="13.5546875" bestFit="1" customWidth="1"/>
    <col min="9987" max="9987" width="8.6640625" customWidth="1"/>
    <col min="9988" max="9988" width="53.44140625" customWidth="1"/>
    <col min="9989" max="9989" width="15.6640625" customWidth="1"/>
    <col min="9990" max="9990" width="15.88671875" customWidth="1"/>
    <col min="9991" max="9991" width="15.5546875" customWidth="1"/>
    <col min="9992" max="9992" width="17" customWidth="1"/>
    <col min="9993" max="9993" width="17.88671875" customWidth="1"/>
    <col min="9994" max="9994" width="14.5546875" customWidth="1"/>
    <col min="9995" max="9995" width="15.109375" customWidth="1"/>
    <col min="9996" max="9996" width="17.109375" customWidth="1"/>
    <col min="9997" max="9997" width="15.6640625" customWidth="1"/>
    <col min="9998" max="9998" width="13.5546875" bestFit="1" customWidth="1"/>
    <col min="10243" max="10243" width="8.6640625" customWidth="1"/>
    <col min="10244" max="10244" width="53.44140625" customWidth="1"/>
    <col min="10245" max="10245" width="15.6640625" customWidth="1"/>
    <col min="10246" max="10246" width="15.88671875" customWidth="1"/>
    <col min="10247" max="10247" width="15.5546875" customWidth="1"/>
    <col min="10248" max="10248" width="17" customWidth="1"/>
    <col min="10249" max="10249" width="17.88671875" customWidth="1"/>
    <col min="10250" max="10250" width="14.5546875" customWidth="1"/>
    <col min="10251" max="10251" width="15.109375" customWidth="1"/>
    <col min="10252" max="10252" width="17.109375" customWidth="1"/>
    <col min="10253" max="10253" width="15.6640625" customWidth="1"/>
    <col min="10254" max="10254" width="13.5546875" bestFit="1" customWidth="1"/>
    <col min="10499" max="10499" width="8.6640625" customWidth="1"/>
    <col min="10500" max="10500" width="53.44140625" customWidth="1"/>
    <col min="10501" max="10501" width="15.6640625" customWidth="1"/>
    <col min="10502" max="10502" width="15.88671875" customWidth="1"/>
    <col min="10503" max="10503" width="15.5546875" customWidth="1"/>
    <col min="10504" max="10504" width="17" customWidth="1"/>
    <col min="10505" max="10505" width="17.88671875" customWidth="1"/>
    <col min="10506" max="10506" width="14.5546875" customWidth="1"/>
    <col min="10507" max="10507" width="15.109375" customWidth="1"/>
    <col min="10508" max="10508" width="17.109375" customWidth="1"/>
    <col min="10509" max="10509" width="15.6640625" customWidth="1"/>
    <col min="10510" max="10510" width="13.5546875" bestFit="1" customWidth="1"/>
    <col min="10755" max="10755" width="8.6640625" customWidth="1"/>
    <col min="10756" max="10756" width="53.44140625" customWidth="1"/>
    <col min="10757" max="10757" width="15.6640625" customWidth="1"/>
    <col min="10758" max="10758" width="15.88671875" customWidth="1"/>
    <col min="10759" max="10759" width="15.5546875" customWidth="1"/>
    <col min="10760" max="10760" width="17" customWidth="1"/>
    <col min="10761" max="10761" width="17.88671875" customWidth="1"/>
    <col min="10762" max="10762" width="14.5546875" customWidth="1"/>
    <col min="10763" max="10763" width="15.109375" customWidth="1"/>
    <col min="10764" max="10764" width="17.109375" customWidth="1"/>
    <col min="10765" max="10765" width="15.6640625" customWidth="1"/>
    <col min="10766" max="10766" width="13.5546875" bestFit="1" customWidth="1"/>
    <col min="11011" max="11011" width="8.6640625" customWidth="1"/>
    <col min="11012" max="11012" width="53.44140625" customWidth="1"/>
    <col min="11013" max="11013" width="15.6640625" customWidth="1"/>
    <col min="11014" max="11014" width="15.88671875" customWidth="1"/>
    <col min="11015" max="11015" width="15.5546875" customWidth="1"/>
    <col min="11016" max="11016" width="17" customWidth="1"/>
    <col min="11017" max="11017" width="17.88671875" customWidth="1"/>
    <col min="11018" max="11018" width="14.5546875" customWidth="1"/>
    <col min="11019" max="11019" width="15.109375" customWidth="1"/>
    <col min="11020" max="11020" width="17.109375" customWidth="1"/>
    <col min="11021" max="11021" width="15.6640625" customWidth="1"/>
    <col min="11022" max="11022" width="13.5546875" bestFit="1" customWidth="1"/>
    <col min="11267" max="11267" width="8.6640625" customWidth="1"/>
    <col min="11268" max="11268" width="53.44140625" customWidth="1"/>
    <col min="11269" max="11269" width="15.6640625" customWidth="1"/>
    <col min="11270" max="11270" width="15.88671875" customWidth="1"/>
    <col min="11271" max="11271" width="15.5546875" customWidth="1"/>
    <col min="11272" max="11272" width="17" customWidth="1"/>
    <col min="11273" max="11273" width="17.88671875" customWidth="1"/>
    <col min="11274" max="11274" width="14.5546875" customWidth="1"/>
    <col min="11275" max="11275" width="15.109375" customWidth="1"/>
    <col min="11276" max="11276" width="17.109375" customWidth="1"/>
    <col min="11277" max="11277" width="15.6640625" customWidth="1"/>
    <col min="11278" max="11278" width="13.5546875" bestFit="1" customWidth="1"/>
    <col min="11523" max="11523" width="8.6640625" customWidth="1"/>
    <col min="11524" max="11524" width="53.44140625" customWidth="1"/>
    <col min="11525" max="11525" width="15.6640625" customWidth="1"/>
    <col min="11526" max="11526" width="15.88671875" customWidth="1"/>
    <col min="11527" max="11527" width="15.5546875" customWidth="1"/>
    <col min="11528" max="11528" width="17" customWidth="1"/>
    <col min="11529" max="11529" width="17.88671875" customWidth="1"/>
    <col min="11530" max="11530" width="14.5546875" customWidth="1"/>
    <col min="11531" max="11531" width="15.109375" customWidth="1"/>
    <col min="11532" max="11532" width="17.109375" customWidth="1"/>
    <col min="11533" max="11533" width="15.6640625" customWidth="1"/>
    <col min="11534" max="11534" width="13.5546875" bestFit="1" customWidth="1"/>
    <col min="11779" max="11779" width="8.6640625" customWidth="1"/>
    <col min="11780" max="11780" width="53.44140625" customWidth="1"/>
    <col min="11781" max="11781" width="15.6640625" customWidth="1"/>
    <col min="11782" max="11782" width="15.88671875" customWidth="1"/>
    <col min="11783" max="11783" width="15.5546875" customWidth="1"/>
    <col min="11784" max="11784" width="17" customWidth="1"/>
    <col min="11785" max="11785" width="17.88671875" customWidth="1"/>
    <col min="11786" max="11786" width="14.5546875" customWidth="1"/>
    <col min="11787" max="11787" width="15.109375" customWidth="1"/>
    <col min="11788" max="11788" width="17.109375" customWidth="1"/>
    <col min="11789" max="11789" width="15.6640625" customWidth="1"/>
    <col min="11790" max="11790" width="13.5546875" bestFit="1" customWidth="1"/>
    <col min="12035" max="12035" width="8.6640625" customWidth="1"/>
    <col min="12036" max="12036" width="53.44140625" customWidth="1"/>
    <col min="12037" max="12037" width="15.6640625" customWidth="1"/>
    <col min="12038" max="12038" width="15.88671875" customWidth="1"/>
    <col min="12039" max="12039" width="15.5546875" customWidth="1"/>
    <col min="12040" max="12040" width="17" customWidth="1"/>
    <col min="12041" max="12041" width="17.88671875" customWidth="1"/>
    <col min="12042" max="12042" width="14.5546875" customWidth="1"/>
    <col min="12043" max="12043" width="15.109375" customWidth="1"/>
    <col min="12044" max="12044" width="17.109375" customWidth="1"/>
    <col min="12045" max="12045" width="15.6640625" customWidth="1"/>
    <col min="12046" max="12046" width="13.5546875" bestFit="1" customWidth="1"/>
    <col min="12291" max="12291" width="8.6640625" customWidth="1"/>
    <col min="12292" max="12292" width="53.44140625" customWidth="1"/>
    <col min="12293" max="12293" width="15.6640625" customWidth="1"/>
    <col min="12294" max="12294" width="15.88671875" customWidth="1"/>
    <col min="12295" max="12295" width="15.5546875" customWidth="1"/>
    <col min="12296" max="12296" width="17" customWidth="1"/>
    <col min="12297" max="12297" width="17.88671875" customWidth="1"/>
    <col min="12298" max="12298" width="14.5546875" customWidth="1"/>
    <col min="12299" max="12299" width="15.109375" customWidth="1"/>
    <col min="12300" max="12300" width="17.109375" customWidth="1"/>
    <col min="12301" max="12301" width="15.6640625" customWidth="1"/>
    <col min="12302" max="12302" width="13.5546875" bestFit="1" customWidth="1"/>
    <col min="12547" max="12547" width="8.6640625" customWidth="1"/>
    <col min="12548" max="12548" width="53.44140625" customWidth="1"/>
    <col min="12549" max="12549" width="15.6640625" customWidth="1"/>
    <col min="12550" max="12550" width="15.88671875" customWidth="1"/>
    <col min="12551" max="12551" width="15.5546875" customWidth="1"/>
    <col min="12552" max="12552" width="17" customWidth="1"/>
    <col min="12553" max="12553" width="17.88671875" customWidth="1"/>
    <col min="12554" max="12554" width="14.5546875" customWidth="1"/>
    <col min="12555" max="12555" width="15.109375" customWidth="1"/>
    <col min="12556" max="12556" width="17.109375" customWidth="1"/>
    <col min="12557" max="12557" width="15.6640625" customWidth="1"/>
    <col min="12558" max="12558" width="13.5546875" bestFit="1" customWidth="1"/>
    <col min="12803" max="12803" width="8.6640625" customWidth="1"/>
    <col min="12804" max="12804" width="53.44140625" customWidth="1"/>
    <col min="12805" max="12805" width="15.6640625" customWidth="1"/>
    <col min="12806" max="12806" width="15.88671875" customWidth="1"/>
    <col min="12807" max="12807" width="15.5546875" customWidth="1"/>
    <col min="12808" max="12808" width="17" customWidth="1"/>
    <col min="12809" max="12809" width="17.88671875" customWidth="1"/>
    <col min="12810" max="12810" width="14.5546875" customWidth="1"/>
    <col min="12811" max="12811" width="15.109375" customWidth="1"/>
    <col min="12812" max="12812" width="17.109375" customWidth="1"/>
    <col min="12813" max="12813" width="15.6640625" customWidth="1"/>
    <col min="12814" max="12814" width="13.5546875" bestFit="1" customWidth="1"/>
    <col min="13059" max="13059" width="8.6640625" customWidth="1"/>
    <col min="13060" max="13060" width="53.44140625" customWidth="1"/>
    <col min="13061" max="13061" width="15.6640625" customWidth="1"/>
    <col min="13062" max="13062" width="15.88671875" customWidth="1"/>
    <col min="13063" max="13063" width="15.5546875" customWidth="1"/>
    <col min="13064" max="13064" width="17" customWidth="1"/>
    <col min="13065" max="13065" width="17.88671875" customWidth="1"/>
    <col min="13066" max="13066" width="14.5546875" customWidth="1"/>
    <col min="13067" max="13067" width="15.109375" customWidth="1"/>
    <col min="13068" max="13068" width="17.109375" customWidth="1"/>
    <col min="13069" max="13069" width="15.6640625" customWidth="1"/>
    <col min="13070" max="13070" width="13.5546875" bestFit="1" customWidth="1"/>
    <col min="13315" max="13315" width="8.6640625" customWidth="1"/>
    <col min="13316" max="13316" width="53.44140625" customWidth="1"/>
    <col min="13317" max="13317" width="15.6640625" customWidth="1"/>
    <col min="13318" max="13318" width="15.88671875" customWidth="1"/>
    <col min="13319" max="13319" width="15.5546875" customWidth="1"/>
    <col min="13320" max="13320" width="17" customWidth="1"/>
    <col min="13321" max="13321" width="17.88671875" customWidth="1"/>
    <col min="13322" max="13322" width="14.5546875" customWidth="1"/>
    <col min="13323" max="13323" width="15.109375" customWidth="1"/>
    <col min="13324" max="13324" width="17.109375" customWidth="1"/>
    <col min="13325" max="13325" width="15.6640625" customWidth="1"/>
    <col min="13326" max="13326" width="13.5546875" bestFit="1" customWidth="1"/>
    <col min="13571" max="13571" width="8.6640625" customWidth="1"/>
    <col min="13572" max="13572" width="53.44140625" customWidth="1"/>
    <col min="13573" max="13573" width="15.6640625" customWidth="1"/>
    <col min="13574" max="13574" width="15.88671875" customWidth="1"/>
    <col min="13575" max="13575" width="15.5546875" customWidth="1"/>
    <col min="13576" max="13576" width="17" customWidth="1"/>
    <col min="13577" max="13577" width="17.88671875" customWidth="1"/>
    <col min="13578" max="13578" width="14.5546875" customWidth="1"/>
    <col min="13579" max="13579" width="15.109375" customWidth="1"/>
    <col min="13580" max="13580" width="17.109375" customWidth="1"/>
    <col min="13581" max="13581" width="15.6640625" customWidth="1"/>
    <col min="13582" max="13582" width="13.5546875" bestFit="1" customWidth="1"/>
    <col min="13827" max="13827" width="8.6640625" customWidth="1"/>
    <col min="13828" max="13828" width="53.44140625" customWidth="1"/>
    <col min="13829" max="13829" width="15.6640625" customWidth="1"/>
    <col min="13830" max="13830" width="15.88671875" customWidth="1"/>
    <col min="13831" max="13831" width="15.5546875" customWidth="1"/>
    <col min="13832" max="13832" width="17" customWidth="1"/>
    <col min="13833" max="13833" width="17.88671875" customWidth="1"/>
    <col min="13834" max="13834" width="14.5546875" customWidth="1"/>
    <col min="13835" max="13835" width="15.109375" customWidth="1"/>
    <col min="13836" max="13836" width="17.109375" customWidth="1"/>
    <col min="13837" max="13837" width="15.6640625" customWidth="1"/>
    <col min="13838" max="13838" width="13.5546875" bestFit="1" customWidth="1"/>
    <col min="14083" max="14083" width="8.6640625" customWidth="1"/>
    <col min="14084" max="14084" width="53.44140625" customWidth="1"/>
    <col min="14085" max="14085" width="15.6640625" customWidth="1"/>
    <col min="14086" max="14086" width="15.88671875" customWidth="1"/>
    <col min="14087" max="14087" width="15.5546875" customWidth="1"/>
    <col min="14088" max="14088" width="17" customWidth="1"/>
    <col min="14089" max="14089" width="17.88671875" customWidth="1"/>
    <col min="14090" max="14090" width="14.5546875" customWidth="1"/>
    <col min="14091" max="14091" width="15.109375" customWidth="1"/>
    <col min="14092" max="14092" width="17.109375" customWidth="1"/>
    <col min="14093" max="14093" width="15.6640625" customWidth="1"/>
    <col min="14094" max="14094" width="13.5546875" bestFit="1" customWidth="1"/>
    <col min="14339" max="14339" width="8.6640625" customWidth="1"/>
    <col min="14340" max="14340" width="53.44140625" customWidth="1"/>
    <col min="14341" max="14341" width="15.6640625" customWidth="1"/>
    <col min="14342" max="14342" width="15.88671875" customWidth="1"/>
    <col min="14343" max="14343" width="15.5546875" customWidth="1"/>
    <col min="14344" max="14344" width="17" customWidth="1"/>
    <col min="14345" max="14345" width="17.88671875" customWidth="1"/>
    <col min="14346" max="14346" width="14.5546875" customWidth="1"/>
    <col min="14347" max="14347" width="15.109375" customWidth="1"/>
    <col min="14348" max="14348" width="17.109375" customWidth="1"/>
    <col min="14349" max="14349" width="15.6640625" customWidth="1"/>
    <col min="14350" max="14350" width="13.5546875" bestFit="1" customWidth="1"/>
    <col min="14595" max="14595" width="8.6640625" customWidth="1"/>
    <col min="14596" max="14596" width="53.44140625" customWidth="1"/>
    <col min="14597" max="14597" width="15.6640625" customWidth="1"/>
    <col min="14598" max="14598" width="15.88671875" customWidth="1"/>
    <col min="14599" max="14599" width="15.5546875" customWidth="1"/>
    <col min="14600" max="14600" width="17" customWidth="1"/>
    <col min="14601" max="14601" width="17.88671875" customWidth="1"/>
    <col min="14602" max="14602" width="14.5546875" customWidth="1"/>
    <col min="14603" max="14603" width="15.109375" customWidth="1"/>
    <col min="14604" max="14604" width="17.109375" customWidth="1"/>
    <col min="14605" max="14605" width="15.6640625" customWidth="1"/>
    <col min="14606" max="14606" width="13.5546875" bestFit="1" customWidth="1"/>
    <col min="14851" max="14851" width="8.6640625" customWidth="1"/>
    <col min="14852" max="14852" width="53.44140625" customWidth="1"/>
    <col min="14853" max="14853" width="15.6640625" customWidth="1"/>
    <col min="14854" max="14854" width="15.88671875" customWidth="1"/>
    <col min="14855" max="14855" width="15.5546875" customWidth="1"/>
    <col min="14856" max="14856" width="17" customWidth="1"/>
    <col min="14857" max="14857" width="17.88671875" customWidth="1"/>
    <col min="14858" max="14858" width="14.5546875" customWidth="1"/>
    <col min="14859" max="14859" width="15.109375" customWidth="1"/>
    <col min="14860" max="14860" width="17.109375" customWidth="1"/>
    <col min="14861" max="14861" width="15.6640625" customWidth="1"/>
    <col min="14862" max="14862" width="13.5546875" bestFit="1" customWidth="1"/>
    <col min="15107" max="15107" width="8.6640625" customWidth="1"/>
    <col min="15108" max="15108" width="53.44140625" customWidth="1"/>
    <col min="15109" max="15109" width="15.6640625" customWidth="1"/>
    <col min="15110" max="15110" width="15.88671875" customWidth="1"/>
    <col min="15111" max="15111" width="15.5546875" customWidth="1"/>
    <col min="15112" max="15112" width="17" customWidth="1"/>
    <col min="15113" max="15113" width="17.88671875" customWidth="1"/>
    <col min="15114" max="15114" width="14.5546875" customWidth="1"/>
    <col min="15115" max="15115" width="15.109375" customWidth="1"/>
    <col min="15116" max="15116" width="17.109375" customWidth="1"/>
    <col min="15117" max="15117" width="15.6640625" customWidth="1"/>
    <col min="15118" max="15118" width="13.5546875" bestFit="1" customWidth="1"/>
    <col min="15363" max="15363" width="8.6640625" customWidth="1"/>
    <col min="15364" max="15364" width="53.44140625" customWidth="1"/>
    <col min="15365" max="15365" width="15.6640625" customWidth="1"/>
    <col min="15366" max="15366" width="15.88671875" customWidth="1"/>
    <col min="15367" max="15367" width="15.5546875" customWidth="1"/>
    <col min="15368" max="15368" width="17" customWidth="1"/>
    <col min="15369" max="15369" width="17.88671875" customWidth="1"/>
    <col min="15370" max="15370" width="14.5546875" customWidth="1"/>
    <col min="15371" max="15371" width="15.109375" customWidth="1"/>
    <col min="15372" max="15372" width="17.109375" customWidth="1"/>
    <col min="15373" max="15373" width="15.6640625" customWidth="1"/>
    <col min="15374" max="15374" width="13.5546875" bestFit="1" customWidth="1"/>
    <col min="15619" max="15619" width="8.6640625" customWidth="1"/>
    <col min="15620" max="15620" width="53.44140625" customWidth="1"/>
    <col min="15621" max="15621" width="15.6640625" customWidth="1"/>
    <col min="15622" max="15622" width="15.88671875" customWidth="1"/>
    <col min="15623" max="15623" width="15.5546875" customWidth="1"/>
    <col min="15624" max="15624" width="17" customWidth="1"/>
    <col min="15625" max="15625" width="17.88671875" customWidth="1"/>
    <col min="15626" max="15626" width="14.5546875" customWidth="1"/>
    <col min="15627" max="15627" width="15.109375" customWidth="1"/>
    <col min="15628" max="15628" width="17.109375" customWidth="1"/>
    <col min="15629" max="15629" width="15.6640625" customWidth="1"/>
    <col min="15630" max="15630" width="13.5546875" bestFit="1" customWidth="1"/>
    <col min="15875" max="15875" width="8.6640625" customWidth="1"/>
    <col min="15876" max="15876" width="53.44140625" customWidth="1"/>
    <col min="15877" max="15877" width="15.6640625" customWidth="1"/>
    <col min="15878" max="15878" width="15.88671875" customWidth="1"/>
    <col min="15879" max="15879" width="15.5546875" customWidth="1"/>
    <col min="15880" max="15880" width="17" customWidth="1"/>
    <col min="15881" max="15881" width="17.88671875" customWidth="1"/>
    <col min="15882" max="15882" width="14.5546875" customWidth="1"/>
    <col min="15883" max="15883" width="15.109375" customWidth="1"/>
    <col min="15884" max="15884" width="17.109375" customWidth="1"/>
    <col min="15885" max="15885" width="15.6640625" customWidth="1"/>
    <col min="15886" max="15886" width="13.5546875" bestFit="1" customWidth="1"/>
    <col min="16131" max="16131" width="8.6640625" customWidth="1"/>
    <col min="16132" max="16132" width="53.44140625" customWidth="1"/>
    <col min="16133" max="16133" width="15.6640625" customWidth="1"/>
    <col min="16134" max="16134" width="15.88671875" customWidth="1"/>
    <col min="16135" max="16135" width="15.5546875" customWidth="1"/>
    <col min="16136" max="16136" width="17" customWidth="1"/>
    <col min="16137" max="16137" width="17.88671875" customWidth="1"/>
    <col min="16138" max="16138" width="14.5546875" customWidth="1"/>
    <col min="16139" max="16139" width="15.109375" customWidth="1"/>
    <col min="16140" max="16140" width="17.109375" customWidth="1"/>
    <col min="16141" max="16141" width="15.6640625" customWidth="1"/>
    <col min="16142" max="16142" width="13.5546875" bestFit="1" customWidth="1"/>
  </cols>
  <sheetData>
    <row r="1" spans="1:13" ht="15.6" x14ac:dyDescent="0.3">
      <c r="G1" s="287"/>
      <c r="H1" s="287"/>
      <c r="I1" s="287"/>
      <c r="J1" s="287"/>
      <c r="K1" s="525" t="s">
        <v>785</v>
      </c>
      <c r="L1" s="525"/>
      <c r="M1" s="525"/>
    </row>
    <row r="2" spans="1:13" ht="15.6" x14ac:dyDescent="0.3">
      <c r="G2" s="287"/>
      <c r="H2" s="287"/>
      <c r="I2" s="287"/>
      <c r="J2" s="287"/>
      <c r="K2" s="525" t="s">
        <v>786</v>
      </c>
      <c r="L2" s="525"/>
      <c r="M2" s="525"/>
    </row>
    <row r="3" spans="1:13" ht="15.6" x14ac:dyDescent="0.3">
      <c r="K3" s="525" t="s">
        <v>533</v>
      </c>
      <c r="L3" s="525"/>
      <c r="M3" s="525"/>
    </row>
    <row r="4" spans="1:13" ht="15.6" x14ac:dyDescent="0.3">
      <c r="K4" s="525" t="s">
        <v>787</v>
      </c>
      <c r="L4" s="525"/>
      <c r="M4" s="525"/>
    </row>
    <row r="5" spans="1:13" ht="15.6" x14ac:dyDescent="0.3">
      <c r="K5" s="525" t="s">
        <v>948</v>
      </c>
      <c r="L5" s="525"/>
      <c r="M5" s="525"/>
    </row>
    <row r="7" spans="1:13" ht="16.8" x14ac:dyDescent="0.3">
      <c r="A7" s="521" t="s">
        <v>788</v>
      </c>
      <c r="B7" s="521"/>
      <c r="C7" s="521"/>
      <c r="D7" s="521"/>
      <c r="E7" s="521"/>
      <c r="F7" s="521"/>
      <c r="G7" s="521"/>
      <c r="H7" s="521"/>
      <c r="I7" s="521"/>
      <c r="J7" s="521"/>
      <c r="K7" s="521"/>
      <c r="L7" s="521"/>
      <c r="M7" s="521"/>
    </row>
    <row r="8" spans="1:13" ht="16.5" x14ac:dyDescent="0.25">
      <c r="A8" s="288"/>
      <c r="B8" s="288"/>
      <c r="C8" s="288"/>
      <c r="D8" s="288"/>
      <c r="E8" s="288"/>
      <c r="F8" s="288"/>
      <c r="G8" s="288"/>
      <c r="H8" s="288"/>
      <c r="I8" s="288"/>
      <c r="J8" s="288"/>
      <c r="K8" s="288"/>
      <c r="L8" s="288"/>
      <c r="M8" s="288"/>
    </row>
    <row r="9" spans="1:13" ht="16.8" x14ac:dyDescent="0.3">
      <c r="A9" s="513" t="s">
        <v>877</v>
      </c>
      <c r="B9" s="513"/>
      <c r="C9" s="513"/>
      <c r="D9" s="513"/>
      <c r="E9" s="288">
        <v>25.7</v>
      </c>
      <c r="F9" s="288"/>
      <c r="G9" s="288"/>
      <c r="H9" s="288"/>
      <c r="I9" s="288"/>
      <c r="J9" s="288"/>
      <c r="K9" s="288"/>
      <c r="L9" s="288"/>
      <c r="M9" s="288"/>
    </row>
    <row r="10" spans="1:13" ht="16.5" x14ac:dyDescent="0.25">
      <c r="A10" s="354"/>
      <c r="B10" s="354"/>
      <c r="C10" s="354"/>
      <c r="D10" s="288"/>
      <c r="E10" s="288"/>
      <c r="F10" s="288"/>
      <c r="G10" s="288"/>
      <c r="H10" s="288"/>
      <c r="I10" s="288"/>
      <c r="J10" s="288"/>
      <c r="K10" s="288"/>
      <c r="L10" s="288"/>
      <c r="M10" s="288"/>
    </row>
    <row r="11" spans="1:13" ht="16.8" x14ac:dyDescent="0.3">
      <c r="A11" s="521" t="s">
        <v>789</v>
      </c>
      <c r="B11" s="521"/>
      <c r="C11" s="521"/>
      <c r="D11" s="521"/>
      <c r="E11" s="521"/>
      <c r="F11" s="521"/>
      <c r="G11" s="521"/>
      <c r="H11" s="521"/>
      <c r="I11" s="521"/>
      <c r="J11" s="521"/>
      <c r="K11" s="521"/>
      <c r="L11" s="521"/>
      <c r="M11" s="521"/>
    </row>
    <row r="12" spans="1:13" ht="16.5" x14ac:dyDescent="0.25">
      <c r="A12" s="288"/>
      <c r="B12" s="288"/>
      <c r="C12" s="288"/>
      <c r="D12" s="288"/>
      <c r="E12" s="288"/>
      <c r="F12" s="288"/>
      <c r="G12" s="288"/>
      <c r="H12" s="288"/>
      <c r="I12" s="288"/>
      <c r="J12" s="288"/>
      <c r="K12" s="288"/>
      <c r="L12" s="288"/>
      <c r="M12" s="288"/>
    </row>
    <row r="13" spans="1:13" s="1" customFormat="1" x14ac:dyDescent="0.3">
      <c r="A13" s="515" t="s">
        <v>790</v>
      </c>
      <c r="B13" s="515" t="s">
        <v>791</v>
      </c>
      <c r="C13" s="515" t="s">
        <v>792</v>
      </c>
      <c r="D13" s="515"/>
      <c r="E13" s="515"/>
      <c r="F13" s="515"/>
      <c r="G13" s="515"/>
      <c r="H13" s="515"/>
      <c r="I13" s="515"/>
      <c r="J13" s="515"/>
      <c r="K13" s="515"/>
      <c r="L13" s="515"/>
      <c r="M13" s="515"/>
    </row>
    <row r="14" spans="1:13" s="1" customFormat="1" x14ac:dyDescent="0.3">
      <c r="A14" s="515"/>
      <c r="B14" s="515"/>
      <c r="C14" s="515"/>
      <c r="D14" s="515"/>
      <c r="E14" s="515"/>
      <c r="F14" s="515"/>
      <c r="G14" s="515"/>
      <c r="H14" s="515"/>
      <c r="I14" s="515"/>
      <c r="J14" s="515"/>
      <c r="K14" s="515"/>
      <c r="L14" s="515"/>
      <c r="M14" s="515"/>
    </row>
    <row r="15" spans="1:13" s="1" customFormat="1" ht="15.6" x14ac:dyDescent="0.3">
      <c r="A15" s="515"/>
      <c r="B15" s="515"/>
      <c r="C15" s="516" t="s">
        <v>526</v>
      </c>
      <c r="D15" s="522" t="s">
        <v>793</v>
      </c>
      <c r="E15" s="523"/>
      <c r="F15" s="524"/>
      <c r="G15" s="516" t="s">
        <v>573</v>
      </c>
      <c r="H15" s="522" t="s">
        <v>793</v>
      </c>
      <c r="I15" s="523"/>
      <c r="J15" s="524"/>
      <c r="K15" s="516" t="s">
        <v>717</v>
      </c>
      <c r="L15" s="522" t="s">
        <v>793</v>
      </c>
      <c r="M15" s="524"/>
    </row>
    <row r="16" spans="1:13" s="1" customFormat="1" ht="46.8" x14ac:dyDescent="0.3">
      <c r="A16" s="515"/>
      <c r="B16" s="515"/>
      <c r="C16" s="517"/>
      <c r="D16" s="289" t="s">
        <v>794</v>
      </c>
      <c r="E16" s="290" t="s">
        <v>795</v>
      </c>
      <c r="F16" s="290" t="s">
        <v>796</v>
      </c>
      <c r="G16" s="517"/>
      <c r="H16" s="289" t="s">
        <v>794</v>
      </c>
      <c r="I16" s="290" t="s">
        <v>795</v>
      </c>
      <c r="J16" s="290" t="s">
        <v>796</v>
      </c>
      <c r="K16" s="517"/>
      <c r="L16" s="290" t="s">
        <v>795</v>
      </c>
      <c r="M16" s="290" t="s">
        <v>796</v>
      </c>
    </row>
    <row r="17" spans="1:18" s="1" customFormat="1" ht="15.6" x14ac:dyDescent="0.3">
      <c r="A17" s="291" t="s">
        <v>797</v>
      </c>
      <c r="B17" s="292" t="s">
        <v>798</v>
      </c>
      <c r="C17" s="293">
        <f>SUM(C19:C23)</f>
        <v>348948.03315000003</v>
      </c>
      <c r="D17" s="293">
        <f t="shared" ref="D17:M17" si="0">SUM(D19:D23)</f>
        <v>250527.87560999999</v>
      </c>
      <c r="E17" s="293">
        <f t="shared" si="0"/>
        <v>36981.661480000002</v>
      </c>
      <c r="F17" s="293">
        <f>SUM(F19:F23)</f>
        <v>61438.49605999999</v>
      </c>
      <c r="G17" s="293">
        <f t="shared" si="0"/>
        <v>59660.865200000007</v>
      </c>
      <c r="H17" s="293">
        <f t="shared" si="0"/>
        <v>0</v>
      </c>
      <c r="I17" s="293">
        <f t="shared" si="0"/>
        <v>24154.7</v>
      </c>
      <c r="J17" s="293">
        <f t="shared" si="0"/>
        <v>35506.165200000003</v>
      </c>
      <c r="K17" s="293">
        <f t="shared" si="0"/>
        <v>61251.6</v>
      </c>
      <c r="L17" s="293">
        <f t="shared" si="0"/>
        <v>24154.7</v>
      </c>
      <c r="M17" s="293">
        <f t="shared" si="0"/>
        <v>37096.899999999994</v>
      </c>
    </row>
    <row r="18" spans="1:18" s="1" customFormat="1" ht="16.8" x14ac:dyDescent="0.3">
      <c r="A18" s="291"/>
      <c r="B18" s="292" t="s">
        <v>799</v>
      </c>
      <c r="C18" s="294"/>
      <c r="D18" s="294"/>
      <c r="E18" s="294"/>
      <c r="F18" s="294"/>
      <c r="G18" s="294"/>
      <c r="H18" s="294"/>
      <c r="I18" s="294"/>
      <c r="J18" s="294"/>
      <c r="K18" s="294"/>
      <c r="L18" s="294"/>
      <c r="M18" s="295"/>
    </row>
    <row r="19" spans="1:18" s="1" customFormat="1" ht="81.75" customHeight="1" x14ac:dyDescent="0.3">
      <c r="A19" s="291" t="s">
        <v>800</v>
      </c>
      <c r="B19" s="296" t="s">
        <v>801</v>
      </c>
      <c r="C19" s="297">
        <f>SUM(E19:F19)</f>
        <v>27676.7</v>
      </c>
      <c r="D19" s="298">
        <v>0</v>
      </c>
      <c r="E19" s="295">
        <v>0</v>
      </c>
      <c r="F19" s="298">
        <v>27676.7</v>
      </c>
      <c r="G19" s="297">
        <f>SUM(I19:J19)</f>
        <v>28240.9</v>
      </c>
      <c r="H19" s="298">
        <v>0</v>
      </c>
      <c r="I19" s="295">
        <v>0</v>
      </c>
      <c r="J19" s="298">
        <v>28240.9</v>
      </c>
      <c r="K19" s="293">
        <f>SUM(L19:M19)</f>
        <v>28994.1</v>
      </c>
      <c r="L19" s="299">
        <f>I19-E19</f>
        <v>0</v>
      </c>
      <c r="M19" s="299">
        <v>28994.1</v>
      </c>
    </row>
    <row r="20" spans="1:18" s="1" customFormat="1" ht="73.5" customHeight="1" x14ac:dyDescent="0.3">
      <c r="A20" s="291" t="s">
        <v>802</v>
      </c>
      <c r="B20" s="296" t="s">
        <v>803</v>
      </c>
      <c r="C20" s="297">
        <f>SUM(E20:F20)</f>
        <v>24383</v>
      </c>
      <c r="D20" s="298">
        <v>0</v>
      </c>
      <c r="E20" s="298">
        <v>24383</v>
      </c>
      <c r="F20" s="298">
        <v>0</v>
      </c>
      <c r="G20" s="297">
        <f>SUM(I20:J20)</f>
        <v>24154.7</v>
      </c>
      <c r="H20" s="298">
        <v>0</v>
      </c>
      <c r="I20" s="295">
        <v>24154.7</v>
      </c>
      <c r="J20" s="295">
        <v>0</v>
      </c>
      <c r="K20" s="293">
        <f>SUM(L20:M20)</f>
        <v>24154.7</v>
      </c>
      <c r="L20" s="295">
        <v>24154.7</v>
      </c>
      <c r="M20" s="299">
        <f>J20-F20</f>
        <v>0</v>
      </c>
      <c r="P20" s="300"/>
      <c r="Q20" s="300"/>
      <c r="R20" s="300"/>
    </row>
    <row r="21" spans="1:18" s="1" customFormat="1" ht="55.5" customHeight="1" x14ac:dyDescent="0.3">
      <c r="A21" s="291" t="s">
        <v>804</v>
      </c>
      <c r="B21" s="296" t="s">
        <v>805</v>
      </c>
      <c r="C21" s="297">
        <f>SUM(D21:F21)</f>
        <v>260966.53709</v>
      </c>
      <c r="D21" s="298">
        <v>250527.87560999999</v>
      </c>
      <c r="E21" s="298">
        <v>10438.661480000001</v>
      </c>
      <c r="F21" s="298">
        <v>0</v>
      </c>
      <c r="G21" s="297">
        <f>SUM(H21:J21)</f>
        <v>0</v>
      </c>
      <c r="H21" s="298">
        <v>0</v>
      </c>
      <c r="I21" s="298">
        <v>0</v>
      </c>
      <c r="J21" s="298">
        <v>0</v>
      </c>
      <c r="K21" s="293">
        <f>SUM(L21:M21)</f>
        <v>0</v>
      </c>
      <c r="L21" s="299">
        <v>0</v>
      </c>
      <c r="M21" s="299">
        <v>0</v>
      </c>
    </row>
    <row r="22" spans="1:18" s="1" customFormat="1" ht="55.5" customHeight="1" x14ac:dyDescent="0.3">
      <c r="A22" s="291" t="s">
        <v>806</v>
      </c>
      <c r="B22" s="296" t="s">
        <v>807</v>
      </c>
      <c r="C22" s="297">
        <f>SUM(D22:F22)</f>
        <v>2160</v>
      </c>
      <c r="D22" s="298"/>
      <c r="E22" s="298">
        <v>2160</v>
      </c>
      <c r="F22" s="298"/>
      <c r="G22" s="297">
        <f>SUM(H22:J22)</f>
        <v>0</v>
      </c>
      <c r="H22" s="298"/>
      <c r="I22" s="298"/>
      <c r="J22" s="298"/>
      <c r="K22" s="293">
        <f>SUM(L22:M22)</f>
        <v>0</v>
      </c>
      <c r="L22" s="299"/>
      <c r="M22" s="299"/>
    </row>
    <row r="23" spans="1:18" s="1" customFormat="1" ht="24" customHeight="1" x14ac:dyDescent="0.3">
      <c r="A23" s="291" t="s">
        <v>808</v>
      </c>
      <c r="B23" s="296" t="s">
        <v>809</v>
      </c>
      <c r="C23" s="297">
        <f>F23</f>
        <v>33761.796059999993</v>
      </c>
      <c r="D23" s="297">
        <v>0</v>
      </c>
      <c r="E23" s="298">
        <v>0</v>
      </c>
      <c r="F23" s="298">
        <f>F31-F19-25.7</f>
        <v>33761.796059999993</v>
      </c>
      <c r="G23" s="297">
        <f>SUM(I23:J23)</f>
        <v>7265.2652000000016</v>
      </c>
      <c r="H23" s="297">
        <v>0</v>
      </c>
      <c r="I23" s="298">
        <v>0</v>
      </c>
      <c r="J23" s="298">
        <f>J31-J19</f>
        <v>7265.2652000000016</v>
      </c>
      <c r="K23" s="293">
        <f>SUM(L23:M23)</f>
        <v>8102.7999999999956</v>
      </c>
      <c r="L23" s="299">
        <f>I23-E23</f>
        <v>0</v>
      </c>
      <c r="M23" s="298">
        <f>M31-M19</f>
        <v>8102.7999999999956</v>
      </c>
    </row>
    <row r="24" spans="1:18" s="1" customFormat="1" ht="15.75" x14ac:dyDescent="0.25">
      <c r="A24" s="301"/>
      <c r="B24" s="302"/>
      <c r="C24" s="303"/>
      <c r="D24" s="303"/>
      <c r="E24" s="304"/>
      <c r="F24" s="304"/>
      <c r="G24" s="303"/>
      <c r="H24" s="303"/>
      <c r="I24" s="304"/>
      <c r="J24" s="304"/>
      <c r="K24" s="305"/>
      <c r="L24" s="306"/>
      <c r="M24" s="306"/>
    </row>
    <row r="25" spans="1:18" s="1" customFormat="1" ht="15.6" x14ac:dyDescent="0.3">
      <c r="A25" s="514" t="s">
        <v>810</v>
      </c>
      <c r="B25" s="514"/>
      <c r="C25" s="514"/>
      <c r="D25" s="514"/>
      <c r="E25" s="514"/>
      <c r="F25" s="514"/>
      <c r="G25" s="514"/>
      <c r="H25" s="514"/>
      <c r="I25" s="514"/>
      <c r="J25" s="514"/>
      <c r="K25" s="514"/>
      <c r="L25" s="514"/>
      <c r="M25" s="514"/>
    </row>
    <row r="26" spans="1:18" ht="16.5" x14ac:dyDescent="0.25">
      <c r="A26" s="307"/>
      <c r="B26" s="307"/>
      <c r="C26" s="288"/>
      <c r="D26" s="288"/>
      <c r="E26" s="288"/>
      <c r="F26" s="288"/>
      <c r="G26" s="288"/>
      <c r="H26" s="288"/>
      <c r="I26" s="288"/>
      <c r="J26" s="288"/>
    </row>
    <row r="27" spans="1:18" x14ac:dyDescent="0.3">
      <c r="A27" s="515" t="s">
        <v>790</v>
      </c>
      <c r="B27" s="515" t="s">
        <v>811</v>
      </c>
      <c r="C27" s="515" t="s">
        <v>792</v>
      </c>
      <c r="D27" s="515"/>
      <c r="E27" s="515"/>
      <c r="F27" s="515"/>
      <c r="G27" s="515"/>
      <c r="H27" s="515"/>
      <c r="I27" s="515"/>
      <c r="J27" s="515"/>
      <c r="K27" s="515"/>
      <c r="L27" s="515"/>
      <c r="M27" s="515"/>
    </row>
    <row r="28" spans="1:18" x14ac:dyDescent="0.3">
      <c r="A28" s="515"/>
      <c r="B28" s="515"/>
      <c r="C28" s="515"/>
      <c r="D28" s="515"/>
      <c r="E28" s="515"/>
      <c r="F28" s="515"/>
      <c r="G28" s="515"/>
      <c r="H28" s="515"/>
      <c r="I28" s="515"/>
      <c r="J28" s="515"/>
      <c r="K28" s="515"/>
      <c r="L28" s="515"/>
      <c r="M28" s="515"/>
    </row>
    <row r="29" spans="1:18" ht="15.6" x14ac:dyDescent="0.3">
      <c r="A29" s="515"/>
      <c r="B29" s="515"/>
      <c r="C29" s="516" t="s">
        <v>526</v>
      </c>
      <c r="D29" s="518" t="s">
        <v>793</v>
      </c>
      <c r="E29" s="519"/>
      <c r="F29" s="520"/>
      <c r="G29" s="516" t="s">
        <v>573</v>
      </c>
      <c r="H29" s="518" t="s">
        <v>793</v>
      </c>
      <c r="I29" s="519"/>
      <c r="J29" s="520"/>
      <c r="K29" s="516" t="s">
        <v>717</v>
      </c>
      <c r="L29" s="519" t="s">
        <v>793</v>
      </c>
      <c r="M29" s="520"/>
    </row>
    <row r="30" spans="1:18" ht="46.8" x14ac:dyDescent="0.3">
      <c r="A30" s="515"/>
      <c r="B30" s="515"/>
      <c r="C30" s="517"/>
      <c r="D30" s="289" t="s">
        <v>794</v>
      </c>
      <c r="E30" s="290" t="s">
        <v>795</v>
      </c>
      <c r="F30" s="290" t="s">
        <v>796</v>
      </c>
      <c r="G30" s="517"/>
      <c r="H30" s="289" t="s">
        <v>794</v>
      </c>
      <c r="I30" s="290" t="s">
        <v>795</v>
      </c>
      <c r="J30" s="290" t="s">
        <v>796</v>
      </c>
      <c r="K30" s="517"/>
      <c r="L30" s="290" t="s">
        <v>795</v>
      </c>
      <c r="M30" s="290" t="s">
        <v>796</v>
      </c>
    </row>
    <row r="31" spans="1:18" ht="48" customHeight="1" x14ac:dyDescent="0.3">
      <c r="A31" s="308" t="s">
        <v>797</v>
      </c>
      <c r="B31" s="309" t="s">
        <v>812</v>
      </c>
      <c r="C31" s="310">
        <f t="shared" ref="C31:M31" si="1">C32+C99</f>
        <v>348973.73314999999</v>
      </c>
      <c r="D31" s="310">
        <f t="shared" si="1"/>
        <v>250527.87560999999</v>
      </c>
      <c r="E31" s="310">
        <f t="shared" si="1"/>
        <v>36981.661480000002</v>
      </c>
      <c r="F31" s="310">
        <f t="shared" si="1"/>
        <v>61464.196059999995</v>
      </c>
      <c r="G31" s="310">
        <f t="shared" si="1"/>
        <v>59660.8652</v>
      </c>
      <c r="H31" s="310">
        <f t="shared" si="1"/>
        <v>0</v>
      </c>
      <c r="I31" s="310">
        <f t="shared" si="1"/>
        <v>24154.7</v>
      </c>
      <c r="J31" s="310">
        <f t="shared" si="1"/>
        <v>35506.165200000003</v>
      </c>
      <c r="K31" s="310">
        <f t="shared" si="1"/>
        <v>61251.6</v>
      </c>
      <c r="L31" s="310">
        <f t="shared" si="1"/>
        <v>24154.7</v>
      </c>
      <c r="M31" s="310">
        <f t="shared" si="1"/>
        <v>37096.899999999994</v>
      </c>
      <c r="N31" s="148">
        <f>C31-C17</f>
        <v>25.699999999953434</v>
      </c>
    </row>
    <row r="32" spans="1:18" s="314" customFormat="1" ht="31.2" x14ac:dyDescent="0.3">
      <c r="A32" s="311" t="s">
        <v>800</v>
      </c>
      <c r="B32" s="312" t="s">
        <v>813</v>
      </c>
      <c r="C32" s="313">
        <f>C33+C38+C88+C90+C35+C95</f>
        <v>345036.73314999999</v>
      </c>
      <c r="D32" s="313">
        <f>D33+D38+D88+D90+D35</f>
        <v>250527.87560999999</v>
      </c>
      <c r="E32" s="313">
        <f>E33+E38+E88+E90+E35</f>
        <v>34821.661480000002</v>
      </c>
      <c r="F32" s="313">
        <f>F33+F38+F88+F90+F35+F95</f>
        <v>59687.196059999995</v>
      </c>
      <c r="G32" s="313">
        <f t="shared" ref="G32:L32" si="2">G33+G38+G88+G90+G35</f>
        <v>59660.8652</v>
      </c>
      <c r="H32" s="313">
        <f t="shared" si="2"/>
        <v>0</v>
      </c>
      <c r="I32" s="313">
        <f t="shared" si="2"/>
        <v>24154.7</v>
      </c>
      <c r="J32" s="313">
        <f t="shared" si="2"/>
        <v>35506.165200000003</v>
      </c>
      <c r="K32" s="313">
        <f t="shared" si="2"/>
        <v>61251.6</v>
      </c>
      <c r="L32" s="313">
        <f t="shared" si="2"/>
        <v>24154.7</v>
      </c>
      <c r="M32" s="313">
        <f>M33+M38+M88+M90</f>
        <v>37096.899999999994</v>
      </c>
    </row>
    <row r="33" spans="1:13" s="318" customFormat="1" ht="46.8" x14ac:dyDescent="0.3">
      <c r="A33" s="315" t="s">
        <v>814</v>
      </c>
      <c r="B33" s="316" t="s">
        <v>815</v>
      </c>
      <c r="C33" s="317">
        <f>C34</f>
        <v>1127.5999999999999</v>
      </c>
      <c r="D33" s="317">
        <f t="shared" ref="D33:M33" si="3">D34</f>
        <v>0</v>
      </c>
      <c r="E33" s="317">
        <f t="shared" si="3"/>
        <v>0</v>
      </c>
      <c r="F33" s="317">
        <f t="shared" si="3"/>
        <v>1127.5999999999999</v>
      </c>
      <c r="G33" s="317">
        <f t="shared" si="3"/>
        <v>0</v>
      </c>
      <c r="H33" s="317">
        <f t="shared" si="3"/>
        <v>0</v>
      </c>
      <c r="I33" s="317">
        <f t="shared" si="3"/>
        <v>0</v>
      </c>
      <c r="J33" s="317">
        <f t="shared" si="3"/>
        <v>0</v>
      </c>
      <c r="K33" s="317">
        <f t="shared" si="3"/>
        <v>574.29999999999995</v>
      </c>
      <c r="L33" s="317">
        <f t="shared" si="3"/>
        <v>0</v>
      </c>
      <c r="M33" s="317">
        <f t="shared" si="3"/>
        <v>574.29999999999995</v>
      </c>
    </row>
    <row r="34" spans="1:13" s="322" customFormat="1" ht="33.75" customHeight="1" x14ac:dyDescent="0.3">
      <c r="A34" s="319"/>
      <c r="B34" s="320" t="s">
        <v>816</v>
      </c>
      <c r="C34" s="321">
        <f>F34</f>
        <v>1127.5999999999999</v>
      </c>
      <c r="D34" s="321">
        <v>0</v>
      </c>
      <c r="E34" s="321">
        <v>0</v>
      </c>
      <c r="F34" s="321">
        <f>574.3+553.3</f>
        <v>1127.5999999999999</v>
      </c>
      <c r="G34" s="321">
        <f>J34</f>
        <v>0</v>
      </c>
      <c r="H34" s="321">
        <v>0</v>
      </c>
      <c r="I34" s="321">
        <v>0</v>
      </c>
      <c r="J34" s="321">
        <v>0</v>
      </c>
      <c r="K34" s="321">
        <f>M34</f>
        <v>574.29999999999995</v>
      </c>
      <c r="L34" s="321">
        <v>0</v>
      </c>
      <c r="M34" s="321">
        <v>574.29999999999995</v>
      </c>
    </row>
    <row r="35" spans="1:13" s="322" customFormat="1" ht="15.6" x14ac:dyDescent="0.3">
      <c r="A35" s="315" t="s">
        <v>817</v>
      </c>
      <c r="B35" s="316" t="s">
        <v>818</v>
      </c>
      <c r="C35" s="317">
        <f>C36+C37</f>
        <v>4808</v>
      </c>
      <c r="D35" s="317">
        <f>D36</f>
        <v>0</v>
      </c>
      <c r="E35" s="317">
        <f>E36</f>
        <v>0</v>
      </c>
      <c r="F35" s="317">
        <f>F36+F37</f>
        <v>4808</v>
      </c>
      <c r="G35" s="317">
        <f t="shared" ref="G35:M35" si="4">G36</f>
        <v>0</v>
      </c>
      <c r="H35" s="317">
        <f t="shared" si="4"/>
        <v>0</v>
      </c>
      <c r="I35" s="317">
        <f t="shared" si="4"/>
        <v>0</v>
      </c>
      <c r="J35" s="317">
        <f t="shared" si="4"/>
        <v>0</v>
      </c>
      <c r="K35" s="317">
        <f t="shared" si="4"/>
        <v>0</v>
      </c>
      <c r="L35" s="317">
        <f t="shared" si="4"/>
        <v>0</v>
      </c>
      <c r="M35" s="317">
        <f t="shared" si="4"/>
        <v>0</v>
      </c>
    </row>
    <row r="36" spans="1:13" s="322" customFormat="1" ht="46.8" x14ac:dyDescent="0.3">
      <c r="A36" s="319"/>
      <c r="B36" s="320" t="s">
        <v>667</v>
      </c>
      <c r="C36" s="321">
        <f>F36</f>
        <v>4608</v>
      </c>
      <c r="D36" s="321">
        <v>0</v>
      </c>
      <c r="E36" s="321">
        <v>0</v>
      </c>
      <c r="F36" s="321">
        <v>4608</v>
      </c>
      <c r="G36" s="321">
        <f>H36+I36+J36</f>
        <v>0</v>
      </c>
      <c r="H36" s="321">
        <v>0</v>
      </c>
      <c r="I36" s="321">
        <v>0</v>
      </c>
      <c r="J36" s="321">
        <v>0</v>
      </c>
      <c r="K36" s="321">
        <v>0</v>
      </c>
      <c r="L36" s="321">
        <v>0</v>
      </c>
      <c r="M36" s="321">
        <v>0</v>
      </c>
    </row>
    <row r="37" spans="1:13" s="322" customFormat="1" ht="15.6" x14ac:dyDescent="0.3">
      <c r="A37" s="382"/>
      <c r="B37" s="385" t="s">
        <v>892</v>
      </c>
      <c r="C37" s="384">
        <f>F37</f>
        <v>200</v>
      </c>
      <c r="D37" s="386">
        <v>0</v>
      </c>
      <c r="E37" s="386">
        <v>0</v>
      </c>
      <c r="F37" s="387">
        <v>200</v>
      </c>
      <c r="G37" s="383">
        <v>0</v>
      </c>
      <c r="H37" s="383">
        <v>0</v>
      </c>
      <c r="I37" s="383">
        <v>0</v>
      </c>
      <c r="J37" s="383">
        <v>0</v>
      </c>
      <c r="K37" s="383">
        <v>0</v>
      </c>
      <c r="L37" s="383">
        <v>0</v>
      </c>
      <c r="M37" s="383">
        <v>0</v>
      </c>
    </row>
    <row r="38" spans="1:13" s="318" customFormat="1" ht="31.2" x14ac:dyDescent="0.3">
      <c r="A38" s="315" t="s">
        <v>819</v>
      </c>
      <c r="B38" s="323" t="s">
        <v>820</v>
      </c>
      <c r="C38" s="317">
        <f>C39+C75+C58+C74</f>
        <v>42984.506430000001</v>
      </c>
      <c r="D38" s="317">
        <v>0</v>
      </c>
      <c r="E38" s="317">
        <f>E39+E75+E58</f>
        <v>24383.000000000004</v>
      </c>
      <c r="F38" s="317">
        <f>F39+F75+F58+F74</f>
        <v>18601.506429999998</v>
      </c>
      <c r="G38" s="317">
        <f>G39+G75+G58</f>
        <v>26838.600000000002</v>
      </c>
      <c r="H38" s="317">
        <v>0</v>
      </c>
      <c r="I38" s="317">
        <f>I39+I75+I58</f>
        <v>24154.7</v>
      </c>
      <c r="J38" s="317">
        <f>J39+J75+J58</f>
        <v>2683.9</v>
      </c>
      <c r="K38" s="317">
        <f>K39+K75+K58</f>
        <v>26838.600000000002</v>
      </c>
      <c r="L38" s="317">
        <f>L39+L75+L58</f>
        <v>24154.7</v>
      </c>
      <c r="M38" s="317">
        <f>M39+M75+M58</f>
        <v>2683.9</v>
      </c>
    </row>
    <row r="39" spans="1:13" s="327" customFormat="1" ht="31.2" x14ac:dyDescent="0.3">
      <c r="A39" s="324"/>
      <c r="B39" s="325" t="s">
        <v>821</v>
      </c>
      <c r="C39" s="326">
        <f>E39+F39</f>
        <v>27092.222280000002</v>
      </c>
      <c r="D39" s="326">
        <v>0</v>
      </c>
      <c r="E39" s="326">
        <f>SUM(E40:E57)</f>
        <v>24383.000000000004</v>
      </c>
      <c r="F39" s="326">
        <f>SUM(F40:F57)</f>
        <v>2709.22228</v>
      </c>
      <c r="G39" s="326">
        <f>SUM(I39+J39)</f>
        <v>26838.600000000002</v>
      </c>
      <c r="H39" s="326">
        <v>0</v>
      </c>
      <c r="I39" s="326">
        <f>SUM(I40:I57)</f>
        <v>24154.7</v>
      </c>
      <c r="J39" s="326">
        <f>SUM(J40:J57)</f>
        <v>2683.9</v>
      </c>
      <c r="K39" s="326">
        <f>SUM(L39+M39)</f>
        <v>26838.600000000002</v>
      </c>
      <c r="L39" s="326">
        <f>SUM(L40:L57)</f>
        <v>24154.7</v>
      </c>
      <c r="M39" s="326">
        <f>SUM(M40:M57)</f>
        <v>2683.9</v>
      </c>
    </row>
    <row r="40" spans="1:13" s="327" customFormat="1" ht="15.6" x14ac:dyDescent="0.3">
      <c r="A40" s="324"/>
      <c r="B40" s="328" t="s">
        <v>822</v>
      </c>
      <c r="C40" s="329">
        <v>0</v>
      </c>
      <c r="D40" s="329">
        <v>0</v>
      </c>
      <c r="E40" s="330">
        <v>0</v>
      </c>
      <c r="F40" s="329">
        <v>0</v>
      </c>
      <c r="G40" s="329">
        <f>SUM(I40+J40)</f>
        <v>26838.600000000002</v>
      </c>
      <c r="H40" s="329">
        <v>0</v>
      </c>
      <c r="I40" s="329">
        <v>24154.7</v>
      </c>
      <c r="J40" s="329">
        <v>2683.9</v>
      </c>
      <c r="K40" s="329">
        <f>SUM(L40+M40)</f>
        <v>26838.600000000002</v>
      </c>
      <c r="L40" s="329">
        <v>24154.7</v>
      </c>
      <c r="M40" s="329">
        <v>2683.9</v>
      </c>
    </row>
    <row r="41" spans="1:13" s="322" customFormat="1" ht="31.2" x14ac:dyDescent="0.3">
      <c r="A41" s="319"/>
      <c r="B41" s="331" t="s">
        <v>823</v>
      </c>
      <c r="C41" s="329">
        <f>D41+E41+F41</f>
        <v>6100.82348</v>
      </c>
      <c r="D41" s="329">
        <v>0</v>
      </c>
      <c r="E41" s="392">
        <v>5490.7411300000003</v>
      </c>
      <c r="F41" s="392">
        <v>610.08235000000002</v>
      </c>
      <c r="G41" s="321">
        <v>0</v>
      </c>
      <c r="H41" s="321">
        <v>0</v>
      </c>
      <c r="I41" s="321">
        <v>0</v>
      </c>
      <c r="J41" s="321">
        <v>0</v>
      </c>
      <c r="K41" s="321">
        <v>0</v>
      </c>
      <c r="L41" s="321">
        <v>0</v>
      </c>
      <c r="M41" s="321">
        <v>0</v>
      </c>
    </row>
    <row r="42" spans="1:13" s="322" customFormat="1" ht="31.2" x14ac:dyDescent="0.3">
      <c r="A42" s="319"/>
      <c r="B42" s="332" t="s">
        <v>824</v>
      </c>
      <c r="C42" s="329">
        <f t="shared" ref="C42:C57" si="5">D42+E42+F42</f>
        <v>9346.1765300000006</v>
      </c>
      <c r="D42" s="329">
        <v>0</v>
      </c>
      <c r="E42" s="329">
        <v>8411.5588700000008</v>
      </c>
      <c r="F42" s="329">
        <v>934.61766</v>
      </c>
      <c r="G42" s="321">
        <v>0</v>
      </c>
      <c r="H42" s="321">
        <v>0</v>
      </c>
      <c r="I42" s="321">
        <v>0</v>
      </c>
      <c r="J42" s="321">
        <v>0</v>
      </c>
      <c r="K42" s="321">
        <v>0</v>
      </c>
      <c r="L42" s="321">
        <v>0</v>
      </c>
      <c r="M42" s="321">
        <v>0</v>
      </c>
    </row>
    <row r="43" spans="1:13" s="322" customFormat="1" ht="15.6" x14ac:dyDescent="0.3">
      <c r="A43" s="319"/>
      <c r="B43" s="332" t="s">
        <v>825</v>
      </c>
      <c r="C43" s="329">
        <f t="shared" si="5"/>
        <v>600</v>
      </c>
      <c r="D43" s="329">
        <v>0</v>
      </c>
      <c r="E43" s="329">
        <v>540</v>
      </c>
      <c r="F43" s="329">
        <v>60</v>
      </c>
      <c r="G43" s="321">
        <v>0</v>
      </c>
      <c r="H43" s="321">
        <v>0</v>
      </c>
      <c r="I43" s="321">
        <v>0</v>
      </c>
      <c r="J43" s="321">
        <v>0</v>
      </c>
      <c r="K43" s="321">
        <v>0</v>
      </c>
      <c r="L43" s="321">
        <v>0</v>
      </c>
      <c r="M43" s="321">
        <v>0</v>
      </c>
    </row>
    <row r="44" spans="1:13" s="322" customFormat="1" ht="31.2" x14ac:dyDescent="0.3">
      <c r="A44" s="319"/>
      <c r="B44" s="332" t="s">
        <v>826</v>
      </c>
      <c r="C44" s="329">
        <f t="shared" si="5"/>
        <v>600</v>
      </c>
      <c r="D44" s="329">
        <v>0</v>
      </c>
      <c r="E44" s="329">
        <v>540</v>
      </c>
      <c r="F44" s="329">
        <v>60</v>
      </c>
      <c r="G44" s="321">
        <v>0</v>
      </c>
      <c r="H44" s="321">
        <v>0</v>
      </c>
      <c r="I44" s="321">
        <v>0</v>
      </c>
      <c r="J44" s="321">
        <v>0</v>
      </c>
      <c r="K44" s="321">
        <v>0</v>
      </c>
      <c r="L44" s="321">
        <v>0</v>
      </c>
      <c r="M44" s="321">
        <v>0</v>
      </c>
    </row>
    <row r="45" spans="1:13" s="322" customFormat="1" ht="31.2" x14ac:dyDescent="0.3">
      <c r="A45" s="319"/>
      <c r="B45" s="332" t="s">
        <v>827</v>
      </c>
      <c r="C45" s="329">
        <f t="shared" si="5"/>
        <v>600</v>
      </c>
      <c r="D45" s="329">
        <v>0</v>
      </c>
      <c r="E45" s="329">
        <v>540</v>
      </c>
      <c r="F45" s="329">
        <v>60</v>
      </c>
      <c r="G45" s="321">
        <v>0</v>
      </c>
      <c r="H45" s="321">
        <v>0</v>
      </c>
      <c r="I45" s="321">
        <v>0</v>
      </c>
      <c r="J45" s="321">
        <v>0</v>
      </c>
      <c r="K45" s="321">
        <v>0</v>
      </c>
      <c r="L45" s="321">
        <v>0</v>
      </c>
      <c r="M45" s="321">
        <v>0</v>
      </c>
    </row>
    <row r="46" spans="1:13" s="322" customFormat="1" ht="31.2" x14ac:dyDescent="0.3">
      <c r="A46" s="319"/>
      <c r="B46" s="332" t="s">
        <v>828</v>
      </c>
      <c r="C46" s="329">
        <f t="shared" si="5"/>
        <v>600</v>
      </c>
      <c r="D46" s="329">
        <v>0</v>
      </c>
      <c r="E46" s="329">
        <v>540</v>
      </c>
      <c r="F46" s="329">
        <v>60</v>
      </c>
      <c r="G46" s="321">
        <v>0</v>
      </c>
      <c r="H46" s="321">
        <v>0</v>
      </c>
      <c r="I46" s="321">
        <v>0</v>
      </c>
      <c r="J46" s="321">
        <v>0</v>
      </c>
      <c r="K46" s="321">
        <v>0</v>
      </c>
      <c r="L46" s="321">
        <v>0</v>
      </c>
      <c r="M46" s="321">
        <v>0</v>
      </c>
    </row>
    <row r="47" spans="1:13" s="322" customFormat="1" ht="31.2" x14ac:dyDescent="0.3">
      <c r="A47" s="319"/>
      <c r="B47" s="332" t="s">
        <v>829</v>
      </c>
      <c r="C47" s="329">
        <f t="shared" si="5"/>
        <v>1086.6940099999999</v>
      </c>
      <c r="D47" s="329">
        <v>0</v>
      </c>
      <c r="E47" s="329">
        <v>978.02459999999996</v>
      </c>
      <c r="F47" s="329">
        <v>108.66941</v>
      </c>
      <c r="G47" s="321">
        <v>0</v>
      </c>
      <c r="H47" s="321">
        <v>0</v>
      </c>
      <c r="I47" s="321">
        <v>0</v>
      </c>
      <c r="J47" s="321">
        <v>0</v>
      </c>
      <c r="K47" s="321">
        <v>0</v>
      </c>
      <c r="L47" s="321">
        <v>0</v>
      </c>
      <c r="M47" s="321">
        <v>0</v>
      </c>
    </row>
    <row r="48" spans="1:13" s="322" customFormat="1" ht="31.2" x14ac:dyDescent="0.3">
      <c r="A48" s="319"/>
      <c r="B48" s="332" t="s">
        <v>830</v>
      </c>
      <c r="C48" s="329">
        <f t="shared" si="5"/>
        <v>1210.0572200000001</v>
      </c>
      <c r="D48" s="329">
        <v>0</v>
      </c>
      <c r="E48" s="329">
        <v>1089.0514900000001</v>
      </c>
      <c r="F48" s="329">
        <v>121.00573</v>
      </c>
      <c r="G48" s="321">
        <v>0</v>
      </c>
      <c r="H48" s="321">
        <v>0</v>
      </c>
      <c r="I48" s="321">
        <v>0</v>
      </c>
      <c r="J48" s="321">
        <v>0</v>
      </c>
      <c r="K48" s="321">
        <v>0</v>
      </c>
      <c r="L48" s="321">
        <v>0</v>
      </c>
      <c r="M48" s="321">
        <v>0</v>
      </c>
    </row>
    <row r="49" spans="1:16" s="322" customFormat="1" ht="31.2" x14ac:dyDescent="0.3">
      <c r="A49" s="319"/>
      <c r="B49" s="332" t="s">
        <v>831</v>
      </c>
      <c r="C49" s="329">
        <f t="shared" si="5"/>
        <v>939.35595000000001</v>
      </c>
      <c r="D49" s="329">
        <v>0</v>
      </c>
      <c r="E49" s="329">
        <v>845.42034999999998</v>
      </c>
      <c r="F49" s="329">
        <v>93.935599999999994</v>
      </c>
      <c r="G49" s="321">
        <v>0</v>
      </c>
      <c r="H49" s="321">
        <v>0</v>
      </c>
      <c r="I49" s="321">
        <v>0</v>
      </c>
      <c r="J49" s="321">
        <v>0</v>
      </c>
      <c r="K49" s="321">
        <v>0</v>
      </c>
      <c r="L49" s="321">
        <v>0</v>
      </c>
      <c r="M49" s="321">
        <v>0</v>
      </c>
    </row>
    <row r="50" spans="1:16" s="322" customFormat="1" ht="15.6" x14ac:dyDescent="0.3">
      <c r="A50" s="319"/>
      <c r="B50" s="332" t="s">
        <v>832</v>
      </c>
      <c r="C50" s="329">
        <f t="shared" si="5"/>
        <v>583.35278000000005</v>
      </c>
      <c r="D50" s="329">
        <v>0</v>
      </c>
      <c r="E50" s="329">
        <v>525.01750000000004</v>
      </c>
      <c r="F50" s="329">
        <v>58.335279999999997</v>
      </c>
      <c r="G50" s="321">
        <v>0</v>
      </c>
      <c r="H50" s="321">
        <v>0</v>
      </c>
      <c r="I50" s="321">
        <v>0</v>
      </c>
      <c r="J50" s="321">
        <v>0</v>
      </c>
      <c r="K50" s="321">
        <v>0</v>
      </c>
      <c r="L50" s="321">
        <v>0</v>
      </c>
      <c r="M50" s="321">
        <v>0</v>
      </c>
    </row>
    <row r="51" spans="1:16" s="322" customFormat="1" ht="31.2" x14ac:dyDescent="0.3">
      <c r="A51" s="319"/>
      <c r="B51" s="332" t="s">
        <v>833</v>
      </c>
      <c r="C51" s="329">
        <f t="shared" si="5"/>
        <v>942.15042000000005</v>
      </c>
      <c r="D51" s="329">
        <v>0</v>
      </c>
      <c r="E51" s="329">
        <v>847.93537000000003</v>
      </c>
      <c r="F51" s="329">
        <v>94.215050000000005</v>
      </c>
      <c r="G51" s="321">
        <v>0</v>
      </c>
      <c r="H51" s="321">
        <v>0</v>
      </c>
      <c r="I51" s="321">
        <v>0</v>
      </c>
      <c r="J51" s="321">
        <v>0</v>
      </c>
      <c r="K51" s="321">
        <v>0</v>
      </c>
      <c r="L51" s="321">
        <v>0</v>
      </c>
      <c r="M51" s="321">
        <v>0</v>
      </c>
    </row>
    <row r="52" spans="1:16" s="322" customFormat="1" ht="31.2" x14ac:dyDescent="0.3">
      <c r="A52" s="319"/>
      <c r="B52" s="332" t="s">
        <v>834</v>
      </c>
      <c r="C52" s="329">
        <f t="shared" si="5"/>
        <v>600</v>
      </c>
      <c r="D52" s="329">
        <v>0</v>
      </c>
      <c r="E52" s="329">
        <v>540</v>
      </c>
      <c r="F52" s="329">
        <v>60</v>
      </c>
      <c r="G52" s="321">
        <v>0</v>
      </c>
      <c r="H52" s="321">
        <v>0</v>
      </c>
      <c r="I52" s="321">
        <v>0</v>
      </c>
      <c r="J52" s="321">
        <v>0</v>
      </c>
      <c r="K52" s="321">
        <v>0</v>
      </c>
      <c r="L52" s="321">
        <v>0</v>
      </c>
      <c r="M52" s="321">
        <v>0</v>
      </c>
    </row>
    <row r="53" spans="1:16" s="322" customFormat="1" ht="31.2" x14ac:dyDescent="0.3">
      <c r="A53" s="319"/>
      <c r="B53" s="332" t="s">
        <v>835</v>
      </c>
      <c r="C53" s="329">
        <f t="shared" si="5"/>
        <v>1538.2048200000002</v>
      </c>
      <c r="D53" s="329">
        <v>0</v>
      </c>
      <c r="E53" s="329">
        <v>1384.3843300000001</v>
      </c>
      <c r="F53" s="329">
        <v>153.82049000000001</v>
      </c>
      <c r="G53" s="321">
        <v>0</v>
      </c>
      <c r="H53" s="321">
        <v>0</v>
      </c>
      <c r="I53" s="321">
        <v>0</v>
      </c>
      <c r="J53" s="321">
        <v>0</v>
      </c>
      <c r="K53" s="321">
        <v>0</v>
      </c>
      <c r="L53" s="321">
        <v>0</v>
      </c>
      <c r="M53" s="321">
        <v>0</v>
      </c>
    </row>
    <row r="54" spans="1:16" s="322" customFormat="1" ht="31.2" x14ac:dyDescent="0.3">
      <c r="A54" s="319"/>
      <c r="B54" s="332" t="s">
        <v>836</v>
      </c>
      <c r="C54" s="329">
        <f t="shared" si="5"/>
        <v>600</v>
      </c>
      <c r="D54" s="329">
        <v>0</v>
      </c>
      <c r="E54" s="329">
        <v>540</v>
      </c>
      <c r="F54" s="329">
        <v>60</v>
      </c>
      <c r="G54" s="321">
        <v>0</v>
      </c>
      <c r="H54" s="321">
        <v>0</v>
      </c>
      <c r="I54" s="321">
        <v>0</v>
      </c>
      <c r="J54" s="321">
        <v>0</v>
      </c>
      <c r="K54" s="321">
        <v>0</v>
      </c>
      <c r="L54" s="321">
        <v>0</v>
      </c>
      <c r="M54" s="321">
        <v>0</v>
      </c>
    </row>
    <row r="55" spans="1:16" s="322" customFormat="1" ht="15.6" x14ac:dyDescent="0.3">
      <c r="A55" s="319"/>
      <c r="B55" s="332" t="s">
        <v>837</v>
      </c>
      <c r="C55" s="329">
        <f t="shared" si="5"/>
        <v>578.21257000000003</v>
      </c>
      <c r="D55" s="329">
        <v>0</v>
      </c>
      <c r="E55" s="329">
        <v>520.39130999999998</v>
      </c>
      <c r="F55" s="329">
        <v>57.821260000000002</v>
      </c>
      <c r="G55" s="321">
        <v>0</v>
      </c>
      <c r="H55" s="321">
        <v>0</v>
      </c>
      <c r="I55" s="321">
        <v>0</v>
      </c>
      <c r="J55" s="321">
        <v>0</v>
      </c>
      <c r="K55" s="321">
        <v>0</v>
      </c>
      <c r="L55" s="321">
        <v>0</v>
      </c>
      <c r="M55" s="321">
        <v>0</v>
      </c>
    </row>
    <row r="56" spans="1:16" s="322" customFormat="1" ht="15.6" x14ac:dyDescent="0.3">
      <c r="A56" s="319"/>
      <c r="B56" s="332" t="s">
        <v>838</v>
      </c>
      <c r="C56" s="329">
        <f t="shared" si="5"/>
        <v>600</v>
      </c>
      <c r="D56" s="329">
        <v>0</v>
      </c>
      <c r="E56" s="329">
        <v>540</v>
      </c>
      <c r="F56" s="329">
        <v>60</v>
      </c>
      <c r="G56" s="321">
        <v>0</v>
      </c>
      <c r="H56" s="321">
        <v>0</v>
      </c>
      <c r="I56" s="321">
        <v>0</v>
      </c>
      <c r="J56" s="321">
        <v>0</v>
      </c>
      <c r="K56" s="321">
        <v>0</v>
      </c>
      <c r="L56" s="321">
        <v>0</v>
      </c>
      <c r="M56" s="321">
        <v>0</v>
      </c>
    </row>
    <row r="57" spans="1:16" s="322" customFormat="1" ht="31.2" x14ac:dyDescent="0.3">
      <c r="A57" s="319"/>
      <c r="B57" s="332" t="s">
        <v>839</v>
      </c>
      <c r="C57" s="329">
        <f t="shared" si="5"/>
        <v>567.19450000000006</v>
      </c>
      <c r="D57" s="329">
        <v>0</v>
      </c>
      <c r="E57" s="329">
        <v>510.47505000000001</v>
      </c>
      <c r="F57" s="329">
        <v>56.719450000000002</v>
      </c>
      <c r="G57" s="321">
        <v>0</v>
      </c>
      <c r="H57" s="321">
        <v>0</v>
      </c>
      <c r="I57" s="321">
        <v>0</v>
      </c>
      <c r="J57" s="321">
        <v>0</v>
      </c>
      <c r="K57" s="321">
        <v>0</v>
      </c>
      <c r="L57" s="321">
        <v>0</v>
      </c>
      <c r="M57" s="321">
        <v>0</v>
      </c>
    </row>
    <row r="58" spans="1:16" s="327" customFormat="1" ht="31.2" x14ac:dyDescent="0.3">
      <c r="A58" s="324"/>
      <c r="B58" s="325" t="s">
        <v>840</v>
      </c>
      <c r="C58" s="326">
        <f>E58+F58</f>
        <v>7624.5841499999997</v>
      </c>
      <c r="D58" s="326">
        <v>0</v>
      </c>
      <c r="E58" s="326">
        <v>0</v>
      </c>
      <c r="F58" s="326">
        <f>SUM(F59:F73)</f>
        <v>7624.5841499999997</v>
      </c>
      <c r="G58" s="326">
        <v>0</v>
      </c>
      <c r="H58" s="326">
        <v>0</v>
      </c>
      <c r="I58" s="326">
        <v>0</v>
      </c>
      <c r="J58" s="326">
        <v>0</v>
      </c>
      <c r="K58" s="326">
        <v>0</v>
      </c>
      <c r="L58" s="326">
        <v>0</v>
      </c>
      <c r="M58" s="326">
        <v>0</v>
      </c>
      <c r="N58" s="333"/>
      <c r="O58" s="333"/>
      <c r="P58" s="333"/>
    </row>
    <row r="59" spans="1:16" s="327" customFormat="1" ht="15.6" x14ac:dyDescent="0.3">
      <c r="A59" s="357"/>
      <c r="B59" s="358" t="s">
        <v>879</v>
      </c>
      <c r="C59" s="388">
        <f>D59+E59+F59</f>
        <v>0</v>
      </c>
      <c r="D59" s="388">
        <v>0</v>
      </c>
      <c r="E59" s="388">
        <v>0</v>
      </c>
      <c r="F59" s="388">
        <v>0</v>
      </c>
      <c r="G59" s="359">
        <v>0</v>
      </c>
      <c r="H59" s="359">
        <v>0</v>
      </c>
      <c r="I59" s="359">
        <v>0</v>
      </c>
      <c r="J59" s="359">
        <v>0</v>
      </c>
      <c r="K59" s="359">
        <v>0</v>
      </c>
      <c r="L59" s="359">
        <v>0</v>
      </c>
      <c r="M59" s="359">
        <v>0</v>
      </c>
      <c r="N59" s="333"/>
      <c r="O59" s="333"/>
      <c r="P59" s="333"/>
    </row>
    <row r="60" spans="1:16" s="322" customFormat="1" ht="31.2" x14ac:dyDescent="0.3">
      <c r="A60" s="319"/>
      <c r="B60" s="334" t="s">
        <v>841</v>
      </c>
      <c r="C60" s="329">
        <f>E60+F60</f>
        <v>600</v>
      </c>
      <c r="D60" s="329">
        <v>0</v>
      </c>
      <c r="E60" s="329">
        <v>0</v>
      </c>
      <c r="F60" s="329">
        <v>600</v>
      </c>
      <c r="G60" s="321">
        <v>0</v>
      </c>
      <c r="H60" s="321">
        <v>0</v>
      </c>
      <c r="I60" s="321">
        <v>0</v>
      </c>
      <c r="J60" s="321">
        <v>0</v>
      </c>
      <c r="K60" s="321">
        <v>0</v>
      </c>
      <c r="L60" s="321">
        <v>0</v>
      </c>
      <c r="M60" s="321">
        <v>0</v>
      </c>
    </row>
    <row r="61" spans="1:16" s="322" customFormat="1" ht="46.8" x14ac:dyDescent="0.3">
      <c r="A61" s="319"/>
      <c r="B61" s="334" t="s">
        <v>842</v>
      </c>
      <c r="C61" s="329">
        <f t="shared" ref="C61:C73" si="6">E61+F61</f>
        <v>454.3</v>
      </c>
      <c r="D61" s="329">
        <v>0</v>
      </c>
      <c r="E61" s="329">
        <v>0</v>
      </c>
      <c r="F61" s="329">
        <v>454.3</v>
      </c>
      <c r="G61" s="321">
        <v>0</v>
      </c>
      <c r="H61" s="321">
        <v>0</v>
      </c>
      <c r="I61" s="321">
        <v>0</v>
      </c>
      <c r="J61" s="321">
        <v>0</v>
      </c>
      <c r="K61" s="321">
        <v>0</v>
      </c>
      <c r="L61" s="321">
        <v>0</v>
      </c>
      <c r="M61" s="321">
        <v>0</v>
      </c>
    </row>
    <row r="62" spans="1:16" s="322" customFormat="1" ht="31.2" x14ac:dyDescent="0.3">
      <c r="A62" s="319"/>
      <c r="B62" s="334" t="s">
        <v>843</v>
      </c>
      <c r="C62" s="329">
        <f t="shared" si="6"/>
        <v>579</v>
      </c>
      <c r="D62" s="329">
        <v>0</v>
      </c>
      <c r="E62" s="329">
        <v>0</v>
      </c>
      <c r="F62" s="329">
        <v>579</v>
      </c>
      <c r="G62" s="321">
        <v>0</v>
      </c>
      <c r="H62" s="321">
        <v>0</v>
      </c>
      <c r="I62" s="321">
        <v>0</v>
      </c>
      <c r="J62" s="321">
        <v>0</v>
      </c>
      <c r="K62" s="321">
        <v>0</v>
      </c>
      <c r="L62" s="321">
        <v>0</v>
      </c>
      <c r="M62" s="321">
        <v>0</v>
      </c>
    </row>
    <row r="63" spans="1:16" s="322" customFormat="1" ht="31.2" x14ac:dyDescent="0.3">
      <c r="A63" s="319"/>
      <c r="B63" s="334" t="s">
        <v>884</v>
      </c>
      <c r="C63" s="329">
        <f t="shared" si="6"/>
        <v>525.9</v>
      </c>
      <c r="D63" s="329">
        <v>0</v>
      </c>
      <c r="E63" s="329">
        <v>0</v>
      </c>
      <c r="F63" s="329">
        <v>525.9</v>
      </c>
      <c r="G63" s="321">
        <v>0</v>
      </c>
      <c r="H63" s="321">
        <v>0</v>
      </c>
      <c r="I63" s="321">
        <v>0</v>
      </c>
      <c r="J63" s="321">
        <v>0</v>
      </c>
      <c r="K63" s="321">
        <v>0</v>
      </c>
      <c r="L63" s="321">
        <v>0</v>
      </c>
      <c r="M63" s="321">
        <v>0</v>
      </c>
    </row>
    <row r="64" spans="1:16" s="322" customFormat="1" ht="31.2" x14ac:dyDescent="0.3">
      <c r="A64" s="319"/>
      <c r="B64" s="334" t="s">
        <v>844</v>
      </c>
      <c r="C64" s="329">
        <f t="shared" si="6"/>
        <v>600</v>
      </c>
      <c r="D64" s="329">
        <v>0</v>
      </c>
      <c r="E64" s="329">
        <v>0</v>
      </c>
      <c r="F64" s="329">
        <v>600</v>
      </c>
      <c r="G64" s="321">
        <v>0</v>
      </c>
      <c r="H64" s="321">
        <v>0</v>
      </c>
      <c r="I64" s="321">
        <v>0</v>
      </c>
      <c r="J64" s="321">
        <v>0</v>
      </c>
      <c r="K64" s="321">
        <v>0</v>
      </c>
      <c r="L64" s="321">
        <v>0</v>
      </c>
      <c r="M64" s="321">
        <v>0</v>
      </c>
    </row>
    <row r="65" spans="1:16" s="322" customFormat="1" ht="31.2" x14ac:dyDescent="0.3">
      <c r="A65" s="319"/>
      <c r="B65" s="334" t="s">
        <v>845</v>
      </c>
      <c r="C65" s="329">
        <f t="shared" si="6"/>
        <v>600</v>
      </c>
      <c r="D65" s="329">
        <v>0</v>
      </c>
      <c r="E65" s="329">
        <v>0</v>
      </c>
      <c r="F65" s="329">
        <v>600</v>
      </c>
      <c r="G65" s="321">
        <v>0</v>
      </c>
      <c r="H65" s="321">
        <v>0</v>
      </c>
      <c r="I65" s="321">
        <v>0</v>
      </c>
      <c r="J65" s="321">
        <v>0</v>
      </c>
      <c r="K65" s="321">
        <v>0</v>
      </c>
      <c r="L65" s="321">
        <v>0</v>
      </c>
      <c r="M65" s="321">
        <v>0</v>
      </c>
    </row>
    <row r="66" spans="1:16" s="322" customFormat="1" ht="46.8" x14ac:dyDescent="0.3">
      <c r="A66" s="335"/>
      <c r="B66" s="336" t="s">
        <v>846</v>
      </c>
      <c r="C66" s="329">
        <f t="shared" si="6"/>
        <v>600</v>
      </c>
      <c r="D66" s="329">
        <v>0</v>
      </c>
      <c r="E66" s="329">
        <v>0</v>
      </c>
      <c r="F66" s="329">
        <v>600</v>
      </c>
      <c r="G66" s="321">
        <v>0</v>
      </c>
      <c r="H66" s="321">
        <v>0</v>
      </c>
      <c r="I66" s="321">
        <v>0</v>
      </c>
      <c r="J66" s="321">
        <v>0</v>
      </c>
      <c r="K66" s="321">
        <v>0</v>
      </c>
      <c r="L66" s="321">
        <v>0</v>
      </c>
      <c r="M66" s="321">
        <v>0</v>
      </c>
    </row>
    <row r="67" spans="1:16" s="322" customFormat="1" ht="31.2" x14ac:dyDescent="0.3">
      <c r="A67" s="335"/>
      <c r="B67" s="336" t="s">
        <v>885</v>
      </c>
      <c r="C67" s="329">
        <f t="shared" si="6"/>
        <v>814.88220999999999</v>
      </c>
      <c r="D67" s="329">
        <v>0</v>
      </c>
      <c r="E67" s="329">
        <v>0</v>
      </c>
      <c r="F67" s="329">
        <f>815.6-0.71779</f>
        <v>814.88220999999999</v>
      </c>
      <c r="G67" s="321">
        <v>0</v>
      </c>
      <c r="H67" s="321">
        <v>0</v>
      </c>
      <c r="I67" s="321">
        <v>0</v>
      </c>
      <c r="J67" s="321">
        <v>0</v>
      </c>
      <c r="K67" s="321">
        <v>0</v>
      </c>
      <c r="L67" s="321">
        <v>0</v>
      </c>
      <c r="M67" s="321">
        <v>0</v>
      </c>
    </row>
    <row r="68" spans="1:16" s="322" customFormat="1" ht="31.2" x14ac:dyDescent="0.3">
      <c r="A68" s="335"/>
      <c r="B68" s="336" t="s">
        <v>847</v>
      </c>
      <c r="C68" s="329">
        <f t="shared" si="6"/>
        <v>348.4</v>
      </c>
      <c r="D68" s="329">
        <v>0</v>
      </c>
      <c r="E68" s="329">
        <v>0</v>
      </c>
      <c r="F68" s="329">
        <v>348.4</v>
      </c>
      <c r="G68" s="321">
        <v>0</v>
      </c>
      <c r="H68" s="321">
        <v>0</v>
      </c>
      <c r="I68" s="321">
        <v>0</v>
      </c>
      <c r="J68" s="321">
        <v>0</v>
      </c>
      <c r="K68" s="321">
        <v>0</v>
      </c>
      <c r="L68" s="321">
        <v>0</v>
      </c>
      <c r="M68" s="321">
        <v>0</v>
      </c>
    </row>
    <row r="69" spans="1:16" s="322" customFormat="1" ht="46.8" x14ac:dyDescent="0.3">
      <c r="A69" s="335"/>
      <c r="B69" s="336" t="s">
        <v>848</v>
      </c>
      <c r="C69" s="329">
        <f t="shared" si="6"/>
        <v>488.3</v>
      </c>
      <c r="D69" s="329">
        <v>0</v>
      </c>
      <c r="E69" s="329">
        <v>0</v>
      </c>
      <c r="F69" s="329">
        <v>488.3</v>
      </c>
      <c r="G69" s="321">
        <v>0</v>
      </c>
      <c r="H69" s="321">
        <v>0</v>
      </c>
      <c r="I69" s="321">
        <v>0</v>
      </c>
      <c r="J69" s="321">
        <v>0</v>
      </c>
      <c r="K69" s="321">
        <v>0</v>
      </c>
      <c r="L69" s="321">
        <v>0</v>
      </c>
      <c r="M69" s="321">
        <v>0</v>
      </c>
    </row>
    <row r="70" spans="1:16" s="322" customFormat="1" ht="31.2" x14ac:dyDescent="0.3">
      <c r="A70" s="319"/>
      <c r="B70" s="334" t="s">
        <v>849</v>
      </c>
      <c r="C70" s="329">
        <f t="shared" si="6"/>
        <v>600</v>
      </c>
      <c r="D70" s="329">
        <v>0</v>
      </c>
      <c r="E70" s="329">
        <v>0</v>
      </c>
      <c r="F70" s="329">
        <v>600</v>
      </c>
      <c r="G70" s="321">
        <v>0</v>
      </c>
      <c r="H70" s="321">
        <v>0</v>
      </c>
      <c r="I70" s="321">
        <v>0</v>
      </c>
      <c r="J70" s="321">
        <v>0</v>
      </c>
      <c r="K70" s="321">
        <v>0</v>
      </c>
      <c r="L70" s="321">
        <v>0</v>
      </c>
      <c r="M70" s="321">
        <v>0</v>
      </c>
    </row>
    <row r="71" spans="1:16" s="322" customFormat="1" ht="31.2" x14ac:dyDescent="0.3">
      <c r="A71" s="400"/>
      <c r="B71" s="449" t="s">
        <v>917</v>
      </c>
      <c r="C71" s="329">
        <f t="shared" si="6"/>
        <v>219.80194</v>
      </c>
      <c r="D71" s="401">
        <v>0</v>
      </c>
      <c r="E71" s="401">
        <v>0</v>
      </c>
      <c r="F71" s="401">
        <v>219.80194</v>
      </c>
      <c r="G71" s="450">
        <v>0</v>
      </c>
      <c r="H71" s="450">
        <v>0</v>
      </c>
      <c r="I71" s="450">
        <v>0</v>
      </c>
      <c r="J71" s="450">
        <v>0</v>
      </c>
      <c r="K71" s="450">
        <v>0</v>
      </c>
      <c r="L71" s="450">
        <v>0</v>
      </c>
      <c r="M71" s="450">
        <v>0</v>
      </c>
    </row>
    <row r="72" spans="1:16" s="322" customFormat="1" ht="15.6" x14ac:dyDescent="0.3">
      <c r="A72" s="400"/>
      <c r="B72" s="449" t="s">
        <v>918</v>
      </c>
      <c r="C72" s="329">
        <f t="shared" si="6"/>
        <v>597</v>
      </c>
      <c r="D72" s="401">
        <v>0</v>
      </c>
      <c r="E72" s="401">
        <v>0</v>
      </c>
      <c r="F72" s="401">
        <v>597</v>
      </c>
      <c r="G72" s="450">
        <v>0</v>
      </c>
      <c r="H72" s="450">
        <v>0</v>
      </c>
      <c r="I72" s="450">
        <v>0</v>
      </c>
      <c r="J72" s="450">
        <v>0</v>
      </c>
      <c r="K72" s="450">
        <v>0</v>
      </c>
      <c r="L72" s="450">
        <v>0</v>
      </c>
      <c r="M72" s="450">
        <v>0</v>
      </c>
    </row>
    <row r="73" spans="1:16" s="322" customFormat="1" ht="31.2" x14ac:dyDescent="0.3">
      <c r="A73" s="400"/>
      <c r="B73" s="449" t="s">
        <v>919</v>
      </c>
      <c r="C73" s="329">
        <f t="shared" si="6"/>
        <v>597</v>
      </c>
      <c r="D73" s="401">
        <v>0</v>
      </c>
      <c r="E73" s="401">
        <v>0</v>
      </c>
      <c r="F73" s="401">
        <v>597</v>
      </c>
      <c r="G73" s="450">
        <v>0</v>
      </c>
      <c r="H73" s="450">
        <v>0</v>
      </c>
      <c r="I73" s="450">
        <v>0</v>
      </c>
      <c r="J73" s="450">
        <v>0</v>
      </c>
      <c r="K73" s="450">
        <v>0</v>
      </c>
      <c r="L73" s="450">
        <v>0</v>
      </c>
      <c r="M73" s="450">
        <v>0</v>
      </c>
    </row>
    <row r="74" spans="1:16" s="327" customFormat="1" ht="31.2" x14ac:dyDescent="0.3">
      <c r="A74" s="376"/>
      <c r="B74" s="451" t="s">
        <v>888</v>
      </c>
      <c r="C74" s="452">
        <v>600</v>
      </c>
      <c r="D74" s="452">
        <v>0</v>
      </c>
      <c r="E74" s="452">
        <v>0</v>
      </c>
      <c r="F74" s="452">
        <v>600</v>
      </c>
      <c r="G74" s="377">
        <v>0</v>
      </c>
      <c r="H74" s="377">
        <v>0</v>
      </c>
      <c r="I74" s="377">
        <v>0</v>
      </c>
      <c r="J74" s="377">
        <v>0</v>
      </c>
      <c r="K74" s="377">
        <v>0</v>
      </c>
      <c r="L74" s="377">
        <v>0</v>
      </c>
      <c r="M74" s="377">
        <v>0</v>
      </c>
    </row>
    <row r="75" spans="1:16" s="327" customFormat="1" ht="31.2" x14ac:dyDescent="0.3">
      <c r="A75" s="324"/>
      <c r="B75" s="325" t="s">
        <v>850</v>
      </c>
      <c r="C75" s="326">
        <f>F75</f>
        <v>7667.7</v>
      </c>
      <c r="D75" s="326">
        <v>0</v>
      </c>
      <c r="E75" s="326">
        <v>0</v>
      </c>
      <c r="F75" s="326">
        <f>SUM(F76:F87)</f>
        <v>7667.7</v>
      </c>
      <c r="G75" s="326">
        <v>0</v>
      </c>
      <c r="H75" s="326">
        <v>0</v>
      </c>
      <c r="I75" s="326">
        <v>0</v>
      </c>
      <c r="J75" s="326">
        <v>0</v>
      </c>
      <c r="K75" s="326">
        <v>0</v>
      </c>
      <c r="L75" s="326">
        <v>0</v>
      </c>
      <c r="M75" s="326">
        <v>0</v>
      </c>
      <c r="N75" s="333"/>
      <c r="O75" s="333"/>
      <c r="P75" s="333"/>
    </row>
    <row r="76" spans="1:16" s="327" customFormat="1" ht="15.6" x14ac:dyDescent="0.3">
      <c r="A76" s="390"/>
      <c r="B76" s="358" t="s">
        <v>879</v>
      </c>
      <c r="C76" s="391">
        <f>F76</f>
        <v>58.139999999999986</v>
      </c>
      <c r="D76" s="391">
        <v>0</v>
      </c>
      <c r="E76" s="391">
        <v>0</v>
      </c>
      <c r="F76" s="391">
        <f>238.57437+0.00063-180.435</f>
        <v>58.139999999999986</v>
      </c>
      <c r="G76" s="391">
        <v>0</v>
      </c>
      <c r="H76" s="391">
        <v>0</v>
      </c>
      <c r="I76" s="391">
        <v>0</v>
      </c>
      <c r="J76" s="391">
        <v>0</v>
      </c>
      <c r="K76" s="391">
        <v>0</v>
      </c>
      <c r="L76" s="391">
        <v>0</v>
      </c>
      <c r="M76" s="391">
        <v>0</v>
      </c>
      <c r="N76" s="333"/>
      <c r="O76" s="333"/>
      <c r="P76" s="333"/>
    </row>
    <row r="77" spans="1:16" s="322" customFormat="1" ht="31.2" x14ac:dyDescent="0.3">
      <c r="A77" s="319"/>
      <c r="B77" s="334" t="s">
        <v>851</v>
      </c>
      <c r="C77" s="329">
        <f t="shared" ref="C77:C87" si="7">F77</f>
        <v>580.79999999999995</v>
      </c>
      <c r="D77" s="329">
        <v>0</v>
      </c>
      <c r="E77" s="329">
        <v>0</v>
      </c>
      <c r="F77" s="329">
        <v>580.79999999999995</v>
      </c>
      <c r="G77" s="321">
        <v>0</v>
      </c>
      <c r="H77" s="321">
        <v>0</v>
      </c>
      <c r="I77" s="321">
        <v>0</v>
      </c>
      <c r="J77" s="321">
        <v>0</v>
      </c>
      <c r="K77" s="321">
        <v>0</v>
      </c>
      <c r="L77" s="321">
        <v>0</v>
      </c>
      <c r="M77" s="321">
        <v>0</v>
      </c>
    </row>
    <row r="78" spans="1:16" s="322" customFormat="1" ht="31.2" x14ac:dyDescent="0.3">
      <c r="A78" s="319"/>
      <c r="B78" s="334" t="s">
        <v>852</v>
      </c>
      <c r="C78" s="329">
        <f t="shared" si="7"/>
        <v>227.7</v>
      </c>
      <c r="D78" s="329">
        <v>0</v>
      </c>
      <c r="E78" s="329">
        <v>0</v>
      </c>
      <c r="F78" s="329">
        <v>227.7</v>
      </c>
      <c r="G78" s="321">
        <v>0</v>
      </c>
      <c r="H78" s="321">
        <v>0</v>
      </c>
      <c r="I78" s="321">
        <v>0</v>
      </c>
      <c r="J78" s="321">
        <v>0</v>
      </c>
      <c r="K78" s="321">
        <v>0</v>
      </c>
      <c r="L78" s="321">
        <v>0</v>
      </c>
      <c r="M78" s="321">
        <v>0</v>
      </c>
    </row>
    <row r="79" spans="1:16" s="322" customFormat="1" ht="31.2" x14ac:dyDescent="0.3">
      <c r="A79" s="319"/>
      <c r="B79" s="334" t="s">
        <v>853</v>
      </c>
      <c r="C79" s="329">
        <f t="shared" si="7"/>
        <v>595</v>
      </c>
      <c r="D79" s="329">
        <v>0</v>
      </c>
      <c r="E79" s="329">
        <v>0</v>
      </c>
      <c r="F79" s="329">
        <v>595</v>
      </c>
      <c r="G79" s="321">
        <v>0</v>
      </c>
      <c r="H79" s="321">
        <v>0</v>
      </c>
      <c r="I79" s="321">
        <v>0</v>
      </c>
      <c r="J79" s="321">
        <v>0</v>
      </c>
      <c r="K79" s="321">
        <v>0</v>
      </c>
      <c r="L79" s="321">
        <v>0</v>
      </c>
      <c r="M79" s="321">
        <v>0</v>
      </c>
    </row>
    <row r="80" spans="1:16" s="322" customFormat="1" ht="31.2" x14ac:dyDescent="0.3">
      <c r="A80" s="319"/>
      <c r="B80" s="334" t="s">
        <v>854</v>
      </c>
      <c r="C80" s="329">
        <f>F80</f>
        <v>227.9</v>
      </c>
      <c r="D80" s="329">
        <v>0</v>
      </c>
      <c r="E80" s="329">
        <v>0</v>
      </c>
      <c r="F80" s="329">
        <v>227.9</v>
      </c>
      <c r="G80" s="321">
        <v>0</v>
      </c>
      <c r="H80" s="321">
        <v>0</v>
      </c>
      <c r="I80" s="321">
        <v>0</v>
      </c>
      <c r="J80" s="321">
        <v>0</v>
      </c>
      <c r="K80" s="321">
        <v>0</v>
      </c>
      <c r="L80" s="321">
        <v>0</v>
      </c>
      <c r="M80" s="321">
        <v>0</v>
      </c>
    </row>
    <row r="81" spans="1:16" s="322" customFormat="1" ht="15.6" x14ac:dyDescent="0.3">
      <c r="A81" s="319"/>
      <c r="B81" s="334" t="s">
        <v>855</v>
      </c>
      <c r="C81" s="329">
        <f t="shared" si="7"/>
        <v>586.5</v>
      </c>
      <c r="D81" s="329">
        <v>0</v>
      </c>
      <c r="E81" s="329">
        <v>0</v>
      </c>
      <c r="F81" s="329">
        <v>586.5</v>
      </c>
      <c r="G81" s="321">
        <v>0</v>
      </c>
      <c r="H81" s="321">
        <v>0</v>
      </c>
      <c r="I81" s="321">
        <v>0</v>
      </c>
      <c r="J81" s="321">
        <v>0</v>
      </c>
      <c r="K81" s="321">
        <v>0</v>
      </c>
      <c r="L81" s="321">
        <v>0</v>
      </c>
      <c r="M81" s="321">
        <v>0</v>
      </c>
    </row>
    <row r="82" spans="1:16" s="322" customFormat="1" ht="31.2" x14ac:dyDescent="0.3">
      <c r="A82" s="319"/>
      <c r="B82" s="336" t="s">
        <v>899</v>
      </c>
      <c r="C82" s="329">
        <f t="shared" si="7"/>
        <v>600</v>
      </c>
      <c r="D82" s="329">
        <v>0</v>
      </c>
      <c r="E82" s="329">
        <v>0</v>
      </c>
      <c r="F82" s="329">
        <v>600</v>
      </c>
      <c r="G82" s="321">
        <v>0</v>
      </c>
      <c r="H82" s="321">
        <v>0</v>
      </c>
      <c r="I82" s="321">
        <v>0</v>
      </c>
      <c r="J82" s="321">
        <v>0</v>
      </c>
      <c r="K82" s="321">
        <v>0</v>
      </c>
      <c r="L82" s="321">
        <v>0</v>
      </c>
      <c r="M82" s="321">
        <v>0</v>
      </c>
    </row>
    <row r="83" spans="1:16" s="322" customFormat="1" ht="31.2" x14ac:dyDescent="0.3">
      <c r="A83" s="319"/>
      <c r="B83" s="334" t="s">
        <v>856</v>
      </c>
      <c r="C83" s="329">
        <f t="shared" si="7"/>
        <v>481.7</v>
      </c>
      <c r="D83" s="329">
        <v>0</v>
      </c>
      <c r="E83" s="329">
        <v>0</v>
      </c>
      <c r="F83" s="329">
        <v>481.7</v>
      </c>
      <c r="G83" s="321">
        <v>0</v>
      </c>
      <c r="H83" s="321">
        <v>0</v>
      </c>
      <c r="I83" s="321">
        <v>0</v>
      </c>
      <c r="J83" s="321">
        <v>0</v>
      </c>
      <c r="K83" s="321">
        <v>0</v>
      </c>
      <c r="L83" s="321">
        <v>0</v>
      </c>
      <c r="M83" s="321">
        <v>0</v>
      </c>
    </row>
    <row r="84" spans="1:16" s="322" customFormat="1" ht="31.2" x14ac:dyDescent="0.3">
      <c r="A84" s="319"/>
      <c r="B84" s="334" t="s">
        <v>857</v>
      </c>
      <c r="C84" s="329">
        <f t="shared" si="7"/>
        <v>600</v>
      </c>
      <c r="D84" s="329">
        <v>0</v>
      </c>
      <c r="E84" s="329">
        <v>0</v>
      </c>
      <c r="F84" s="329">
        <v>600</v>
      </c>
      <c r="G84" s="321">
        <v>0</v>
      </c>
      <c r="H84" s="321">
        <v>0</v>
      </c>
      <c r="I84" s="321">
        <v>0</v>
      </c>
      <c r="J84" s="321">
        <v>0</v>
      </c>
      <c r="K84" s="321">
        <v>0</v>
      </c>
      <c r="L84" s="321">
        <v>0</v>
      </c>
      <c r="M84" s="321">
        <v>0</v>
      </c>
    </row>
    <row r="85" spans="1:16" s="322" customFormat="1" ht="31.2" x14ac:dyDescent="0.3">
      <c r="A85" s="319"/>
      <c r="B85" s="334" t="s">
        <v>858</v>
      </c>
      <c r="C85" s="389">
        <f t="shared" si="7"/>
        <v>1933.76</v>
      </c>
      <c r="D85" s="389">
        <v>0</v>
      </c>
      <c r="E85" s="389">
        <v>0</v>
      </c>
      <c r="F85" s="389">
        <f>1991.9-238.57437-0.00063+180.435</f>
        <v>1933.76</v>
      </c>
      <c r="G85" s="321">
        <v>0</v>
      </c>
      <c r="H85" s="321">
        <v>0</v>
      </c>
      <c r="I85" s="321">
        <v>0</v>
      </c>
      <c r="J85" s="321">
        <v>0</v>
      </c>
      <c r="K85" s="321">
        <v>0</v>
      </c>
      <c r="L85" s="321">
        <v>0</v>
      </c>
      <c r="M85" s="321">
        <v>0</v>
      </c>
    </row>
    <row r="86" spans="1:16" s="322" customFormat="1" ht="31.2" x14ac:dyDescent="0.3">
      <c r="A86" s="319"/>
      <c r="B86" s="334" t="s">
        <v>859</v>
      </c>
      <c r="C86" s="389">
        <f t="shared" si="7"/>
        <v>600</v>
      </c>
      <c r="D86" s="389">
        <v>0</v>
      </c>
      <c r="E86" s="389">
        <v>0</v>
      </c>
      <c r="F86" s="389">
        <v>600</v>
      </c>
      <c r="G86" s="321">
        <v>0</v>
      </c>
      <c r="H86" s="321">
        <v>0</v>
      </c>
      <c r="I86" s="321">
        <v>0</v>
      </c>
      <c r="J86" s="321">
        <v>0</v>
      </c>
      <c r="K86" s="321">
        <v>0</v>
      </c>
      <c r="L86" s="321">
        <v>0</v>
      </c>
      <c r="M86" s="321">
        <v>0</v>
      </c>
    </row>
    <row r="87" spans="1:16" s="322" customFormat="1" ht="15.6" x14ac:dyDescent="0.3">
      <c r="A87" s="319"/>
      <c r="B87" s="334" t="s">
        <v>860</v>
      </c>
      <c r="C87" s="329">
        <f t="shared" si="7"/>
        <v>1176.2</v>
      </c>
      <c r="D87" s="329">
        <v>0</v>
      </c>
      <c r="E87" s="329">
        <v>0</v>
      </c>
      <c r="F87" s="329">
        <v>1176.2</v>
      </c>
      <c r="G87" s="321">
        <v>0</v>
      </c>
      <c r="H87" s="321">
        <v>0</v>
      </c>
      <c r="I87" s="321">
        <v>0</v>
      </c>
      <c r="J87" s="321">
        <v>0</v>
      </c>
      <c r="K87" s="321">
        <v>0</v>
      </c>
      <c r="L87" s="321">
        <v>0</v>
      </c>
      <c r="M87" s="321">
        <v>0</v>
      </c>
    </row>
    <row r="88" spans="1:16" s="318" customFormat="1" ht="15.6" x14ac:dyDescent="0.3">
      <c r="A88" s="315" t="s">
        <v>861</v>
      </c>
      <c r="B88" s="323" t="s">
        <v>862</v>
      </c>
      <c r="C88" s="317">
        <f>E88+F88</f>
        <v>33838.699999999997</v>
      </c>
      <c r="D88" s="317">
        <v>0</v>
      </c>
      <c r="E88" s="317">
        <v>0</v>
      </c>
      <c r="F88" s="317">
        <f>F89</f>
        <v>33838.699999999997</v>
      </c>
      <c r="G88" s="317">
        <f>I88+J88</f>
        <v>31983.9</v>
      </c>
      <c r="H88" s="317">
        <v>0</v>
      </c>
      <c r="I88" s="317">
        <v>0</v>
      </c>
      <c r="J88" s="317">
        <f>J89</f>
        <v>31983.9</v>
      </c>
      <c r="K88" s="317">
        <f t="shared" ref="K88:K98" si="8">L88+M88</f>
        <v>33838.699999999997</v>
      </c>
      <c r="L88" s="337">
        <v>0</v>
      </c>
      <c r="M88" s="317">
        <f>M89</f>
        <v>33838.699999999997</v>
      </c>
      <c r="N88" s="338"/>
      <c r="O88" s="338"/>
      <c r="P88" s="338"/>
    </row>
    <row r="89" spans="1:16" s="322" customFormat="1" ht="46.8" x14ac:dyDescent="0.3">
      <c r="A89" s="319"/>
      <c r="B89" s="339" t="s">
        <v>863</v>
      </c>
      <c r="C89" s="321">
        <f>E89+F89</f>
        <v>33838.699999999997</v>
      </c>
      <c r="D89" s="321">
        <v>0</v>
      </c>
      <c r="E89" s="321">
        <v>0</v>
      </c>
      <c r="F89" s="321">
        <v>33838.699999999997</v>
      </c>
      <c r="G89" s="321">
        <f>I89+J89</f>
        <v>31983.9</v>
      </c>
      <c r="H89" s="321">
        <v>0</v>
      </c>
      <c r="I89" s="321">
        <v>0</v>
      </c>
      <c r="J89" s="321">
        <v>31983.9</v>
      </c>
      <c r="K89" s="321">
        <f t="shared" si="8"/>
        <v>33838.699999999997</v>
      </c>
      <c r="L89" s="340">
        <v>0</v>
      </c>
      <c r="M89" s="321">
        <v>33838.699999999997</v>
      </c>
      <c r="N89" s="341"/>
      <c r="O89" s="341"/>
      <c r="P89" s="341"/>
    </row>
    <row r="90" spans="1:16" s="318" customFormat="1" ht="31.2" x14ac:dyDescent="0.3">
      <c r="A90" s="315" t="s">
        <v>864</v>
      </c>
      <c r="B90" s="323" t="s">
        <v>371</v>
      </c>
      <c r="C90" s="317">
        <f t="shared" ref="C90:C98" si="9">E90+F90+D90</f>
        <v>262277.92671999999</v>
      </c>
      <c r="D90" s="317">
        <f>D91</f>
        <v>250527.87560999999</v>
      </c>
      <c r="E90" s="317">
        <f>E91</f>
        <v>10438.661480000001</v>
      </c>
      <c r="F90" s="317">
        <f>F91</f>
        <v>1311.3896299999999</v>
      </c>
      <c r="G90" s="317">
        <f t="shared" ref="G90:G98" si="10">I90+J90+H90</f>
        <v>838.36519999999996</v>
      </c>
      <c r="H90" s="317">
        <f>H91</f>
        <v>0</v>
      </c>
      <c r="I90" s="317">
        <f>I91</f>
        <v>0</v>
      </c>
      <c r="J90" s="317">
        <f>J91</f>
        <v>838.36519999999996</v>
      </c>
      <c r="K90" s="317">
        <f t="shared" si="8"/>
        <v>0</v>
      </c>
      <c r="L90" s="337">
        <v>0</v>
      </c>
      <c r="M90" s="317">
        <f>M91</f>
        <v>0</v>
      </c>
      <c r="N90" s="338"/>
      <c r="O90" s="338"/>
      <c r="P90" s="338"/>
    </row>
    <row r="91" spans="1:16" s="322" customFormat="1" ht="31.2" x14ac:dyDescent="0.3">
      <c r="A91" s="319"/>
      <c r="B91" s="339" t="s">
        <v>865</v>
      </c>
      <c r="C91" s="321">
        <f t="shared" si="9"/>
        <v>262277.92671999999</v>
      </c>
      <c r="D91" s="298">
        <v>250527.87560999999</v>
      </c>
      <c r="E91" s="298">
        <v>10438.661480000001</v>
      </c>
      <c r="F91" s="298">
        <v>1311.3896299999999</v>
      </c>
      <c r="G91" s="321">
        <f>G93+G94</f>
        <v>838.36519999999996</v>
      </c>
      <c r="H91" s="321">
        <f>H93+H94</f>
        <v>0</v>
      </c>
      <c r="I91" s="321">
        <f>I93+I94</f>
        <v>0</v>
      </c>
      <c r="J91" s="321">
        <f>J93+J94</f>
        <v>838.36519999999996</v>
      </c>
      <c r="K91" s="321">
        <f t="shared" si="8"/>
        <v>0</v>
      </c>
      <c r="L91" s="340">
        <v>0</v>
      </c>
      <c r="M91" s="321">
        <v>0</v>
      </c>
      <c r="N91" s="341"/>
      <c r="O91" s="341"/>
      <c r="P91" s="341"/>
    </row>
    <row r="92" spans="1:16" s="322" customFormat="1" ht="46.8" x14ac:dyDescent="0.3">
      <c r="A92" s="319"/>
      <c r="B92" s="342" t="s">
        <v>866</v>
      </c>
      <c r="C92" s="329">
        <f t="shared" si="9"/>
        <v>262277.92671999999</v>
      </c>
      <c r="D92" s="343">
        <v>250527.87560999999</v>
      </c>
      <c r="E92" s="343">
        <v>10438.661480000001</v>
      </c>
      <c r="F92" s="343">
        <v>1311.3896299999999</v>
      </c>
      <c r="G92" s="329">
        <f t="shared" si="10"/>
        <v>0</v>
      </c>
      <c r="H92" s="329">
        <v>0</v>
      </c>
      <c r="I92" s="329">
        <v>0</v>
      </c>
      <c r="J92" s="329">
        <v>0</v>
      </c>
      <c r="K92" s="329">
        <f t="shared" si="8"/>
        <v>0</v>
      </c>
      <c r="L92" s="344">
        <v>0</v>
      </c>
      <c r="M92" s="329">
        <v>0</v>
      </c>
      <c r="N92" s="341"/>
      <c r="O92" s="341"/>
      <c r="P92" s="341"/>
    </row>
    <row r="93" spans="1:16" s="322" customFormat="1" ht="31.2" x14ac:dyDescent="0.3">
      <c r="A93" s="400"/>
      <c r="B93" s="453" t="s">
        <v>898</v>
      </c>
      <c r="C93" s="454">
        <v>0</v>
      </c>
      <c r="D93" s="455">
        <v>0</v>
      </c>
      <c r="E93" s="455">
        <v>0</v>
      </c>
      <c r="F93" s="455">
        <v>0</v>
      </c>
      <c r="G93" s="389">
        <f t="shared" si="10"/>
        <v>531.73464999999999</v>
      </c>
      <c r="H93" s="454">
        <v>0</v>
      </c>
      <c r="I93" s="454">
        <v>0</v>
      </c>
      <c r="J93" s="454">
        <v>531.73464999999999</v>
      </c>
      <c r="K93" s="401">
        <v>0</v>
      </c>
      <c r="L93" s="402">
        <v>0</v>
      </c>
      <c r="M93" s="401">
        <v>0</v>
      </c>
      <c r="N93" s="341"/>
      <c r="O93" s="341"/>
      <c r="P93" s="341"/>
    </row>
    <row r="94" spans="1:16" s="322" customFormat="1" ht="31.2" x14ac:dyDescent="0.3">
      <c r="A94" s="400"/>
      <c r="B94" s="453" t="s">
        <v>920</v>
      </c>
      <c r="C94" s="454">
        <v>0</v>
      </c>
      <c r="D94" s="455">
        <v>0</v>
      </c>
      <c r="E94" s="455">
        <v>0</v>
      </c>
      <c r="F94" s="455">
        <v>0</v>
      </c>
      <c r="G94" s="389">
        <f t="shared" si="10"/>
        <v>306.63055000000003</v>
      </c>
      <c r="H94" s="454">
        <v>0</v>
      </c>
      <c r="I94" s="454">
        <v>0</v>
      </c>
      <c r="J94" s="454">
        <v>306.63055000000003</v>
      </c>
      <c r="K94" s="401">
        <v>0</v>
      </c>
      <c r="L94" s="402">
        <v>0</v>
      </c>
      <c r="M94" s="401">
        <v>0</v>
      </c>
      <c r="N94" s="341"/>
      <c r="O94" s="341"/>
      <c r="P94" s="341"/>
    </row>
    <row r="95" spans="1:16" s="318" customFormat="1" ht="62.4" x14ac:dyDescent="0.3">
      <c r="A95" s="315" t="s">
        <v>867</v>
      </c>
      <c r="B95" s="323" t="s">
        <v>718</v>
      </c>
      <c r="C95" s="317">
        <f t="shared" si="9"/>
        <v>0</v>
      </c>
      <c r="D95" s="317">
        <f>D96</f>
        <v>0</v>
      </c>
      <c r="E95" s="317">
        <f>E96</f>
        <v>0</v>
      </c>
      <c r="F95" s="317">
        <f>F96</f>
        <v>0</v>
      </c>
      <c r="G95" s="317">
        <f t="shared" si="10"/>
        <v>0</v>
      </c>
      <c r="H95" s="317">
        <f>H96</f>
        <v>0</v>
      </c>
      <c r="I95" s="317">
        <f>I96</f>
        <v>0</v>
      </c>
      <c r="J95" s="317">
        <f>J96</f>
        <v>0</v>
      </c>
      <c r="K95" s="317">
        <f t="shared" si="8"/>
        <v>0</v>
      </c>
      <c r="L95" s="337">
        <v>0</v>
      </c>
      <c r="M95" s="317">
        <f>M96</f>
        <v>0</v>
      </c>
      <c r="N95" s="338"/>
      <c r="O95" s="338"/>
      <c r="P95" s="338"/>
    </row>
    <row r="96" spans="1:16" s="322" customFormat="1" ht="31.2" x14ac:dyDescent="0.3">
      <c r="A96" s="319"/>
      <c r="B96" s="339" t="s">
        <v>868</v>
      </c>
      <c r="C96" s="321">
        <f t="shared" si="9"/>
        <v>0</v>
      </c>
      <c r="D96" s="298">
        <f>D97+D98</f>
        <v>0</v>
      </c>
      <c r="E96" s="298">
        <f>E97+E98</f>
        <v>0</v>
      </c>
      <c r="F96" s="298">
        <v>0</v>
      </c>
      <c r="G96" s="321">
        <f t="shared" si="10"/>
        <v>0</v>
      </c>
      <c r="H96" s="321">
        <v>0</v>
      </c>
      <c r="I96" s="321">
        <v>0</v>
      </c>
      <c r="J96" s="321">
        <v>0</v>
      </c>
      <c r="K96" s="321">
        <f t="shared" si="8"/>
        <v>0</v>
      </c>
      <c r="L96" s="340">
        <v>0</v>
      </c>
      <c r="M96" s="321">
        <v>0</v>
      </c>
      <c r="N96" s="341"/>
      <c r="O96" s="341"/>
      <c r="P96" s="341"/>
    </row>
    <row r="97" spans="1:16" s="322" customFormat="1" ht="31.2" x14ac:dyDescent="0.3">
      <c r="A97" s="319"/>
      <c r="B97" s="342" t="s">
        <v>869</v>
      </c>
      <c r="C97" s="329">
        <f t="shared" si="9"/>
        <v>0</v>
      </c>
      <c r="D97" s="343">
        <v>0</v>
      </c>
      <c r="E97" s="343">
        <v>0</v>
      </c>
      <c r="F97" s="343">
        <v>0</v>
      </c>
      <c r="G97" s="329">
        <f t="shared" si="10"/>
        <v>0</v>
      </c>
      <c r="H97" s="329">
        <v>0</v>
      </c>
      <c r="I97" s="329">
        <v>0</v>
      </c>
      <c r="J97" s="329">
        <v>0</v>
      </c>
      <c r="K97" s="329">
        <f t="shared" si="8"/>
        <v>0</v>
      </c>
      <c r="L97" s="344">
        <v>0</v>
      </c>
      <c r="M97" s="329">
        <v>0</v>
      </c>
      <c r="N97" s="341"/>
      <c r="O97" s="341"/>
      <c r="P97" s="341"/>
    </row>
    <row r="98" spans="1:16" s="322" customFormat="1" ht="31.2" x14ac:dyDescent="0.3">
      <c r="A98" s="319"/>
      <c r="B98" s="342" t="s">
        <v>870</v>
      </c>
      <c r="C98" s="329">
        <f t="shared" si="9"/>
        <v>0</v>
      </c>
      <c r="D98" s="343">
        <v>0</v>
      </c>
      <c r="E98" s="343">
        <v>0</v>
      </c>
      <c r="F98" s="343">
        <v>0</v>
      </c>
      <c r="G98" s="329">
        <f t="shared" si="10"/>
        <v>0</v>
      </c>
      <c r="H98" s="329">
        <v>0</v>
      </c>
      <c r="I98" s="329">
        <v>0</v>
      </c>
      <c r="J98" s="329">
        <v>0</v>
      </c>
      <c r="K98" s="329">
        <f t="shared" si="8"/>
        <v>0</v>
      </c>
      <c r="L98" s="344">
        <v>0</v>
      </c>
      <c r="M98" s="329">
        <v>0</v>
      </c>
      <c r="N98" s="341"/>
      <c r="O98" s="341"/>
      <c r="P98" s="341"/>
    </row>
    <row r="99" spans="1:16" s="314" customFormat="1" ht="46.8" x14ac:dyDescent="0.3">
      <c r="A99" s="311" t="s">
        <v>802</v>
      </c>
      <c r="B99" s="312" t="s">
        <v>871</v>
      </c>
      <c r="C99" s="313">
        <f>C100+C102+C104</f>
        <v>3937</v>
      </c>
      <c r="D99" s="313">
        <v>0</v>
      </c>
      <c r="E99" s="313">
        <f>E100+E102+E104</f>
        <v>2160</v>
      </c>
      <c r="F99" s="313">
        <f>F100+F102+F104</f>
        <v>1777</v>
      </c>
      <c r="G99" s="313">
        <f>J99</f>
        <v>0</v>
      </c>
      <c r="H99" s="313">
        <v>0</v>
      </c>
      <c r="I99" s="313">
        <v>0</v>
      </c>
      <c r="J99" s="313">
        <f>J100+J102</f>
        <v>0</v>
      </c>
      <c r="K99" s="313">
        <f>K101</f>
        <v>0</v>
      </c>
      <c r="L99" s="345">
        <v>0</v>
      </c>
      <c r="M99" s="313">
        <f>M101</f>
        <v>0</v>
      </c>
      <c r="N99" s="346"/>
      <c r="O99" s="346"/>
      <c r="P99" s="346"/>
    </row>
    <row r="100" spans="1:16" s="322" customFormat="1" ht="31.2" x14ac:dyDescent="0.3">
      <c r="A100" s="315" t="s">
        <v>872</v>
      </c>
      <c r="B100" s="316" t="s">
        <v>366</v>
      </c>
      <c r="C100" s="347">
        <f>C101</f>
        <v>1236.5999999999999</v>
      </c>
      <c r="D100" s="347">
        <v>0</v>
      </c>
      <c r="E100" s="347">
        <v>0</v>
      </c>
      <c r="F100" s="347">
        <f>F101</f>
        <v>1236.5999999999999</v>
      </c>
      <c r="G100" s="347">
        <v>0</v>
      </c>
      <c r="H100" s="347">
        <v>0</v>
      </c>
      <c r="I100" s="347">
        <v>0</v>
      </c>
      <c r="J100" s="347">
        <v>0</v>
      </c>
      <c r="K100" s="347">
        <v>0</v>
      </c>
      <c r="L100" s="348">
        <v>0</v>
      </c>
      <c r="M100" s="347">
        <v>0</v>
      </c>
      <c r="N100" s="341"/>
      <c r="O100" s="341"/>
      <c r="P100" s="341"/>
    </row>
    <row r="101" spans="1:16" ht="46.8" x14ac:dyDescent="0.3">
      <c r="A101" s="349"/>
      <c r="B101" s="320" t="s">
        <v>873</v>
      </c>
      <c r="C101" s="350">
        <v>1236.5999999999999</v>
      </c>
      <c r="D101" s="350">
        <v>0</v>
      </c>
      <c r="E101" s="350">
        <v>0</v>
      </c>
      <c r="F101" s="350">
        <v>1236.5999999999999</v>
      </c>
      <c r="G101" s="350">
        <f>J101</f>
        <v>0</v>
      </c>
      <c r="H101" s="350">
        <v>0</v>
      </c>
      <c r="I101" s="350">
        <v>0</v>
      </c>
      <c r="J101" s="350">
        <v>0</v>
      </c>
      <c r="K101" s="350">
        <v>0</v>
      </c>
      <c r="L101" s="351">
        <v>0</v>
      </c>
      <c r="M101" s="352">
        <v>0</v>
      </c>
    </row>
    <row r="102" spans="1:16" ht="31.2" x14ac:dyDescent="0.3">
      <c r="A102" s="315" t="s">
        <v>874</v>
      </c>
      <c r="B102" s="316" t="s">
        <v>647</v>
      </c>
      <c r="C102" s="347">
        <f>C103</f>
        <v>300.39999999999998</v>
      </c>
      <c r="D102" s="347">
        <f>D103</f>
        <v>0</v>
      </c>
      <c r="E102" s="347">
        <f>E103</f>
        <v>0</v>
      </c>
      <c r="F102" s="347">
        <f>F103</f>
        <v>300.39999999999998</v>
      </c>
      <c r="G102" s="347">
        <f>G103</f>
        <v>0</v>
      </c>
      <c r="H102" s="347">
        <f t="shared" ref="H102:M104" si="11">H103</f>
        <v>0</v>
      </c>
      <c r="I102" s="347">
        <f t="shared" si="11"/>
        <v>0</v>
      </c>
      <c r="J102" s="347">
        <f t="shared" si="11"/>
        <v>0</v>
      </c>
      <c r="K102" s="347">
        <f t="shared" si="11"/>
        <v>0</v>
      </c>
      <c r="L102" s="347">
        <f t="shared" si="11"/>
        <v>0</v>
      </c>
      <c r="M102" s="347">
        <f t="shared" si="11"/>
        <v>0</v>
      </c>
    </row>
    <row r="103" spans="1:16" ht="46.8" x14ac:dyDescent="0.3">
      <c r="A103" s="353"/>
      <c r="B103" s="320" t="s">
        <v>875</v>
      </c>
      <c r="C103" s="350">
        <f>F103</f>
        <v>300.39999999999998</v>
      </c>
      <c r="D103" s="350">
        <v>0</v>
      </c>
      <c r="E103" s="350">
        <v>0</v>
      </c>
      <c r="F103" s="350">
        <v>300.39999999999998</v>
      </c>
      <c r="G103" s="350">
        <f>J103</f>
        <v>0</v>
      </c>
      <c r="H103" s="350">
        <v>0</v>
      </c>
      <c r="I103" s="350">
        <v>0</v>
      </c>
      <c r="J103" s="350">
        <v>0</v>
      </c>
      <c r="K103" s="350">
        <v>0</v>
      </c>
      <c r="L103" s="350">
        <v>0</v>
      </c>
      <c r="M103" s="350">
        <v>0</v>
      </c>
    </row>
    <row r="104" spans="1:16" ht="15.6" x14ac:dyDescent="0.3">
      <c r="A104" s="315" t="s">
        <v>874</v>
      </c>
      <c r="B104" s="316" t="s">
        <v>643</v>
      </c>
      <c r="C104" s="347">
        <f>C105</f>
        <v>2400</v>
      </c>
      <c r="D104" s="347">
        <f>D105</f>
        <v>0</v>
      </c>
      <c r="E104" s="347">
        <f>E105</f>
        <v>2160</v>
      </c>
      <c r="F104" s="347">
        <f>F105</f>
        <v>240</v>
      </c>
      <c r="G104" s="347">
        <f>G105</f>
        <v>0</v>
      </c>
      <c r="H104" s="347">
        <f t="shared" si="11"/>
        <v>0</v>
      </c>
      <c r="I104" s="347">
        <f t="shared" si="11"/>
        <v>0</v>
      </c>
      <c r="J104" s="347">
        <f t="shared" si="11"/>
        <v>0</v>
      </c>
      <c r="K104" s="347">
        <f t="shared" si="11"/>
        <v>0</v>
      </c>
      <c r="L104" s="347">
        <f t="shared" si="11"/>
        <v>0</v>
      </c>
      <c r="M104" s="347">
        <f t="shared" si="11"/>
        <v>0</v>
      </c>
    </row>
    <row r="105" spans="1:16" ht="31.2" x14ac:dyDescent="0.3">
      <c r="A105" s="353"/>
      <c r="B105" s="320" t="s">
        <v>876</v>
      </c>
      <c r="C105" s="350">
        <f>F105+E105</f>
        <v>2400</v>
      </c>
      <c r="D105" s="350">
        <v>0</v>
      </c>
      <c r="E105" s="350">
        <v>2160</v>
      </c>
      <c r="F105" s="350">
        <v>240</v>
      </c>
      <c r="G105" s="350">
        <f>J105</f>
        <v>0</v>
      </c>
      <c r="H105" s="350">
        <v>0</v>
      </c>
      <c r="I105" s="350">
        <v>0</v>
      </c>
      <c r="J105" s="350">
        <v>0</v>
      </c>
      <c r="K105" s="350">
        <v>0</v>
      </c>
      <c r="L105" s="350">
        <v>0</v>
      </c>
      <c r="M105" s="350">
        <v>0</v>
      </c>
    </row>
    <row r="107" spans="1:16" ht="16.8" x14ac:dyDescent="0.3">
      <c r="B107" s="355" t="s">
        <v>878</v>
      </c>
      <c r="D107" s="356">
        <f>E9+C17-C31</f>
        <v>0</v>
      </c>
    </row>
  </sheetData>
  <mergeCells count="27">
    <mergeCell ref="A7:M7"/>
    <mergeCell ref="K1:M1"/>
    <mergeCell ref="K2:M2"/>
    <mergeCell ref="K3:M3"/>
    <mergeCell ref="K4:M4"/>
    <mergeCell ref="K5:M5"/>
    <mergeCell ref="D15:F15"/>
    <mergeCell ref="G15:G16"/>
    <mergeCell ref="H15:J15"/>
    <mergeCell ref="K15:K16"/>
    <mergeCell ref="L15:M15"/>
    <mergeCell ref="A9:D9"/>
    <mergeCell ref="A25:M25"/>
    <mergeCell ref="A27:A30"/>
    <mergeCell ref="B27:B30"/>
    <mergeCell ref="C27:M28"/>
    <mergeCell ref="C29:C30"/>
    <mergeCell ref="D29:F29"/>
    <mergeCell ref="G29:G30"/>
    <mergeCell ref="H29:J29"/>
    <mergeCell ref="K29:K30"/>
    <mergeCell ref="L29:M29"/>
    <mergeCell ref="A11:M11"/>
    <mergeCell ref="A13:A16"/>
    <mergeCell ref="B13:B16"/>
    <mergeCell ref="C13:M14"/>
    <mergeCell ref="C15:C16"/>
  </mergeCells>
  <pageMargins left="0.31496062992125984" right="0.31496062992125984" top="1.1417322834645669" bottom="0.55118110236220474" header="0.31496062992125984" footer="0.31496062992125984"/>
  <pageSetup paperSize="9" scale="5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view="pageBreakPreview" topLeftCell="A13" zoomScale="115" zoomScaleSheetLayoutView="115" workbookViewId="0">
      <selection activeCell="A6" sqref="A6:E6"/>
    </sheetView>
  </sheetViews>
  <sheetFormatPr defaultRowHeight="14.4" x14ac:dyDescent="0.3"/>
  <cols>
    <col min="1" max="1" width="25" customWidth="1"/>
    <col min="2" max="2" width="39" customWidth="1"/>
    <col min="3" max="3" width="18.33203125" customWidth="1"/>
    <col min="4" max="4" width="16.33203125" customWidth="1"/>
    <col min="5" max="5" width="18.44140625" customWidth="1"/>
    <col min="6" max="6" width="10.88671875" customWidth="1"/>
    <col min="7" max="7" width="11.33203125" customWidth="1"/>
    <col min="8" max="8" width="17.44140625" customWidth="1"/>
    <col min="9" max="9" width="17.109375" customWidth="1"/>
    <col min="10" max="10" width="17" customWidth="1"/>
    <col min="11" max="11" width="9.5546875" customWidth="1"/>
  </cols>
  <sheetData>
    <row r="1" spans="1:10" ht="15.6" x14ac:dyDescent="0.3">
      <c r="A1" s="133"/>
      <c r="B1" s="133"/>
      <c r="C1" s="525" t="s">
        <v>574</v>
      </c>
      <c r="D1" s="525"/>
      <c r="E1" s="525"/>
    </row>
    <row r="2" spans="1:10" ht="15.6" customHeight="1" x14ac:dyDescent="0.3">
      <c r="A2" s="133"/>
      <c r="B2" s="134"/>
      <c r="C2" s="529" t="s">
        <v>534</v>
      </c>
      <c r="D2" s="529"/>
      <c r="E2" s="529"/>
    </row>
    <row r="3" spans="1:10" ht="15.6" x14ac:dyDescent="0.3">
      <c r="A3" s="133"/>
      <c r="B3" s="135"/>
      <c r="C3" s="525" t="s">
        <v>575</v>
      </c>
      <c r="D3" s="525"/>
      <c r="E3" s="525"/>
    </row>
    <row r="4" spans="1:10" ht="15.6" x14ac:dyDescent="0.3">
      <c r="A4" s="133"/>
      <c r="B4" s="136"/>
      <c r="C4" s="525" t="s">
        <v>947</v>
      </c>
      <c r="D4" s="525"/>
      <c r="E4" s="525"/>
    </row>
    <row r="5" spans="1:10" ht="15.6" x14ac:dyDescent="0.3">
      <c r="A5" s="133"/>
      <c r="B5" s="136"/>
      <c r="C5" s="137"/>
      <c r="D5" s="137"/>
      <c r="E5" s="137"/>
    </row>
    <row r="6" spans="1:10" ht="46.95" customHeight="1" x14ac:dyDescent="0.3">
      <c r="A6" s="527" t="s">
        <v>725</v>
      </c>
      <c r="B6" s="527"/>
      <c r="C6" s="527"/>
      <c r="D6" s="527"/>
      <c r="E6" s="527"/>
    </row>
    <row r="7" spans="1:10" x14ac:dyDescent="0.3">
      <c r="A7" s="133"/>
      <c r="B7" s="526" t="s">
        <v>531</v>
      </c>
      <c r="C7" s="526"/>
      <c r="D7" s="526"/>
      <c r="E7" s="526"/>
    </row>
    <row r="8" spans="1:10" ht="55.2" x14ac:dyDescent="0.3">
      <c r="A8" s="138" t="s">
        <v>576</v>
      </c>
      <c r="B8" s="138" t="s">
        <v>577</v>
      </c>
      <c r="C8" s="138" t="s">
        <v>526</v>
      </c>
      <c r="D8" s="138" t="s">
        <v>573</v>
      </c>
      <c r="E8" s="138" t="s">
        <v>717</v>
      </c>
    </row>
    <row r="9" spans="1:10" ht="15" hidden="1" x14ac:dyDescent="0.25">
      <c r="A9" s="139"/>
      <c r="B9" s="139"/>
      <c r="C9" s="139"/>
      <c r="D9" s="139"/>
      <c r="E9" s="139"/>
    </row>
    <row r="10" spans="1:10" ht="41.4" x14ac:dyDescent="0.3">
      <c r="A10" s="140" t="s">
        <v>578</v>
      </c>
      <c r="B10" s="141" t="s">
        <v>579</v>
      </c>
      <c r="C10" s="142">
        <f>C11</f>
        <v>10968.264340000227</v>
      </c>
      <c r="D10" s="142">
        <f>D11</f>
        <v>0</v>
      </c>
      <c r="E10" s="142">
        <f>E11</f>
        <v>0</v>
      </c>
    </row>
    <row r="11" spans="1:10" ht="27.6" x14ac:dyDescent="0.3">
      <c r="A11" s="140" t="s">
        <v>580</v>
      </c>
      <c r="B11" s="141" t="s">
        <v>581</v>
      </c>
      <c r="C11" s="142">
        <f>(C15+C16)</f>
        <v>10968.264340000227</v>
      </c>
      <c r="D11" s="142">
        <f>(D15+D16)</f>
        <v>0</v>
      </c>
      <c r="E11" s="142">
        <f>(E15+E16)</f>
        <v>0</v>
      </c>
    </row>
    <row r="12" spans="1:10" x14ac:dyDescent="0.3">
      <c r="A12" s="139" t="s">
        <v>582</v>
      </c>
      <c r="B12" s="143" t="s">
        <v>583</v>
      </c>
      <c r="C12" s="144">
        <f t="shared" ref="C12:E14" si="0">C13</f>
        <v>0</v>
      </c>
      <c r="D12" s="144">
        <f t="shared" si="0"/>
        <v>0</v>
      </c>
      <c r="E12" s="144">
        <f t="shared" si="0"/>
        <v>0</v>
      </c>
    </row>
    <row r="13" spans="1:10" ht="27.6" x14ac:dyDescent="0.3">
      <c r="A13" s="139" t="s">
        <v>584</v>
      </c>
      <c r="B13" s="143" t="s">
        <v>585</v>
      </c>
      <c r="C13" s="144">
        <f t="shared" si="0"/>
        <v>0</v>
      </c>
      <c r="D13" s="144">
        <f t="shared" si="0"/>
        <v>0</v>
      </c>
      <c r="E13" s="144">
        <f t="shared" si="0"/>
        <v>0</v>
      </c>
    </row>
    <row r="14" spans="1:10" ht="27.6" x14ac:dyDescent="0.3">
      <c r="A14" s="139" t="s">
        <v>586</v>
      </c>
      <c r="B14" s="143" t="s">
        <v>587</v>
      </c>
      <c r="C14" s="144">
        <f t="shared" si="0"/>
        <v>0</v>
      </c>
      <c r="D14" s="144">
        <f t="shared" si="0"/>
        <v>0</v>
      </c>
      <c r="E14" s="144">
        <f t="shared" si="0"/>
        <v>0</v>
      </c>
    </row>
    <row r="15" spans="1:10" ht="41.4" x14ac:dyDescent="0.3">
      <c r="A15" s="139" t="s">
        <v>588</v>
      </c>
      <c r="B15" s="143" t="s">
        <v>589</v>
      </c>
      <c r="C15" s="144">
        <v>0</v>
      </c>
      <c r="D15" s="144">
        <v>0</v>
      </c>
      <c r="E15" s="144">
        <v>0</v>
      </c>
      <c r="H15" s="259"/>
      <c r="I15" s="259"/>
      <c r="J15" s="259"/>
    </row>
    <row r="16" spans="1:10" x14ac:dyDescent="0.3">
      <c r="A16" s="139" t="s">
        <v>590</v>
      </c>
      <c r="B16" s="143" t="s">
        <v>591</v>
      </c>
      <c r="C16" s="144">
        <f>C19</f>
        <v>10968.264340000227</v>
      </c>
      <c r="D16" s="144">
        <f>D19</f>
        <v>0</v>
      </c>
      <c r="E16" s="144">
        <f>E19</f>
        <v>0</v>
      </c>
    </row>
    <row r="17" spans="1:10" ht="27.6" x14ac:dyDescent="0.3">
      <c r="A17" s="139" t="s">
        <v>592</v>
      </c>
      <c r="B17" s="143" t="s">
        <v>593</v>
      </c>
      <c r="C17" s="144">
        <f>C18</f>
        <v>10968.264340000227</v>
      </c>
      <c r="D17" s="144">
        <f>D19</f>
        <v>0</v>
      </c>
      <c r="E17" s="144">
        <f>E19</f>
        <v>0</v>
      </c>
    </row>
    <row r="18" spans="1:10" ht="27.6" x14ac:dyDescent="0.3">
      <c r="A18" s="139" t="s">
        <v>594</v>
      </c>
      <c r="B18" s="143" t="s">
        <v>595</v>
      </c>
      <c r="C18" s="144">
        <f>C19</f>
        <v>10968.264340000227</v>
      </c>
      <c r="D18" s="144">
        <f>D19</f>
        <v>0</v>
      </c>
      <c r="E18" s="144">
        <f>E19</f>
        <v>0</v>
      </c>
    </row>
    <row r="19" spans="1:10" ht="41.4" x14ac:dyDescent="0.3">
      <c r="A19" s="139" t="s">
        <v>596</v>
      </c>
      <c r="B19" s="143" t="s">
        <v>597</v>
      </c>
      <c r="C19" s="144">
        <f>'приложение 1'!F600-1446517.59142</f>
        <v>10968.264340000227</v>
      </c>
      <c r="D19" s="144">
        <v>0</v>
      </c>
      <c r="E19" s="144">
        <v>0</v>
      </c>
      <c r="H19" s="148"/>
      <c r="I19" s="148"/>
      <c r="J19" s="148"/>
    </row>
    <row r="20" spans="1:10" x14ac:dyDescent="0.3">
      <c r="A20" s="145"/>
      <c r="B20" s="146" t="s">
        <v>598</v>
      </c>
      <c r="C20" s="147">
        <f>C19</f>
        <v>10968.264340000227</v>
      </c>
      <c r="D20" s="147">
        <f>D10</f>
        <v>0</v>
      </c>
      <c r="E20" s="147">
        <f>E10</f>
        <v>0</v>
      </c>
      <c r="H20" s="148"/>
      <c r="I20" s="148"/>
      <c r="J20" s="148"/>
    </row>
    <row r="21" spans="1:10" ht="15" x14ac:dyDescent="0.25">
      <c r="I21" s="148"/>
      <c r="J21" s="148"/>
    </row>
    <row r="22" spans="1:10" ht="15" x14ac:dyDescent="0.25">
      <c r="C22" s="148"/>
      <c r="H22" s="148"/>
      <c r="I22" s="148"/>
      <c r="J22" s="148"/>
    </row>
    <row r="25" spans="1:10" x14ac:dyDescent="0.3">
      <c r="B25" t="s">
        <v>921</v>
      </c>
      <c r="C25">
        <v>1446517.59142</v>
      </c>
      <c r="D25">
        <v>1074723.8586500001</v>
      </c>
      <c r="E25">
        <v>1068605.22951</v>
      </c>
    </row>
    <row r="26" spans="1:10" x14ac:dyDescent="0.3">
      <c r="B26" t="s">
        <v>922</v>
      </c>
      <c r="C26">
        <f>'приложение 1'!F600</f>
        <v>1457485.8557600002</v>
      </c>
      <c r="D26">
        <f>'приложение 1'!I600</f>
        <v>1068842.7357899998</v>
      </c>
      <c r="E26">
        <f>'приложение 1'!J600</f>
        <v>1030631.3610700002</v>
      </c>
    </row>
    <row r="27" spans="1:10" x14ac:dyDescent="0.3">
      <c r="B27" t="s">
        <v>923</v>
      </c>
      <c r="C27">
        <f>C25-C26</f>
        <v>-10968.264340000227</v>
      </c>
    </row>
    <row r="28" spans="1:10" x14ac:dyDescent="0.3">
      <c r="B28" t="s">
        <v>924</v>
      </c>
      <c r="D28">
        <f>D25-D26</f>
        <v>5881.122860000236</v>
      </c>
      <c r="E28">
        <f>E25-E26</f>
        <v>37973.868439999758</v>
      </c>
    </row>
  </sheetData>
  <mergeCells count="6">
    <mergeCell ref="B7:E7"/>
    <mergeCell ref="C1:E1"/>
    <mergeCell ref="C2:E2"/>
    <mergeCell ref="C3:E3"/>
    <mergeCell ref="C4:E4"/>
    <mergeCell ref="A6:E6"/>
  </mergeCells>
  <pageMargins left="0.9055118110236221" right="0.51181102362204722" top="0.74803149606299213" bottom="0.74803149606299213" header="0.31496062992125984" footer="0.31496062992125984"/>
  <pageSetup paperSize="9" scale="7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opLeftCell="A16" zoomScaleNormal="100" workbookViewId="0">
      <selection activeCell="E24" sqref="E24"/>
    </sheetView>
  </sheetViews>
  <sheetFormatPr defaultRowHeight="14.4" x14ac:dyDescent="0.3"/>
  <cols>
    <col min="1" max="1" width="12.33203125" customWidth="1"/>
    <col min="2" max="2" width="5.33203125" customWidth="1"/>
    <col min="3" max="3" width="29.88671875" customWidth="1"/>
    <col min="4" max="4" width="15.109375" customWidth="1"/>
    <col min="5" max="5" width="11.109375" customWidth="1"/>
    <col min="7" max="7" width="30.44140625" customWidth="1"/>
  </cols>
  <sheetData>
    <row r="1" spans="1:7" ht="15" x14ac:dyDescent="0.25">
      <c r="A1" s="459"/>
      <c r="B1" s="459"/>
      <c r="C1" s="459"/>
      <c r="D1" s="459">
        <v>2026</v>
      </c>
      <c r="E1" s="459">
        <v>2027</v>
      </c>
      <c r="F1" s="459">
        <v>2028</v>
      </c>
    </row>
    <row r="2" spans="1:7" ht="53.4" x14ac:dyDescent="0.3">
      <c r="A2" s="417" t="s">
        <v>235</v>
      </c>
      <c r="B2" s="418"/>
      <c r="C2" s="419" t="s">
        <v>234</v>
      </c>
      <c r="D2" s="482">
        <f>-1009.4</f>
        <v>-1009.4</v>
      </c>
      <c r="E2" s="460"/>
      <c r="F2" s="460"/>
      <c r="G2" s="448"/>
    </row>
    <row r="3" spans="1:7" ht="53.4" x14ac:dyDescent="0.3">
      <c r="A3" s="417" t="s">
        <v>226</v>
      </c>
      <c r="B3" s="418"/>
      <c r="C3" s="419" t="s">
        <v>225</v>
      </c>
      <c r="D3" s="409">
        <v>-889.7</v>
      </c>
      <c r="E3" s="460"/>
      <c r="F3" s="460"/>
      <c r="G3" s="448"/>
    </row>
    <row r="4" spans="1:7" ht="40.200000000000003" x14ac:dyDescent="0.3">
      <c r="A4" s="417" t="s">
        <v>220</v>
      </c>
      <c r="B4" s="417"/>
      <c r="C4" s="419" t="s">
        <v>219</v>
      </c>
      <c r="D4" s="409">
        <v>295.3</v>
      </c>
      <c r="E4" s="460"/>
      <c r="F4" s="460"/>
      <c r="G4" s="448"/>
    </row>
    <row r="5" spans="1:7" ht="53.4" x14ac:dyDescent="0.3">
      <c r="A5" s="417" t="s">
        <v>167</v>
      </c>
      <c r="B5" s="417"/>
      <c r="C5" s="419" t="s">
        <v>689</v>
      </c>
      <c r="D5" s="472">
        <v>132.19999999999999</v>
      </c>
      <c r="E5" s="460"/>
      <c r="F5" s="460"/>
      <c r="G5" s="448"/>
    </row>
    <row r="6" spans="1:7" ht="118.8" x14ac:dyDescent="0.3">
      <c r="A6" s="461" t="s">
        <v>664</v>
      </c>
      <c r="B6" s="462"/>
      <c r="C6" s="463" t="s">
        <v>695</v>
      </c>
      <c r="D6" s="472">
        <f>231.5</f>
        <v>231.5</v>
      </c>
      <c r="E6" s="460"/>
      <c r="F6" s="460"/>
      <c r="G6" s="457" t="s">
        <v>936</v>
      </c>
    </row>
    <row r="7" spans="1:7" ht="66.599999999999994" x14ac:dyDescent="0.3">
      <c r="A7" s="464" t="s">
        <v>774</v>
      </c>
      <c r="B7" s="417"/>
      <c r="C7" s="419" t="s">
        <v>775</v>
      </c>
      <c r="D7" s="472">
        <f>386.1+256.3</f>
        <v>642.40000000000009</v>
      </c>
      <c r="E7" s="460"/>
      <c r="F7" s="460"/>
      <c r="G7" s="448"/>
    </row>
    <row r="8" spans="1:7" ht="40.200000000000003" x14ac:dyDescent="0.3">
      <c r="A8" s="7" t="s">
        <v>360</v>
      </c>
      <c r="B8" s="7"/>
      <c r="C8" s="78" t="s">
        <v>563</v>
      </c>
      <c r="D8" s="486">
        <v>-100</v>
      </c>
      <c r="E8" s="474"/>
      <c r="F8" s="474"/>
      <c r="G8" s="448"/>
    </row>
    <row r="9" spans="1:7" ht="53.4" x14ac:dyDescent="0.3">
      <c r="A9" s="417" t="s">
        <v>697</v>
      </c>
      <c r="B9" s="417"/>
      <c r="C9" s="419" t="s">
        <v>675</v>
      </c>
      <c r="D9" s="409">
        <v>683.1</v>
      </c>
      <c r="E9" s="460"/>
      <c r="F9" s="460"/>
      <c r="G9" s="448"/>
    </row>
    <row r="10" spans="1:7" ht="43.2" x14ac:dyDescent="0.3">
      <c r="A10" s="417" t="s">
        <v>325</v>
      </c>
      <c r="B10" s="464"/>
      <c r="C10" s="465" t="s">
        <v>324</v>
      </c>
      <c r="D10" s="409">
        <v>69.400000000000006</v>
      </c>
      <c r="E10" s="409">
        <v>247.5</v>
      </c>
      <c r="F10" s="460"/>
      <c r="G10" s="457" t="s">
        <v>904</v>
      </c>
    </row>
    <row r="11" spans="1:7" ht="40.200000000000003" x14ac:dyDescent="0.3">
      <c r="A11" s="464" t="s">
        <v>317</v>
      </c>
      <c r="B11" s="464"/>
      <c r="C11" s="465" t="s">
        <v>316</v>
      </c>
      <c r="D11" s="409">
        <v>1057.5</v>
      </c>
      <c r="E11" s="409"/>
      <c r="F11" s="460"/>
      <c r="G11" s="448"/>
    </row>
    <row r="12" spans="1:7" ht="40.200000000000003" x14ac:dyDescent="0.3">
      <c r="A12" s="417" t="s">
        <v>630</v>
      </c>
      <c r="B12" s="418"/>
      <c r="C12" s="419" t="s">
        <v>905</v>
      </c>
      <c r="D12" s="409"/>
      <c r="E12" s="460"/>
      <c r="F12" s="460"/>
      <c r="G12" s="448"/>
    </row>
    <row r="13" spans="1:7" ht="66.75" customHeight="1" x14ac:dyDescent="0.3">
      <c r="A13" s="417"/>
      <c r="B13" s="418"/>
      <c r="C13" s="419" t="s">
        <v>906</v>
      </c>
      <c r="D13" s="409">
        <v>219.80194</v>
      </c>
      <c r="E13" s="460"/>
      <c r="F13" s="460"/>
      <c r="G13" s="448"/>
    </row>
    <row r="14" spans="1:7" ht="79.8" x14ac:dyDescent="0.3">
      <c r="A14" s="417"/>
      <c r="B14" s="418"/>
      <c r="C14" s="419" t="s">
        <v>907</v>
      </c>
      <c r="D14" s="409">
        <v>597</v>
      </c>
      <c r="E14" s="460"/>
      <c r="F14" s="460"/>
      <c r="G14" s="448"/>
    </row>
    <row r="15" spans="1:7" ht="53.4" x14ac:dyDescent="0.3">
      <c r="A15" s="417"/>
      <c r="B15" s="418"/>
      <c r="C15" s="419" t="s">
        <v>908</v>
      </c>
      <c r="D15" s="409">
        <v>597</v>
      </c>
      <c r="E15" s="460"/>
      <c r="F15" s="460"/>
      <c r="G15" s="448"/>
    </row>
    <row r="16" spans="1:7" s="1" customFormat="1" ht="40.200000000000003" x14ac:dyDescent="0.3">
      <c r="A16" s="417"/>
      <c r="B16" s="418"/>
      <c r="C16" s="419" t="s">
        <v>885</v>
      </c>
      <c r="D16" s="409">
        <v>-0.71779000000000004</v>
      </c>
      <c r="E16" s="409"/>
      <c r="F16" s="409"/>
      <c r="G16" s="227"/>
    </row>
    <row r="17" spans="1:7" ht="27" x14ac:dyDescent="0.3">
      <c r="A17" s="417" t="s">
        <v>702</v>
      </c>
      <c r="B17" s="417"/>
      <c r="C17" s="465" t="s">
        <v>685</v>
      </c>
      <c r="D17" s="409">
        <v>-438.88</v>
      </c>
      <c r="E17" s="460"/>
      <c r="F17" s="460"/>
      <c r="G17" s="448"/>
    </row>
    <row r="18" spans="1:7" ht="40.200000000000003" x14ac:dyDescent="0.3">
      <c r="A18" s="417" t="s">
        <v>650</v>
      </c>
      <c r="B18" s="417"/>
      <c r="C18" s="465" t="s">
        <v>370</v>
      </c>
      <c r="D18" s="460"/>
      <c r="E18" s="460">
        <v>306.63055000000003</v>
      </c>
      <c r="F18" s="460"/>
      <c r="G18" s="448"/>
    </row>
    <row r="19" spans="1:7" ht="93" x14ac:dyDescent="0.3">
      <c r="A19" s="417" t="s">
        <v>390</v>
      </c>
      <c r="B19" s="418"/>
      <c r="C19" s="419" t="s">
        <v>568</v>
      </c>
      <c r="D19" s="460">
        <v>668.2</v>
      </c>
      <c r="E19" s="460"/>
      <c r="F19" s="460"/>
      <c r="G19" s="448"/>
    </row>
    <row r="20" spans="1:7" ht="66.599999999999994" x14ac:dyDescent="0.3">
      <c r="A20" s="7" t="s">
        <v>538</v>
      </c>
      <c r="B20" s="7"/>
      <c r="C20" s="6" t="s">
        <v>539</v>
      </c>
      <c r="D20" s="494">
        <v>-301.3</v>
      </c>
      <c r="E20" s="474"/>
      <c r="F20" s="474"/>
      <c r="G20" s="448"/>
    </row>
    <row r="21" spans="1:7" ht="40.200000000000003" x14ac:dyDescent="0.3">
      <c r="A21" s="7" t="s">
        <v>447</v>
      </c>
      <c r="B21" s="7"/>
      <c r="C21" s="11" t="s">
        <v>925</v>
      </c>
      <c r="D21" s="494">
        <v>299</v>
      </c>
      <c r="E21" s="474"/>
      <c r="F21" s="474"/>
      <c r="G21" s="448"/>
    </row>
    <row r="22" spans="1:7" ht="27" x14ac:dyDescent="0.3">
      <c r="A22" s="126" t="s">
        <v>421</v>
      </c>
      <c r="B22" s="127"/>
      <c r="C22" s="6" t="s">
        <v>616</v>
      </c>
      <c r="D22" s="494">
        <v>2.2999999999999998</v>
      </c>
      <c r="E22" s="474"/>
      <c r="F22" s="474"/>
      <c r="G22" s="448"/>
    </row>
    <row r="23" spans="1:7" ht="65.25" customHeight="1" x14ac:dyDescent="0.3">
      <c r="A23" s="417" t="s">
        <v>480</v>
      </c>
      <c r="B23" s="417"/>
      <c r="C23" s="419" t="s">
        <v>634</v>
      </c>
      <c r="D23" s="460">
        <f>68.2+158</f>
        <v>226.2</v>
      </c>
      <c r="E23" s="460">
        <f>659+185.3</f>
        <v>844.3</v>
      </c>
      <c r="F23" s="460"/>
      <c r="G23" s="457" t="s">
        <v>913</v>
      </c>
    </row>
    <row r="24" spans="1:7" ht="40.200000000000003" x14ac:dyDescent="0.3">
      <c r="A24" s="417" t="s">
        <v>882</v>
      </c>
      <c r="B24" s="417"/>
      <c r="C24" s="419" t="s">
        <v>883</v>
      </c>
      <c r="D24" s="460">
        <v>25</v>
      </c>
      <c r="E24" s="460"/>
      <c r="F24" s="460"/>
      <c r="G24" s="448" t="s">
        <v>903</v>
      </c>
    </row>
    <row r="25" spans="1:7" ht="53.4" x14ac:dyDescent="0.3">
      <c r="A25" s="54" t="s">
        <v>478</v>
      </c>
      <c r="B25" s="54"/>
      <c r="C25" s="6" t="s">
        <v>937</v>
      </c>
      <c r="D25" s="476">
        <f>97.5+547.3+600</f>
        <v>1244.8</v>
      </c>
      <c r="E25" s="474"/>
      <c r="F25" s="474"/>
      <c r="G25" s="448"/>
    </row>
    <row r="26" spans="1:7" ht="27" x14ac:dyDescent="0.3">
      <c r="A26" s="187" t="s">
        <v>640</v>
      </c>
      <c r="B26" s="195"/>
      <c r="C26" s="198" t="s">
        <v>638</v>
      </c>
      <c r="D26" s="476">
        <v>-155</v>
      </c>
      <c r="E26" s="474"/>
      <c r="F26" s="474"/>
      <c r="G26" s="448"/>
    </row>
    <row r="27" spans="1:7" ht="40.200000000000003" x14ac:dyDescent="0.3">
      <c r="A27" s="464" t="s">
        <v>912</v>
      </c>
      <c r="B27" s="460"/>
      <c r="C27" s="465"/>
      <c r="D27" s="470">
        <v>768.6</v>
      </c>
      <c r="E27" s="460"/>
      <c r="F27" s="460"/>
      <c r="G27" s="448"/>
    </row>
    <row r="28" spans="1:7" ht="28.8" x14ac:dyDescent="0.3">
      <c r="A28" s="464" t="s">
        <v>927</v>
      </c>
      <c r="B28" s="460"/>
      <c r="C28" s="465" t="s">
        <v>933</v>
      </c>
      <c r="D28" s="471">
        <f>792.8-410.6+16.3-95.6</f>
        <v>302.89999999999998</v>
      </c>
      <c r="E28" s="460"/>
      <c r="F28" s="460"/>
      <c r="G28" s="457" t="s">
        <v>914</v>
      </c>
    </row>
    <row r="29" spans="1:7" ht="27" x14ac:dyDescent="0.3">
      <c r="A29" s="464" t="s">
        <v>915</v>
      </c>
      <c r="B29" s="460"/>
      <c r="C29" s="465"/>
      <c r="D29" s="460">
        <v>410.6</v>
      </c>
      <c r="E29" s="460"/>
      <c r="F29" s="460"/>
      <c r="G29" s="448"/>
    </row>
    <row r="30" spans="1:7" x14ac:dyDescent="0.3">
      <c r="A30" s="473"/>
      <c r="B30" s="474"/>
      <c r="C30" s="475" t="s">
        <v>934</v>
      </c>
      <c r="D30" s="476">
        <v>160.19999999999999</v>
      </c>
      <c r="E30" s="474"/>
      <c r="F30" s="474"/>
      <c r="G30" s="448"/>
    </row>
    <row r="31" spans="1:7" x14ac:dyDescent="0.3">
      <c r="A31" s="473"/>
      <c r="B31" s="474"/>
      <c r="C31" s="475" t="s">
        <v>935</v>
      </c>
      <c r="D31" s="476">
        <v>133.5</v>
      </c>
      <c r="E31" s="474"/>
      <c r="F31" s="474"/>
      <c r="G31" s="448"/>
    </row>
    <row r="32" spans="1:7" ht="27" x14ac:dyDescent="0.3">
      <c r="A32" s="473"/>
      <c r="B32" s="474"/>
      <c r="C32" s="475" t="s">
        <v>938</v>
      </c>
      <c r="D32" s="476">
        <v>364.5</v>
      </c>
      <c r="E32" s="474"/>
      <c r="F32" s="474"/>
      <c r="G32" s="448"/>
    </row>
    <row r="33" spans="1:7" ht="27" x14ac:dyDescent="0.3">
      <c r="A33" s="464" t="s">
        <v>928</v>
      </c>
      <c r="B33" s="460"/>
      <c r="C33" s="465"/>
      <c r="D33" s="460">
        <v>120</v>
      </c>
      <c r="E33" s="460" t="s">
        <v>926</v>
      </c>
      <c r="F33" s="460"/>
      <c r="G33" s="448"/>
    </row>
    <row r="34" spans="1:7" s="445" customFormat="1" x14ac:dyDescent="0.3">
      <c r="A34" s="466"/>
      <c r="B34" s="466"/>
      <c r="C34" s="467" t="s">
        <v>909</v>
      </c>
      <c r="D34" s="468">
        <f>SUM(D2:D32)</f>
        <v>6236.0041500000007</v>
      </c>
      <c r="E34" s="469">
        <f>SUM(E2:E24)</f>
        <v>1398.43055</v>
      </c>
      <c r="F34" s="469"/>
      <c r="G34" s="458"/>
    </row>
    <row r="35" spans="1:7" x14ac:dyDescent="0.3">
      <c r="C35" s="444"/>
      <c r="D35" s="148"/>
    </row>
    <row r="36" spans="1:7" x14ac:dyDescent="0.3">
      <c r="A36" t="s">
        <v>900</v>
      </c>
      <c r="B36" t="s">
        <v>901</v>
      </c>
      <c r="C36">
        <v>1487.4</v>
      </c>
    </row>
    <row r="37" spans="1:7" x14ac:dyDescent="0.3">
      <c r="B37" t="s">
        <v>902</v>
      </c>
      <c r="C37">
        <v>-1344.3913</v>
      </c>
    </row>
    <row r="38" spans="1:7" x14ac:dyDescent="0.3">
      <c r="B38" t="s">
        <v>911</v>
      </c>
      <c r="C38">
        <v>68.2</v>
      </c>
    </row>
    <row r="39" spans="1:7" x14ac:dyDescent="0.3">
      <c r="B39">
        <v>113</v>
      </c>
      <c r="C39">
        <v>872.2</v>
      </c>
    </row>
    <row r="40" spans="1:7" x14ac:dyDescent="0.3">
      <c r="B40" t="s">
        <v>910</v>
      </c>
      <c r="C40">
        <v>4669.3</v>
      </c>
    </row>
    <row r="41" spans="1:7" x14ac:dyDescent="0.3">
      <c r="B41" t="s">
        <v>929</v>
      </c>
      <c r="C41">
        <v>404.9</v>
      </c>
    </row>
    <row r="42" spans="1:7" x14ac:dyDescent="0.3">
      <c r="B42" t="s">
        <v>930</v>
      </c>
      <c r="C42">
        <v>78.400000000000006</v>
      </c>
    </row>
    <row r="43" spans="1:7" s="445" customFormat="1" x14ac:dyDescent="0.3">
      <c r="B43" s="445" t="s">
        <v>909</v>
      </c>
      <c r="C43" s="445">
        <f>SUM(C36:C42)</f>
        <v>6236.0086999999994</v>
      </c>
    </row>
    <row r="45" spans="1:7" x14ac:dyDescent="0.3">
      <c r="C45" s="148">
        <f>C43-D34</f>
        <v>4.5499999987441697E-3</v>
      </c>
      <c r="D45">
        <f>'приложение 1'!E600</f>
        <v>5763.9041500000003</v>
      </c>
    </row>
    <row r="46" spans="1:7" x14ac:dyDescent="0.3">
      <c r="D46" s="148">
        <f>D45-D34</f>
        <v>-472.10000000000036</v>
      </c>
    </row>
  </sheetData>
  <pageMargins left="0.7" right="0.7" top="0.75" bottom="0.75" header="0.3" footer="0.3"/>
  <pageSetup paperSize="9" scale="77" orientation="portrait" horizontalDpi="0" verticalDpi="0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приложение 1</vt:lpstr>
      <vt:lpstr>Приложение 2</vt:lpstr>
      <vt:lpstr>Приложение 4</vt:lpstr>
      <vt:lpstr>Приложение 5</vt:lpstr>
      <vt:lpstr>свод</vt:lpstr>
      <vt:lpstr>'приложение 1'!Область_печати</vt:lpstr>
      <vt:lpstr>'Приложение 2'!Область_печати</vt:lpstr>
      <vt:lpstr>'Приложение 4'!Область_печати</vt:lpstr>
      <vt:lpstr>'Приложение 5'!Область_печати</vt:lpstr>
      <vt:lpstr>свод!Область_печати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Селина</dc:creator>
  <cp:lastModifiedBy>user</cp:lastModifiedBy>
  <cp:lastPrinted>2026-09-16T10:49:55Z</cp:lastPrinted>
  <dcterms:created xsi:type="dcterms:W3CDTF">2024-10-23T06:02:00Z</dcterms:created>
  <dcterms:modified xsi:type="dcterms:W3CDTF">2026-09-16T10:54:16Z</dcterms:modified>
</cp:coreProperties>
</file>