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4280" yWindow="-105" windowWidth="14085" windowHeight="11985"/>
  </bookViews>
  <sheets>
    <sheet name="в 2022 году" sheetId="1" r:id="rId1"/>
    <sheet name="в 2021-2022 гг" sheetId="2" r:id="rId2"/>
    <sheet name="в разрезе источников" sheetId="3" r:id="rId3"/>
  </sheets>
  <definedNames>
    <definedName name="_xlnm.Print_Area" localSheetId="0">'в 2022 году'!$A$1:$I$14</definedName>
    <definedName name="_xlnm.Print_Area" localSheetId="2">'в разрезе источников'!$A$1:$O$23</definedName>
  </definedNames>
  <calcPr calcId="144525"/>
</workbook>
</file>

<file path=xl/calcChain.xml><?xml version="1.0" encoding="utf-8"?>
<calcChain xmlns="http://schemas.openxmlformats.org/spreadsheetml/2006/main">
  <c r="I23" i="3" l="1"/>
  <c r="I22" i="3"/>
  <c r="I21" i="3"/>
  <c r="I19" i="3"/>
  <c r="I18" i="3"/>
  <c r="I17" i="3"/>
  <c r="I16" i="3"/>
  <c r="I15" i="3"/>
  <c r="I13" i="3"/>
  <c r="I12" i="3"/>
  <c r="I11" i="3"/>
  <c r="I10" i="3"/>
  <c r="I9" i="3"/>
  <c r="I6" i="3"/>
  <c r="I5" i="3"/>
  <c r="H19" i="3"/>
  <c r="H17" i="3"/>
  <c r="H15" i="3"/>
  <c r="H13" i="3"/>
  <c r="H12" i="3"/>
  <c r="H11" i="3"/>
  <c r="H10" i="3"/>
  <c r="H6" i="3"/>
  <c r="H5" i="3"/>
  <c r="D14" i="2"/>
  <c r="G19" i="3" l="1"/>
  <c r="I20" i="3" l="1"/>
  <c r="I8" i="3"/>
  <c r="I7" i="3"/>
  <c r="H22" i="3"/>
  <c r="H21" i="3"/>
  <c r="H20" i="3"/>
  <c r="H18" i="3"/>
  <c r="H16" i="3"/>
  <c r="H9" i="3"/>
  <c r="H8" i="3"/>
  <c r="H7" i="3"/>
  <c r="D13" i="2"/>
  <c r="I4" i="3" l="1"/>
  <c r="D12" i="2"/>
  <c r="D11" i="2" l="1"/>
  <c r="M5" i="3" l="1"/>
  <c r="E10" i="2" l="1"/>
  <c r="D10" i="2"/>
  <c r="E9" i="2" l="1"/>
  <c r="D9" i="2"/>
  <c r="D8" i="2" l="1"/>
  <c r="D7" i="2" l="1"/>
  <c r="D6" i="2" l="1"/>
  <c r="N12" i="3" l="1"/>
  <c r="N10" i="3"/>
  <c r="D5" i="2" l="1"/>
  <c r="M7" i="3" l="1"/>
  <c r="I14" i="3" l="1"/>
  <c r="D4" i="2" l="1"/>
  <c r="F14" i="3" l="1"/>
  <c r="F15" i="3"/>
  <c r="F17" i="3"/>
  <c r="J14" i="3"/>
  <c r="J18" i="3" l="1"/>
  <c r="N21" i="3" l="1"/>
  <c r="K21" i="3"/>
  <c r="J19" i="3"/>
  <c r="J15" i="3"/>
  <c r="J16" i="3" l="1"/>
  <c r="J22" i="3"/>
  <c r="J21" i="3"/>
  <c r="M6" i="3" l="1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H23" i="3"/>
  <c r="H14" i="3"/>
  <c r="F4" i="2" l="1"/>
  <c r="M4" i="3"/>
  <c r="L4" i="3" l="1"/>
  <c r="H4" i="3" l="1"/>
  <c r="O6" i="3" l="1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1" i="3"/>
  <c r="O22" i="3"/>
  <c r="O23" i="3"/>
  <c r="N6" i="3"/>
  <c r="N7" i="3"/>
  <c r="N8" i="3"/>
  <c r="N9" i="3"/>
  <c r="N11" i="3"/>
  <c r="N13" i="3"/>
  <c r="N15" i="3"/>
  <c r="N16" i="3"/>
  <c r="N17" i="3"/>
  <c r="N18" i="3"/>
  <c r="N19" i="3"/>
  <c r="N22" i="3"/>
  <c r="F6" i="3" l="1"/>
  <c r="F10" i="3"/>
  <c r="F11" i="3"/>
  <c r="F12" i="3"/>
  <c r="F13" i="3"/>
  <c r="G4" i="3"/>
  <c r="F19" i="3" l="1"/>
  <c r="D10" i="1"/>
  <c r="E4" i="3"/>
  <c r="D4" i="3"/>
  <c r="K12" i="3"/>
  <c r="J12" i="3"/>
  <c r="K10" i="3"/>
  <c r="K18" i="3"/>
  <c r="K19" i="3"/>
  <c r="K22" i="3"/>
  <c r="J17" i="3"/>
  <c r="F5" i="3"/>
  <c r="O5" i="3"/>
  <c r="E4" i="1"/>
  <c r="K9" i="3"/>
  <c r="C4" i="2"/>
  <c r="C5" i="2" s="1"/>
  <c r="C6" i="2" s="1"/>
  <c r="K8" i="3"/>
  <c r="E5" i="1"/>
  <c r="E6" i="1"/>
  <c r="E7" i="1"/>
  <c r="E8" i="1"/>
  <c r="E9" i="1"/>
  <c r="E10" i="1"/>
  <c r="E11" i="1"/>
  <c r="E12" i="1"/>
  <c r="E13" i="1"/>
  <c r="E14" i="1"/>
  <c r="E15" i="1"/>
  <c r="G15" i="1"/>
  <c r="E15" i="2" s="1"/>
  <c r="F15" i="2"/>
  <c r="F14" i="2"/>
  <c r="F13" i="2"/>
  <c r="F12" i="2"/>
  <c r="F11" i="2"/>
  <c r="F10" i="2"/>
  <c r="F9" i="2"/>
  <c r="F8" i="2"/>
  <c r="F7" i="2"/>
  <c r="N5" i="3"/>
  <c r="K16" i="3"/>
  <c r="K15" i="3"/>
  <c r="K13" i="3"/>
  <c r="J13" i="3"/>
  <c r="K11" i="3"/>
  <c r="J11" i="3"/>
  <c r="K6" i="3"/>
  <c r="J6" i="3"/>
  <c r="K5" i="3"/>
  <c r="J5" i="3"/>
  <c r="G14" i="1"/>
  <c r="E14" i="2" s="1"/>
  <c r="G13" i="1"/>
  <c r="E13" i="2" s="1"/>
  <c r="G12" i="1"/>
  <c r="E12" i="2" s="1"/>
  <c r="G11" i="1"/>
  <c r="E11" i="2" s="1"/>
  <c r="G10" i="1"/>
  <c r="G9" i="1"/>
  <c r="D15" i="1"/>
  <c r="D14" i="1"/>
  <c r="D13" i="1"/>
  <c r="D12" i="1"/>
  <c r="D11" i="1"/>
  <c r="D9" i="1"/>
  <c r="D8" i="1"/>
  <c r="D7" i="1"/>
  <c r="D6" i="1"/>
  <c r="D5" i="1"/>
  <c r="D4" i="1"/>
  <c r="G4" i="1"/>
  <c r="F4" i="1"/>
  <c r="F5" i="1" s="1"/>
  <c r="F6" i="1" s="1"/>
  <c r="G5" i="1" l="1"/>
  <c r="G6" i="1" s="1"/>
  <c r="G7" i="1" s="1"/>
  <c r="E4" i="2"/>
  <c r="E6" i="2"/>
  <c r="E5" i="2"/>
  <c r="G5" i="2" s="1"/>
  <c r="H4" i="1"/>
  <c r="H5" i="1"/>
  <c r="F5" i="2"/>
  <c r="I5" i="1"/>
  <c r="F6" i="2"/>
  <c r="I4" i="1"/>
  <c r="G4" i="2"/>
  <c r="O20" i="3"/>
  <c r="O4" i="3" s="1"/>
  <c r="N20" i="3"/>
  <c r="F4" i="3"/>
  <c r="G8" i="1" l="1"/>
  <c r="E8" i="2" s="1"/>
  <c r="E7" i="2"/>
  <c r="F7" i="1"/>
  <c r="H6" i="1"/>
  <c r="I6" i="1"/>
  <c r="C7" i="2"/>
  <c r="G6" i="2"/>
  <c r="J4" i="3"/>
  <c r="K4" i="3"/>
  <c r="N4" i="3"/>
  <c r="F8" i="1" l="1"/>
  <c r="H7" i="1"/>
  <c r="I7" i="1"/>
  <c r="G7" i="2"/>
  <c r="C8" i="2"/>
  <c r="F9" i="1" l="1"/>
  <c r="I9" i="1" s="1"/>
  <c r="H8" i="1"/>
  <c r="I8" i="1"/>
  <c r="C9" i="2"/>
  <c r="G8" i="2"/>
  <c r="F10" i="1" l="1"/>
  <c r="H9" i="1"/>
  <c r="C10" i="2"/>
  <c r="G9" i="2"/>
  <c r="H10" i="1" l="1"/>
  <c r="I10" i="1"/>
  <c r="F11" i="1"/>
  <c r="I11" i="1" s="1"/>
  <c r="C11" i="2"/>
  <c r="G10" i="2"/>
  <c r="F12" i="1" l="1"/>
  <c r="I12" i="1" s="1"/>
  <c r="H11" i="1"/>
  <c r="C12" i="2"/>
  <c r="G11" i="2"/>
  <c r="F13" i="1" l="1"/>
  <c r="I13" i="1" s="1"/>
  <c r="H12" i="1"/>
  <c r="C13" i="2"/>
  <c r="G12" i="2"/>
  <c r="F14" i="1" l="1"/>
  <c r="H13" i="1"/>
  <c r="C14" i="2"/>
  <c r="G13" i="2"/>
  <c r="F15" i="1" l="1"/>
  <c r="I14" i="1"/>
  <c r="H14" i="1"/>
  <c r="C15" i="2"/>
  <c r="G15" i="2" s="1"/>
  <c r="G14" i="2"/>
  <c r="I15" i="1" l="1"/>
  <c r="H15" i="1"/>
</calcChain>
</file>

<file path=xl/sharedStrings.xml><?xml version="1.0" encoding="utf-8"?>
<sst xmlns="http://schemas.openxmlformats.org/spreadsheetml/2006/main" count="96" uniqueCount="81">
  <si>
    <t>месяц</t>
  </si>
  <si>
    <t>план на месяц</t>
  </si>
  <si>
    <t>факт за месяц</t>
  </si>
  <si>
    <t>% исполнения за месяц</t>
  </si>
  <si>
    <t>сумма исполнения за месяц</t>
  </si>
  <si>
    <t>план нарастающим итогом</t>
  </si>
  <si>
    <t>факт нарастающим итогом</t>
  </si>
  <si>
    <t>% исполнения нарастающим итогом</t>
  </si>
  <si>
    <t>сумма исполнения нарастающим итогом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</si>
  <si>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</si>
  <si>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</si>
  <si>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</si>
  <si>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</si>
  <si>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</si>
  <si>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</si>
  <si>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</si>
  <si>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</si>
  <si>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</si>
  <si>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</si>
  <si>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</si>
  <si>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</si>
  <si>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Показатель</t>
  </si>
  <si>
    <t>План текущего месяца</t>
  </si>
  <si>
    <t>Факт с начала месяца</t>
  </si>
  <si>
    <t>План года</t>
  </si>
  <si>
    <t>План с начала года</t>
  </si>
  <si>
    <t>Факт с начала года</t>
  </si>
  <si>
    <t>Факт за аналогичный период прошлого года с начала года</t>
  </si>
  <si>
    <t>Объем доходов бюджета всего, тыс. рублей</t>
  </si>
  <si>
    <t>Налог на доходы физических лиц, тыс. рублей</t>
  </si>
  <si>
    <t>Акцизы</t>
  </si>
  <si>
    <t>Единый налог на вмененный доход, тыс. рублей</t>
  </si>
  <si>
    <t>Транспортный налог, тыс. рублей</t>
  </si>
  <si>
    <t>Госпошлина</t>
  </si>
  <si>
    <t>Аренда земли, тыс. рублей</t>
  </si>
  <si>
    <t>Аренда имущества, тыс. рублей</t>
  </si>
  <si>
    <t>Плата за негативное воздействие на окружающую среду</t>
  </si>
  <si>
    <t>Прочие доходы от оказания платных услуг и компенсации затрат</t>
  </si>
  <si>
    <t>Доходы от продажи имущества, тыс. рублей</t>
  </si>
  <si>
    <t>Доходы от продажи земли, тыс. рублей</t>
  </si>
  <si>
    <t>Штрафы</t>
  </si>
  <si>
    <t>% исполнения с начала года</t>
  </si>
  <si>
    <t>% исполнения за год</t>
  </si>
  <si>
    <t>Единый сельскохозяйственный налог, тыс.рублей</t>
  </si>
  <si>
    <t>Налог, взимаемый в связи с применением патентной системы налогообложения</t>
  </si>
  <si>
    <t>Прочие доходы от использования имущества</t>
  </si>
  <si>
    <t>Прочие налоги и сборы</t>
  </si>
  <si>
    <t>Прочие неналоговые доходы</t>
  </si>
  <si>
    <t>Налог на имущество, тыс. рублей</t>
  </si>
  <si>
    <t>Земельный налог, тыс. рублей</t>
  </si>
  <si>
    <t>КБК</t>
  </si>
  <si>
    <t>Факт за 2021 год</t>
  </si>
  <si>
    <t>Факт нарастающим за 2021 год</t>
  </si>
  <si>
    <t>601 1 11 05034 14 0000 120</t>
  </si>
  <si>
    <t>601 1 11 09044 14 0000 120</t>
  </si>
  <si>
    <t>601 1 14 06012 14 0000 430</t>
  </si>
  <si>
    <t>601 1 17 01040 14 0000 180</t>
  </si>
  <si>
    <t xml:space="preserve">182 1 01 00000 01 0000 110 </t>
  </si>
  <si>
    <t>100 1 03 00000 01 0000 110</t>
  </si>
  <si>
    <t>182 1 05 02010 02 0000 110</t>
  </si>
  <si>
    <t>182 1 05 03010 01 0000 110</t>
  </si>
  <si>
    <t>182 1 05 04060 02 0000 110</t>
  </si>
  <si>
    <t>182 1 06 01020 14 0000 110</t>
  </si>
  <si>
    <t>182 1 06 04000 02 0000 110</t>
  </si>
  <si>
    <t>182 1 06 06000 14 0000 110</t>
  </si>
  <si>
    <t>182 1 08 00000 01 0000 110</t>
  </si>
  <si>
    <t>601 1 11 05000 14 0000 120</t>
  </si>
  <si>
    <t>048 1 12 00000 01 6000 120</t>
  </si>
  <si>
    <t>601 1 13 00000 14 0000 130</t>
  </si>
  <si>
    <t>601 1 14 02043 14 0000 410</t>
  </si>
  <si>
    <t>601 1 16 00000 00 0000 140</t>
  </si>
  <si>
    <t>Факт за 2022 год</t>
  </si>
  <si>
    <t>Факт нарастающим за 2022 год</t>
  </si>
  <si>
    <t>Месяц 2022/Месяц 2021, %</t>
  </si>
  <si>
    <t>Нарастающим итогом 2022/Нарастающим итогом 2021, %</t>
  </si>
  <si>
    <t>Факт за аналогичный период прошлого года с начала года в условиях 2022 года</t>
  </si>
  <si>
    <t>Рост/ снижение 2022/2021 тыс.руб.</t>
  </si>
  <si>
    <t>Анализ поступления налоговых и неналоговых доходов бюджета Юсьвинского муниципального округа за 2021-2022 годы в разрезе источников (тыс.руб.)</t>
  </si>
  <si>
    <t>Анализ поступления налоговых и неналоговых доходов бюджета Юсьвинского муниципального округа за 2021-2022 годы (тыс.руб.)</t>
  </si>
  <si>
    <t>Анализ налоговых и неналоговых доходов бюджета Юсьвинского муниципального округа на 01.12.2022 (тыс.руб.)</t>
  </si>
  <si>
    <t>на 01.12.2022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</si>
</sst>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Arial Unicode MS"/>
      <family val="2"/>
      <charset val="204"/>
    </font>
    <font>
      <b/>
      <sz val="8"/>
      <name val="Tahoma"/>
      <family val="2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ahoma"/>
      <family val="2"/>
      <charset val="204"/>
    </font>
    <font>
      <sz val="10"/>
      <color theme="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4"/>
      </left>
      <right/>
      <top style="medium">
        <color indexed="54"/>
      </top>
      <bottom style="medium">
        <color indexed="54"/>
      </bottom>
      <diagonal/>
    </border>
    <border>
      <left/>
      <right style="medium">
        <color indexed="54"/>
      </right>
      <top style="medium">
        <color indexed="54"/>
      </top>
      <bottom style="medium">
        <color indexed="54"/>
      </bottom>
      <diagonal/>
    </border>
    <border>
      <left style="medium">
        <color indexed="54"/>
      </left>
      <right style="medium">
        <color indexed="54"/>
      </right>
      <top style="thin">
        <color indexed="64"/>
      </top>
      <bottom style="medium">
        <color indexed="54"/>
      </bottom>
      <diagonal/>
    </border>
    <border>
      <left/>
      <right style="medium">
        <color indexed="54"/>
      </right>
      <top style="thin">
        <color indexed="64"/>
      </top>
      <bottom style="medium">
        <color indexed="54"/>
      </bottom>
      <diagonal/>
    </border>
    <border>
      <left/>
      <right style="medium">
        <color indexed="54"/>
      </right>
      <top/>
      <bottom style="medium">
        <color indexed="54"/>
      </bottom>
      <diagonal/>
    </border>
    <border>
      <left/>
      <right/>
      <top style="thin">
        <color indexed="64"/>
      </top>
      <bottom style="medium">
        <color indexed="54"/>
      </bottom>
      <diagonal/>
    </border>
    <border>
      <left/>
      <right/>
      <top/>
      <bottom style="medium">
        <color indexed="5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0" xfId="0" applyFont="1" applyFill="1"/>
    <xf numFmtId="0" fontId="4" fillId="2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7" fillId="2" borderId="0" xfId="0" applyNumberFormat="1" applyFont="1" applyFill="1"/>
    <xf numFmtId="0" fontId="0" fillId="0" borderId="0" xfId="0" applyFont="1"/>
    <xf numFmtId="0" fontId="6" fillId="2" borderId="7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/>
    <xf numFmtId="165" fontId="6" fillId="3" borderId="6" xfId="0" applyNumberFormat="1" applyFont="1" applyFill="1" applyBorder="1" applyAlignment="1">
      <alignment horizontal="center" vertical="center" wrapText="1"/>
    </xf>
    <xf numFmtId="165" fontId="6" fillId="3" borderId="8" xfId="0" applyNumberFormat="1" applyFont="1" applyFill="1" applyBorder="1" applyAlignment="1">
      <alignment horizontal="center" vertical="center" wrapText="1"/>
    </xf>
    <xf numFmtId="165" fontId="6" fillId="2" borderId="6" xfId="0" applyNumberFormat="1" applyFont="1" applyFill="1" applyBorder="1" applyAlignment="1">
      <alignment horizontal="center" vertical="center" wrapText="1"/>
    </xf>
    <xf numFmtId="165" fontId="6" fillId="2" borderId="8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view="pageBreakPreview" zoomScaleSheetLayoutView="100" workbookViewId="0">
      <selection activeCell="B16" sqref="B16"/>
    </sheetView>
  </sheetViews>
  <sheetFormatPr defaultRowHeight="15" x14ac:dyDescent="0.25"/>
  <cols>
    <col min="1" max="1" width="9.140625" style="1"/>
    <col min="2" max="5" width="11.5703125" style="1" customWidth="1"/>
    <col min="6" max="8" width="13.7109375" style="1" customWidth="1"/>
    <col min="9" max="9" width="12.140625" style="1" customWidth="1"/>
    <col min="10" max="16384" width="9.140625" style="1"/>
  </cols>
  <sheetData>
    <row r="1" spans="1:11" ht="35.25" customHeight="1" x14ac:dyDescent="0.25">
      <c r="A1" s="22" t="s">
        <v>79</v>
      </c>
      <c r="B1" s="22"/>
      <c r="C1" s="22"/>
      <c r="D1" s="22"/>
      <c r="E1" s="22"/>
      <c r="F1" s="22"/>
      <c r="G1" s="22"/>
      <c r="H1" s="22"/>
      <c r="I1" s="22"/>
    </row>
    <row r="3" spans="1:11" ht="60" x14ac:dyDescent="0.25">
      <c r="A3" s="5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4" t="s">
        <v>6</v>
      </c>
      <c r="H3" s="4" t="s">
        <v>7</v>
      </c>
      <c r="I3" s="4" t="s">
        <v>8</v>
      </c>
      <c r="J3" s="2"/>
      <c r="K3" s="2"/>
    </row>
    <row r="4" spans="1:11" x14ac:dyDescent="0.25">
      <c r="A4" s="3" t="s">
        <v>9</v>
      </c>
      <c r="B4" s="17">
        <v>3407.8</v>
      </c>
      <c r="C4" s="17">
        <v>3761.259</v>
      </c>
      <c r="D4" s="17">
        <f>SUM(C4/B4*100)</f>
        <v>110.37205821937907</v>
      </c>
      <c r="E4" s="17">
        <f>SUM(C4-B4)</f>
        <v>353.45899999999983</v>
      </c>
      <c r="F4" s="17">
        <f>SUM(B4)</f>
        <v>3407.8</v>
      </c>
      <c r="G4" s="17">
        <f>C4</f>
        <v>3761.259</v>
      </c>
      <c r="H4" s="17">
        <f>SUM(G4/F4*100)</f>
        <v>110.37205821937907</v>
      </c>
      <c r="I4" s="17">
        <f>SUM(G4-F4)</f>
        <v>353.45899999999983</v>
      </c>
    </row>
    <row r="5" spans="1:11" x14ac:dyDescent="0.25">
      <c r="A5" s="3" t="s">
        <v>10</v>
      </c>
      <c r="B5" s="17">
        <v>8033.3</v>
      </c>
      <c r="C5" s="17">
        <v>8002.8280000000004</v>
      </c>
      <c r="D5" s="17">
        <f t="shared" ref="D5:D15" si="0">SUM(C5/B5*100)</f>
        <v>99.620678923978943</v>
      </c>
      <c r="E5" s="17">
        <f t="shared" ref="E5:E15" si="1">SUM(C5-B5)</f>
        <v>-30.471999999999753</v>
      </c>
      <c r="F5" s="17">
        <f>F4+B5</f>
        <v>11441.1</v>
      </c>
      <c r="G5" s="17">
        <f>G4+C5</f>
        <v>11764.087</v>
      </c>
      <c r="H5" s="17">
        <f t="shared" ref="H5:H15" si="2">SUM(G5/F5*100)</f>
        <v>102.82304149076573</v>
      </c>
      <c r="I5" s="17">
        <f t="shared" ref="I5:I15" si="3">SUM(G5-F5)</f>
        <v>322.98699999999917</v>
      </c>
    </row>
    <row r="6" spans="1:11" x14ac:dyDescent="0.25">
      <c r="A6" s="3" t="s">
        <v>11</v>
      </c>
      <c r="B6" s="17">
        <v>13425.3</v>
      </c>
      <c r="C6" s="17">
        <v>13102.352999999999</v>
      </c>
      <c r="D6" s="17">
        <f t="shared" si="0"/>
        <v>97.59448950861433</v>
      </c>
      <c r="E6" s="17">
        <f t="shared" si="1"/>
        <v>-322.94700000000012</v>
      </c>
      <c r="F6" s="17">
        <f>F5+B6</f>
        <v>24866.400000000001</v>
      </c>
      <c r="G6" s="17">
        <f>G5+C6</f>
        <v>24866.44</v>
      </c>
      <c r="H6" s="17">
        <f t="shared" si="2"/>
        <v>100.00016085963388</v>
      </c>
      <c r="I6" s="17">
        <f>SUM(G6-F6)</f>
        <v>3.9999999997235136E-2</v>
      </c>
    </row>
    <row r="7" spans="1:11" x14ac:dyDescent="0.25">
      <c r="A7" s="3" t="s">
        <v>12</v>
      </c>
      <c r="B7" s="17">
        <v>7578.6</v>
      </c>
      <c r="C7" s="17">
        <v>8175.9459999999999</v>
      </c>
      <c r="D7" s="17">
        <f t="shared" si="0"/>
        <v>107.88200986989681</v>
      </c>
      <c r="E7" s="17">
        <f>SUM(C7-B7)</f>
        <v>597.34599999999955</v>
      </c>
      <c r="F7" s="17">
        <f t="shared" ref="F7:F14" si="4">F6+B7</f>
        <v>32445</v>
      </c>
      <c r="G7" s="17">
        <f>G6+C7</f>
        <v>33042.385999999999</v>
      </c>
      <c r="H7" s="17">
        <f t="shared" si="2"/>
        <v>101.84122669132378</v>
      </c>
      <c r="I7" s="17">
        <f t="shared" si="3"/>
        <v>597.3859999999986</v>
      </c>
    </row>
    <row r="8" spans="1:11" x14ac:dyDescent="0.25">
      <c r="A8" s="3" t="s">
        <v>13</v>
      </c>
      <c r="B8" s="17">
        <v>5766.3249999999998</v>
      </c>
      <c r="C8" s="17">
        <v>8683.6880000000001</v>
      </c>
      <c r="D8" s="17">
        <f t="shared" si="0"/>
        <v>150.59310739509132</v>
      </c>
      <c r="E8" s="17">
        <f t="shared" si="1"/>
        <v>2917.3630000000003</v>
      </c>
      <c r="F8" s="17">
        <f t="shared" si="4"/>
        <v>38211.324999999997</v>
      </c>
      <c r="G8" s="17">
        <f>G7+C8</f>
        <v>41726.074000000001</v>
      </c>
      <c r="H8" s="17">
        <f t="shared" si="2"/>
        <v>109.1981866632471</v>
      </c>
      <c r="I8" s="17">
        <f t="shared" si="3"/>
        <v>3514.7490000000034</v>
      </c>
    </row>
    <row r="9" spans="1:11" x14ac:dyDescent="0.25">
      <c r="A9" s="3" t="s">
        <v>14</v>
      </c>
      <c r="B9" s="17">
        <v>11447.7</v>
      </c>
      <c r="C9" s="17">
        <v>7932.9660000000003</v>
      </c>
      <c r="D9" s="17">
        <f t="shared" si="0"/>
        <v>69.297465866505931</v>
      </c>
      <c r="E9" s="17">
        <f t="shared" si="1"/>
        <v>-3514.7340000000004</v>
      </c>
      <c r="F9" s="17">
        <f t="shared" si="4"/>
        <v>49659.024999999994</v>
      </c>
      <c r="G9" s="17">
        <f>SUM(C4:C9)</f>
        <v>49659.040000000001</v>
      </c>
      <c r="H9" s="17">
        <f t="shared" si="2"/>
        <v>100.00003020598976</v>
      </c>
      <c r="I9" s="17">
        <f>SUM(G9-F9)</f>
        <v>1.5000000006693881E-2</v>
      </c>
    </row>
    <row r="10" spans="1:11" x14ac:dyDescent="0.25">
      <c r="A10" s="3" t="s">
        <v>15</v>
      </c>
      <c r="B10" s="17">
        <v>6338.4</v>
      </c>
      <c r="C10" s="17">
        <v>8494.4</v>
      </c>
      <c r="D10" s="17">
        <f>SUM(C10/B10*100)</f>
        <v>134.01489334847912</v>
      </c>
      <c r="E10" s="17">
        <f t="shared" si="1"/>
        <v>2156</v>
      </c>
      <c r="F10" s="17">
        <f t="shared" si="4"/>
        <v>55997.424999999996</v>
      </c>
      <c r="G10" s="17">
        <f>SUM(C4:C10)</f>
        <v>58153.440000000002</v>
      </c>
      <c r="H10" s="17">
        <f>SUM(G10/F10*100)</f>
        <v>103.85020382633667</v>
      </c>
      <c r="I10" s="17">
        <f t="shared" si="3"/>
        <v>2156.0150000000067</v>
      </c>
    </row>
    <row r="11" spans="1:11" x14ac:dyDescent="0.25">
      <c r="A11" s="3" t="s">
        <v>16</v>
      </c>
      <c r="B11" s="17">
        <v>5356.5249999999996</v>
      </c>
      <c r="C11" s="17">
        <v>6909.3</v>
      </c>
      <c r="D11" s="17">
        <f t="shared" si="0"/>
        <v>128.98847667097607</v>
      </c>
      <c r="E11" s="17">
        <f t="shared" si="1"/>
        <v>1552.7750000000005</v>
      </c>
      <c r="F11" s="17">
        <f t="shared" si="4"/>
        <v>61353.95</v>
      </c>
      <c r="G11" s="17">
        <f>SUM(C4:C11)</f>
        <v>65062.740000000005</v>
      </c>
      <c r="H11" s="17">
        <f t="shared" si="2"/>
        <v>106.04490827403943</v>
      </c>
      <c r="I11" s="17">
        <f>SUM(G11-F11)</f>
        <v>3708.7900000000081</v>
      </c>
    </row>
    <row r="12" spans="1:11" x14ac:dyDescent="0.25">
      <c r="A12" s="3" t="s">
        <v>17</v>
      </c>
      <c r="B12" s="17">
        <v>11246.81</v>
      </c>
      <c r="C12" s="17">
        <v>7547.6</v>
      </c>
      <c r="D12" s="17">
        <f t="shared" si="0"/>
        <v>67.108806852787595</v>
      </c>
      <c r="E12" s="17">
        <f t="shared" si="1"/>
        <v>-3699.2099999999991</v>
      </c>
      <c r="F12" s="17">
        <f t="shared" si="4"/>
        <v>72600.759999999995</v>
      </c>
      <c r="G12" s="17">
        <f>SUM(C4:C12)</f>
        <v>72610.340000000011</v>
      </c>
      <c r="H12" s="17">
        <f t="shared" si="2"/>
        <v>100.01319545415231</v>
      </c>
      <c r="I12" s="17">
        <f>SUM(G12-F12)</f>
        <v>9.5800000000162981</v>
      </c>
    </row>
    <row r="13" spans="1:11" x14ac:dyDescent="0.25">
      <c r="A13" s="3" t="s">
        <v>18</v>
      </c>
      <c r="B13" s="17">
        <v>10141.299999999999</v>
      </c>
      <c r="C13" s="17">
        <v>12796.9</v>
      </c>
      <c r="D13" s="17">
        <f t="shared" si="0"/>
        <v>126.18599193397297</v>
      </c>
      <c r="E13" s="17">
        <f t="shared" si="1"/>
        <v>2655.6000000000004</v>
      </c>
      <c r="F13" s="17">
        <f t="shared" si="4"/>
        <v>82742.06</v>
      </c>
      <c r="G13" s="17">
        <f>SUM(C4:C13)</f>
        <v>85407.24</v>
      </c>
      <c r="H13" s="17">
        <f t="shared" si="2"/>
        <v>103.22107039636191</v>
      </c>
      <c r="I13" s="17">
        <f>SUM(G13-F13)</f>
        <v>2665.1800000000076</v>
      </c>
    </row>
    <row r="14" spans="1:11" x14ac:dyDescent="0.25">
      <c r="A14" s="3" t="s">
        <v>19</v>
      </c>
      <c r="B14" s="17">
        <v>12597.4</v>
      </c>
      <c r="C14" s="17">
        <v>14320.427</v>
      </c>
      <c r="D14" s="17">
        <f t="shared" si="0"/>
        <v>113.67763983044121</v>
      </c>
      <c r="E14" s="17">
        <f t="shared" si="1"/>
        <v>1723.027</v>
      </c>
      <c r="F14" s="17">
        <f t="shared" si="4"/>
        <v>95339.459999999992</v>
      </c>
      <c r="G14" s="17">
        <f>SUM(C4:C14)</f>
        <v>99727.667000000001</v>
      </c>
      <c r="H14" s="17">
        <f t="shared" si="2"/>
        <v>104.60271853857786</v>
      </c>
      <c r="I14" s="17">
        <f t="shared" si="3"/>
        <v>4388.2070000000094</v>
      </c>
    </row>
    <row r="15" spans="1:11" ht="20.25" hidden="1" customHeight="1" x14ac:dyDescent="0.25">
      <c r="A15" s="3" t="s">
        <v>20</v>
      </c>
      <c r="B15" s="17"/>
      <c r="C15" s="17"/>
      <c r="D15" s="17" t="e">
        <f t="shared" si="0"/>
        <v>#DIV/0!</v>
      </c>
      <c r="E15" s="17">
        <f t="shared" si="1"/>
        <v>0</v>
      </c>
      <c r="F15" s="17">
        <f>F14+B15</f>
        <v>95339.459999999992</v>
      </c>
      <c r="G15" s="17">
        <f>SUM(C4:C15)</f>
        <v>99727.667000000001</v>
      </c>
      <c r="H15" s="17">
        <f t="shared" si="2"/>
        <v>104.60271853857786</v>
      </c>
      <c r="I15" s="17">
        <f t="shared" si="3"/>
        <v>4388.2070000000094</v>
      </c>
    </row>
  </sheetData>
  <mergeCells count="1">
    <mergeCell ref="A1:I1"/>
  </mergeCells>
  <pageMargins left="0.7" right="0.7" top="0.75" bottom="0.75" header="0.3" footer="0.3"/>
  <pageSetup paperSize="9" scale="78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view="pageBreakPreview" zoomScaleSheetLayoutView="100" workbookViewId="0">
      <selection activeCell="D14" sqref="D14"/>
    </sheetView>
  </sheetViews>
  <sheetFormatPr defaultRowHeight="15" x14ac:dyDescent="0.25"/>
  <cols>
    <col min="1" max="1" width="9.140625" style="1"/>
    <col min="2" max="7" width="11.5703125" style="1" customWidth="1"/>
    <col min="8" max="16384" width="9.140625" style="1"/>
  </cols>
  <sheetData>
    <row r="1" spans="1:9" ht="38.25" customHeight="1" x14ac:dyDescent="0.25">
      <c r="A1" s="22" t="s">
        <v>78</v>
      </c>
      <c r="B1" s="22"/>
      <c r="C1" s="22"/>
      <c r="D1" s="22"/>
      <c r="E1" s="22"/>
      <c r="F1" s="22"/>
      <c r="G1" s="22"/>
    </row>
    <row r="3" spans="1:9" ht="105" x14ac:dyDescent="0.25">
      <c r="A3" s="4" t="s">
        <v>0</v>
      </c>
      <c r="B3" s="4" t="s">
        <v>51</v>
      </c>
      <c r="C3" s="4" t="s">
        <v>52</v>
      </c>
      <c r="D3" s="4" t="s">
        <v>71</v>
      </c>
      <c r="E3" s="4" t="s">
        <v>72</v>
      </c>
      <c r="F3" s="4" t="s">
        <v>73</v>
      </c>
      <c r="G3" s="4" t="s">
        <v>74</v>
      </c>
      <c r="H3" s="2"/>
      <c r="I3" s="2"/>
    </row>
    <row r="4" spans="1:9" x14ac:dyDescent="0.25">
      <c r="A4" s="3" t="s">
        <v>9</v>
      </c>
      <c r="B4" s="17">
        <v>3123.7</v>
      </c>
      <c r="C4" s="17">
        <f>B4</f>
        <v>3123.7</v>
      </c>
      <c r="D4" s="17">
        <f>'в 2022 году'!C4</f>
        <v>3761.259</v>
      </c>
      <c r="E4" s="17">
        <f>'в 2022 году'!G4</f>
        <v>3761.259</v>
      </c>
      <c r="F4" s="17">
        <f>SUM(D4/B4*100)</f>
        <v>120.41037871754652</v>
      </c>
      <c r="G4" s="17">
        <f>SUM(E4/C4*100)</f>
        <v>120.41037871754652</v>
      </c>
    </row>
    <row r="5" spans="1:9" x14ac:dyDescent="0.25">
      <c r="A5" s="3" t="s">
        <v>10</v>
      </c>
      <c r="B5" s="17">
        <v>6228.9</v>
      </c>
      <c r="C5" s="17">
        <f>C4+B5</f>
        <v>9352.5999999999985</v>
      </c>
      <c r="D5" s="17">
        <f>'в 2022 году'!C5</f>
        <v>8002.8280000000004</v>
      </c>
      <c r="E5" s="17">
        <f>'в 2022 году'!G5</f>
        <v>11764.087</v>
      </c>
      <c r="F5" s="17">
        <f t="shared" ref="F5:F15" si="0">SUM(D5/B5*100)</f>
        <v>128.47899308064027</v>
      </c>
      <c r="G5" s="17">
        <f>SUM(E5/C5*100)</f>
        <v>125.78413489297095</v>
      </c>
    </row>
    <row r="6" spans="1:9" x14ac:dyDescent="0.25">
      <c r="A6" s="3" t="s">
        <v>11</v>
      </c>
      <c r="B6" s="17">
        <v>13081.6</v>
      </c>
      <c r="C6" s="17">
        <f>C5+B6</f>
        <v>22434.199999999997</v>
      </c>
      <c r="D6" s="17">
        <f>'в 2022 году'!C6</f>
        <v>13102.352999999999</v>
      </c>
      <c r="E6" s="17">
        <f>'в 2022 году'!G6</f>
        <v>24866.44</v>
      </c>
      <c r="F6" s="17">
        <f t="shared" si="0"/>
        <v>100.15864267367904</v>
      </c>
      <c r="G6" s="17">
        <f t="shared" ref="G6:G15" si="1">SUM(E6/C6*100)</f>
        <v>110.84166139198189</v>
      </c>
    </row>
    <row r="7" spans="1:9" x14ac:dyDescent="0.25">
      <c r="A7" s="3" t="s">
        <v>12</v>
      </c>
      <c r="B7" s="17">
        <v>8666.2999999999993</v>
      </c>
      <c r="C7" s="17">
        <f t="shared" ref="C7:C15" si="2">C6+B7</f>
        <v>31100.499999999996</v>
      </c>
      <c r="D7" s="17">
        <f>'в 2022 году'!C7</f>
        <v>8175.9459999999999</v>
      </c>
      <c r="E7" s="17">
        <f>'в 2022 году'!G7</f>
        <v>33042.385999999999</v>
      </c>
      <c r="F7" s="17">
        <f t="shared" si="0"/>
        <v>94.341829846647357</v>
      </c>
      <c r="G7" s="17">
        <f t="shared" si="1"/>
        <v>106.24390604652658</v>
      </c>
    </row>
    <row r="8" spans="1:9" x14ac:dyDescent="0.25">
      <c r="A8" s="3" t="s">
        <v>13</v>
      </c>
      <c r="B8" s="17">
        <v>7302.2</v>
      </c>
      <c r="C8" s="17">
        <f t="shared" si="2"/>
        <v>38402.699999999997</v>
      </c>
      <c r="D8" s="17">
        <f>'в 2022 году'!C8</f>
        <v>8683.6880000000001</v>
      </c>
      <c r="E8" s="17">
        <f>'в 2022 году'!G8</f>
        <v>41726.074000000001</v>
      </c>
      <c r="F8" s="17">
        <f t="shared" si="0"/>
        <v>118.91879159705294</v>
      </c>
      <c r="G8" s="17">
        <f t="shared" si="1"/>
        <v>108.65401130649668</v>
      </c>
    </row>
    <row r="9" spans="1:9" x14ac:dyDescent="0.25">
      <c r="A9" s="3" t="s">
        <v>14</v>
      </c>
      <c r="B9" s="17">
        <v>7750.9</v>
      </c>
      <c r="C9" s="17">
        <f t="shared" si="2"/>
        <v>46153.599999999999</v>
      </c>
      <c r="D9" s="17">
        <f>'в 2022 году'!C9</f>
        <v>7932.9660000000003</v>
      </c>
      <c r="E9" s="17">
        <f>'в 2022 году'!G9</f>
        <v>49659.040000000001</v>
      </c>
      <c r="F9" s="17">
        <f t="shared" si="0"/>
        <v>102.34896592653757</v>
      </c>
      <c r="G9" s="17">
        <f t="shared" si="1"/>
        <v>107.59516050752271</v>
      </c>
    </row>
    <row r="10" spans="1:9" x14ac:dyDescent="0.25">
      <c r="A10" s="3" t="s">
        <v>15</v>
      </c>
      <c r="B10" s="17">
        <v>6378.8</v>
      </c>
      <c r="C10" s="17">
        <f t="shared" si="2"/>
        <v>52532.4</v>
      </c>
      <c r="D10" s="17">
        <f>'в 2022 году'!C10</f>
        <v>8494.4</v>
      </c>
      <c r="E10" s="17">
        <f>'в 2022 году'!G10</f>
        <v>58153.440000000002</v>
      </c>
      <c r="F10" s="17">
        <f t="shared" si="0"/>
        <v>133.16611274847935</v>
      </c>
      <c r="G10" s="17">
        <f t="shared" si="1"/>
        <v>110.70013934257716</v>
      </c>
    </row>
    <row r="11" spans="1:9" x14ac:dyDescent="0.25">
      <c r="A11" s="3" t="s">
        <v>16</v>
      </c>
      <c r="B11" s="17">
        <v>5786.4</v>
      </c>
      <c r="C11" s="17">
        <f t="shared" si="2"/>
        <v>58318.8</v>
      </c>
      <c r="D11" s="17">
        <f>'в 2022 году'!C11</f>
        <v>6909.3</v>
      </c>
      <c r="E11" s="17">
        <f>'в 2022 году'!G11</f>
        <v>65062.740000000005</v>
      </c>
      <c r="F11" s="17">
        <f t="shared" si="0"/>
        <v>119.40584819576941</v>
      </c>
      <c r="G11" s="17">
        <f t="shared" si="1"/>
        <v>111.56392106833475</v>
      </c>
    </row>
    <row r="12" spans="1:9" x14ac:dyDescent="0.25">
      <c r="A12" s="3" t="s">
        <v>17</v>
      </c>
      <c r="B12" s="17">
        <v>9073.1</v>
      </c>
      <c r="C12" s="17">
        <f t="shared" si="2"/>
        <v>67391.900000000009</v>
      </c>
      <c r="D12" s="17">
        <f>'в 2022 году'!C12</f>
        <v>7547.6</v>
      </c>
      <c r="E12" s="17">
        <f>'в 2022 году'!G12</f>
        <v>72610.340000000011</v>
      </c>
      <c r="F12" s="17">
        <f t="shared" si="0"/>
        <v>83.18656247589027</v>
      </c>
      <c r="G12" s="17">
        <f t="shared" si="1"/>
        <v>107.74342317103391</v>
      </c>
    </row>
    <row r="13" spans="1:9" x14ac:dyDescent="0.25">
      <c r="A13" s="3" t="s">
        <v>18</v>
      </c>
      <c r="B13" s="17">
        <v>10056.9</v>
      </c>
      <c r="C13" s="17">
        <f t="shared" si="2"/>
        <v>77448.800000000003</v>
      </c>
      <c r="D13" s="17">
        <f>'в 2022 году'!C13</f>
        <v>12796.9</v>
      </c>
      <c r="E13" s="17">
        <f>'в 2022 году'!G13</f>
        <v>85407.24</v>
      </c>
      <c r="F13" s="17">
        <f t="shared" si="0"/>
        <v>127.24497608607027</v>
      </c>
      <c r="G13" s="17">
        <f t="shared" si="1"/>
        <v>110.27574345890447</v>
      </c>
    </row>
    <row r="14" spans="1:9" x14ac:dyDescent="0.25">
      <c r="A14" s="3" t="s">
        <v>19</v>
      </c>
      <c r="B14" s="17">
        <v>15004.7</v>
      </c>
      <c r="C14" s="17">
        <f t="shared" si="2"/>
        <v>92453.5</v>
      </c>
      <c r="D14" s="17">
        <f>'в 2022 году'!C14</f>
        <v>14320.427</v>
      </c>
      <c r="E14" s="17">
        <f>'в 2022 году'!G14</f>
        <v>99727.667000000001</v>
      </c>
      <c r="F14" s="17">
        <f t="shared" si="0"/>
        <v>95.439608922537602</v>
      </c>
      <c r="G14" s="17">
        <f t="shared" si="1"/>
        <v>107.86791954874613</v>
      </c>
    </row>
    <row r="15" spans="1:9" hidden="1" x14ac:dyDescent="0.25">
      <c r="A15" s="3" t="s">
        <v>20</v>
      </c>
      <c r="B15" s="17">
        <v>16469.5</v>
      </c>
      <c r="C15" s="17">
        <f t="shared" si="2"/>
        <v>108923</v>
      </c>
      <c r="D15" s="17"/>
      <c r="E15" s="17">
        <f>'в 2022 году'!G15</f>
        <v>99727.667000000001</v>
      </c>
      <c r="F15" s="17">
        <f t="shared" si="0"/>
        <v>0</v>
      </c>
      <c r="G15" s="17">
        <f t="shared" si="1"/>
        <v>91.557951029626437</v>
      </c>
    </row>
  </sheetData>
  <mergeCells count="1">
    <mergeCell ref="A1:G1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view="pageBreakPreview" zoomScale="80" zoomScaleNormal="68" zoomScaleSheetLayoutView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18" sqref="D18"/>
    </sheetView>
  </sheetViews>
  <sheetFormatPr defaultRowHeight="15" x14ac:dyDescent="0.25"/>
  <cols>
    <col min="1" max="1" width="14" style="6" customWidth="1"/>
    <col min="2" max="2" width="27.85546875" style="6" customWidth="1"/>
    <col min="3" max="3" width="30.140625" style="6" bestFit="1" customWidth="1"/>
    <col min="4" max="4" width="12.42578125" style="9" customWidth="1"/>
    <col min="5" max="5" width="11.5703125" style="9" customWidth="1"/>
    <col min="6" max="6" width="10.28515625" style="9" customWidth="1"/>
    <col min="7" max="7" width="11.42578125" style="9" customWidth="1"/>
    <col min="8" max="8" width="11.140625" style="9" customWidth="1"/>
    <col min="9" max="9" width="12.7109375" style="9" bestFit="1" customWidth="1"/>
    <col min="10" max="10" width="11" style="9" customWidth="1"/>
    <col min="11" max="11" width="10.28515625" style="9" customWidth="1"/>
    <col min="12" max="13" width="13.28515625" style="9" customWidth="1"/>
    <col min="14" max="14" width="11.42578125" style="15" bestFit="1" customWidth="1"/>
    <col min="15" max="15" width="12.42578125" style="15" customWidth="1"/>
  </cols>
  <sheetData>
    <row r="1" spans="1:15" ht="32.25" customHeight="1" x14ac:dyDescent="0.3">
      <c r="A1" s="23" t="s">
        <v>77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5" ht="15.75" thickBot="1" x14ac:dyDescent="0.3">
      <c r="A2" s="24" t="s">
        <v>80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5" ht="84.75" thickBot="1" x14ac:dyDescent="0.3">
      <c r="A3" s="27" t="s">
        <v>21</v>
      </c>
      <c r="B3" s="28"/>
      <c r="C3" s="10" t="s">
        <v>50</v>
      </c>
      <c r="D3" s="13" t="s">
        <v>22</v>
      </c>
      <c r="E3" s="8" t="s">
        <v>23</v>
      </c>
      <c r="F3" s="8" t="s">
        <v>3</v>
      </c>
      <c r="G3" s="8" t="s">
        <v>24</v>
      </c>
      <c r="H3" s="8" t="s">
        <v>25</v>
      </c>
      <c r="I3" s="8" t="s">
        <v>26</v>
      </c>
      <c r="J3" s="8" t="s">
        <v>41</v>
      </c>
      <c r="K3" s="8" t="s">
        <v>42</v>
      </c>
      <c r="L3" s="8" t="s">
        <v>27</v>
      </c>
      <c r="M3" s="8" t="s">
        <v>75</v>
      </c>
      <c r="N3" s="8" t="s">
        <v>74</v>
      </c>
      <c r="O3" s="16" t="s">
        <v>76</v>
      </c>
    </row>
    <row r="4" spans="1:15" ht="24" customHeight="1" thickBot="1" x14ac:dyDescent="0.3">
      <c r="A4" s="29" t="s">
        <v>28</v>
      </c>
      <c r="B4" s="30"/>
      <c r="C4" s="11"/>
      <c r="D4" s="18">
        <f>SUM(D5:D23)</f>
        <v>12597.4</v>
      </c>
      <c r="E4" s="18">
        <f>SUM(E5:E23)</f>
        <v>14320.123000000003</v>
      </c>
      <c r="F4" s="18">
        <f>SUM(E4/D4*100)</f>
        <v>113.67522663406737</v>
      </c>
      <c r="G4" s="18">
        <f>SUM(G5:G23)</f>
        <v>108022.1</v>
      </c>
      <c r="H4" s="18">
        <f>SUM(H5:H23)</f>
        <v>95339.525000000009</v>
      </c>
      <c r="I4" s="18">
        <f>SUM(I5:I23)</f>
        <v>99727.42300000001</v>
      </c>
      <c r="J4" s="18">
        <f>SUM(I4/H4*100)</f>
        <v>104.60239129574013</v>
      </c>
      <c r="K4" s="18">
        <f>SUM(I4/G4*100)</f>
        <v>92.321314805026006</v>
      </c>
      <c r="L4" s="18">
        <f>SUM(L5:L23)</f>
        <v>92453.516999999993</v>
      </c>
      <c r="M4" s="18">
        <f>SUM(M5:M23)</f>
        <v>92453.516999999993</v>
      </c>
      <c r="N4" s="18">
        <f t="shared" ref="N4:N10" si="0">I4/L4*100</f>
        <v>107.86763579799783</v>
      </c>
      <c r="O4" s="19">
        <f>SUM(O5:O23)</f>
        <v>7273.9060000000072</v>
      </c>
    </row>
    <row r="5" spans="1:15" ht="25.5" customHeight="1" thickBot="1" x14ac:dyDescent="0.3">
      <c r="A5" s="25" t="s">
        <v>29</v>
      </c>
      <c r="B5" s="26"/>
      <c r="C5" s="12" t="s">
        <v>57</v>
      </c>
      <c r="D5" s="20">
        <v>3434.3</v>
      </c>
      <c r="E5" s="20">
        <v>3675.7910000000002</v>
      </c>
      <c r="F5" s="20">
        <f>SUM(E5/D5*100)</f>
        <v>107.03173863669453</v>
      </c>
      <c r="G5" s="20">
        <v>35965</v>
      </c>
      <c r="H5" s="20">
        <f>1339.5+3002+3232.9+3084.2+2840.5+3139.5+2691.7+2675.4+3846.8+2809.9+D5</f>
        <v>32096.7</v>
      </c>
      <c r="I5" s="20">
        <f>E5+1026.4+2855+3513+2269.3+3002.4+3493.1+3455.1+3444.6+2768.3+3350.2</f>
        <v>32853.190999999999</v>
      </c>
      <c r="J5" s="20">
        <f t="shared" ref="J5:J22" si="1">SUM(I5/H5*100)</f>
        <v>102.3569120813043</v>
      </c>
      <c r="K5" s="20">
        <f t="shared" ref="K5:K22" si="2">SUM(I5/G5*100)</f>
        <v>91.347674127624074</v>
      </c>
      <c r="L5" s="20">
        <v>29748.637999999999</v>
      </c>
      <c r="M5" s="20">
        <f>L5</f>
        <v>29748.637999999999</v>
      </c>
      <c r="N5" s="20">
        <f t="shared" si="0"/>
        <v>110.43595004248598</v>
      </c>
      <c r="O5" s="21">
        <f t="shared" ref="O5:O23" si="3">I5-M5</f>
        <v>3104.5529999999999</v>
      </c>
    </row>
    <row r="6" spans="1:15" ht="20.25" customHeight="1" thickBot="1" x14ac:dyDescent="0.3">
      <c r="A6" s="25" t="s">
        <v>30</v>
      </c>
      <c r="B6" s="26"/>
      <c r="C6" s="12" t="s">
        <v>58</v>
      </c>
      <c r="D6" s="20">
        <v>1753.3</v>
      </c>
      <c r="E6" s="20">
        <v>2002.12</v>
      </c>
      <c r="F6" s="20">
        <f t="shared" ref="F6:F19" si="4">SUM(E6/D6*100)</f>
        <v>114.19152455369874</v>
      </c>
      <c r="G6" s="20">
        <v>23183.9</v>
      </c>
      <c r="H6" s="20">
        <f>1753.2+1753.4+1753.3+1753.3+1753.3+2097.325+1900+1900+3734.9+1753.3+D6</f>
        <v>21905.325000000001</v>
      </c>
      <c r="I6" s="20">
        <f>E6+1970.7+0+3455.5+1386.7+2588+1993.5+2129.6+2204.7+2370+2180.9</f>
        <v>22281.72</v>
      </c>
      <c r="J6" s="20">
        <f t="shared" si="1"/>
        <v>101.71828082897652</v>
      </c>
      <c r="K6" s="20">
        <f t="shared" si="2"/>
        <v>96.108592600899755</v>
      </c>
      <c r="L6" s="20">
        <v>18356.599999999999</v>
      </c>
      <c r="M6" s="20">
        <f t="shared" ref="M6:M23" si="5">L6</f>
        <v>18356.599999999999</v>
      </c>
      <c r="N6" s="20">
        <f t="shared" si="0"/>
        <v>121.38260897987647</v>
      </c>
      <c r="O6" s="21">
        <f t="shared" si="3"/>
        <v>3925.1200000000026</v>
      </c>
    </row>
    <row r="7" spans="1:15" ht="21" customHeight="1" thickBot="1" x14ac:dyDescent="0.3">
      <c r="A7" s="25" t="s">
        <v>31</v>
      </c>
      <c r="B7" s="26"/>
      <c r="C7" s="12" t="s">
        <v>59</v>
      </c>
      <c r="D7" s="20">
        <v>0</v>
      </c>
      <c r="E7" s="20">
        <v>0.83399999999999996</v>
      </c>
      <c r="F7" s="20">
        <v>0</v>
      </c>
      <c r="G7" s="20">
        <v>21.8</v>
      </c>
      <c r="H7" s="20">
        <f>0+0+0+21.8+D7</f>
        <v>21.8</v>
      </c>
      <c r="I7" s="20">
        <f>E7+0+14+1.5+1.8+2.5+1.2+0.8+2</f>
        <v>24.634</v>
      </c>
      <c r="J7" s="20">
        <v>0</v>
      </c>
      <c r="K7" s="20">
        <v>0</v>
      </c>
      <c r="L7" s="20">
        <v>4.5359999999999996</v>
      </c>
      <c r="M7" s="20">
        <f>L7</f>
        <v>4.5359999999999996</v>
      </c>
      <c r="N7" s="20">
        <f t="shared" si="0"/>
        <v>543.07760141093479</v>
      </c>
      <c r="O7" s="21">
        <f t="shared" si="3"/>
        <v>20.097999999999999</v>
      </c>
    </row>
    <row r="8" spans="1:15" ht="24.75" customHeight="1" thickBot="1" x14ac:dyDescent="0.3">
      <c r="A8" s="25" t="s">
        <v>43</v>
      </c>
      <c r="B8" s="26"/>
      <c r="C8" s="12" t="s">
        <v>60</v>
      </c>
      <c r="D8" s="20">
        <v>0</v>
      </c>
      <c r="E8" s="20">
        <v>0</v>
      </c>
      <c r="F8" s="20">
        <v>0</v>
      </c>
      <c r="G8" s="20">
        <v>2082</v>
      </c>
      <c r="H8" s="20">
        <f>0+1041+328.2+712.8+D8</f>
        <v>2082</v>
      </c>
      <c r="I8" s="20">
        <f>E8+0+0+777.6+108.5+483.1+725.1+0</f>
        <v>2094.3000000000002</v>
      </c>
      <c r="J8" s="20">
        <v>0</v>
      </c>
      <c r="K8" s="20">
        <f t="shared" si="2"/>
        <v>100.59077809798271</v>
      </c>
      <c r="L8" s="20">
        <v>2082.2449999999999</v>
      </c>
      <c r="M8" s="20">
        <f t="shared" si="5"/>
        <v>2082.2449999999999</v>
      </c>
      <c r="N8" s="20">
        <f t="shared" si="0"/>
        <v>100.57894243953042</v>
      </c>
      <c r="O8" s="21">
        <f t="shared" si="3"/>
        <v>12.055000000000291</v>
      </c>
    </row>
    <row r="9" spans="1:15" ht="22.5" customHeight="1" thickBot="1" x14ac:dyDescent="0.3">
      <c r="A9" s="25" t="s">
        <v>44</v>
      </c>
      <c r="B9" s="26"/>
      <c r="C9" s="12" t="s">
        <v>61</v>
      </c>
      <c r="D9" s="20">
        <v>0</v>
      </c>
      <c r="E9" s="20">
        <v>7.1710000000000003</v>
      </c>
      <c r="F9" s="20">
        <v>0</v>
      </c>
      <c r="G9" s="20">
        <v>350</v>
      </c>
      <c r="H9" s="20">
        <f>0+205+140.2+4.8+D9</f>
        <v>350</v>
      </c>
      <c r="I9" s="20">
        <f>E9+39.8+22.7+141.9+73.3+23.4+44.1+8.4+6.5+10.2+1.6</f>
        <v>379.07099999999997</v>
      </c>
      <c r="J9" s="20">
        <v>0</v>
      </c>
      <c r="K9" s="20">
        <f t="shared" ref="K9:K10" si="6">SUM(I9/G9*100)</f>
        <v>108.306</v>
      </c>
      <c r="L9" s="20">
        <v>252.61600000000001</v>
      </c>
      <c r="M9" s="20">
        <f t="shared" si="5"/>
        <v>252.61600000000001</v>
      </c>
      <c r="N9" s="20">
        <f t="shared" si="0"/>
        <v>150.05819108845046</v>
      </c>
      <c r="O9" s="21">
        <f t="shared" si="3"/>
        <v>126.45499999999996</v>
      </c>
    </row>
    <row r="10" spans="1:15" ht="22.5" customHeight="1" thickBot="1" x14ac:dyDescent="0.3">
      <c r="A10" s="25" t="s">
        <v>48</v>
      </c>
      <c r="B10" s="26"/>
      <c r="C10" s="12" t="s">
        <v>62</v>
      </c>
      <c r="D10" s="20">
        <v>557.9</v>
      </c>
      <c r="E10" s="20">
        <v>494.99400000000003</v>
      </c>
      <c r="F10" s="20">
        <f t="shared" si="4"/>
        <v>88.724502599032093</v>
      </c>
      <c r="G10" s="20">
        <v>1652</v>
      </c>
      <c r="H10" s="20">
        <f>0+31.6+71.4+16.9+14.9+3+50.5+24.6+51+279.3+D10</f>
        <v>1101.0999999999999</v>
      </c>
      <c r="I10" s="20">
        <f>E10+24.7+30.3+47.5+11.5+13.2+10.7+46.3-7.4+86.1+276.9</f>
        <v>1034.7940000000001</v>
      </c>
      <c r="J10" s="20">
        <v>0</v>
      </c>
      <c r="K10" s="20">
        <f t="shared" si="6"/>
        <v>62.638861985472161</v>
      </c>
      <c r="L10" s="20">
        <v>1035.452</v>
      </c>
      <c r="M10" s="20">
        <f t="shared" si="5"/>
        <v>1035.452</v>
      </c>
      <c r="N10" s="20">
        <f t="shared" si="0"/>
        <v>99.936452872755098</v>
      </c>
      <c r="O10" s="21">
        <f t="shared" si="3"/>
        <v>-0.65799999999990177</v>
      </c>
    </row>
    <row r="11" spans="1:15" ht="15.75" thickBot="1" x14ac:dyDescent="0.3">
      <c r="A11" s="25" t="s">
        <v>32</v>
      </c>
      <c r="B11" s="26"/>
      <c r="C11" s="12" t="s">
        <v>63</v>
      </c>
      <c r="D11" s="20">
        <v>4044</v>
      </c>
      <c r="E11" s="20">
        <v>4906.9679999999998</v>
      </c>
      <c r="F11" s="20">
        <f t="shared" si="4"/>
        <v>121.33946587537092</v>
      </c>
      <c r="G11" s="20">
        <v>12963</v>
      </c>
      <c r="H11" s="20">
        <f>162.7+578.6+285.4+471.5+115.2+32.5+767.9+455.8+153.4+2877.7+D11</f>
        <v>9944.7000000000007</v>
      </c>
      <c r="I11" s="20">
        <f>E11+303.3+518.1+166.9+282+154.9+188.4+511.1+197.4+517.2+3419.9</f>
        <v>11166.168</v>
      </c>
      <c r="J11" s="20">
        <f t="shared" si="1"/>
        <v>112.28260279344775</v>
      </c>
      <c r="K11" s="20">
        <f t="shared" si="2"/>
        <v>86.138764174959491</v>
      </c>
      <c r="L11" s="20">
        <v>10252.253000000001</v>
      </c>
      <c r="M11" s="20">
        <f t="shared" si="5"/>
        <v>10252.253000000001</v>
      </c>
      <c r="N11" s="20">
        <f>I11/L11*100</f>
        <v>108.91428449922178</v>
      </c>
      <c r="O11" s="21">
        <f t="shared" si="3"/>
        <v>913.91499999999905</v>
      </c>
    </row>
    <row r="12" spans="1:15" ht="15.75" thickBot="1" x14ac:dyDescent="0.3">
      <c r="A12" s="25" t="s">
        <v>49</v>
      </c>
      <c r="B12" s="26"/>
      <c r="C12" s="12" t="s">
        <v>64</v>
      </c>
      <c r="D12" s="20">
        <v>392.9</v>
      </c>
      <c r="E12" s="20">
        <v>849.24400000000003</v>
      </c>
      <c r="F12" s="20">
        <f t="shared" si="4"/>
        <v>216.14762025960806</v>
      </c>
      <c r="G12" s="20">
        <v>4401</v>
      </c>
      <c r="H12" s="20">
        <f>0+604+376.7+626.3+27.2+190.1+536+41.1+259.2+917.5+D12</f>
        <v>3971</v>
      </c>
      <c r="I12" s="20">
        <f>E12+80.3+720.1+164.9+438.7+319.5+100.8+652.2+145.9+147.9+1191.2</f>
        <v>4810.7440000000006</v>
      </c>
      <c r="J12" s="20">
        <f t="shared" si="1"/>
        <v>121.14691513472677</v>
      </c>
      <c r="K12" s="20">
        <f t="shared" si="2"/>
        <v>109.31024767098387</v>
      </c>
      <c r="L12" s="20">
        <v>4482.308</v>
      </c>
      <c r="M12" s="20">
        <f t="shared" si="5"/>
        <v>4482.308</v>
      </c>
      <c r="N12" s="20">
        <f>I12/L12*100</f>
        <v>107.32738580213588</v>
      </c>
      <c r="O12" s="21">
        <f t="shared" si="3"/>
        <v>328.4360000000006</v>
      </c>
    </row>
    <row r="13" spans="1:15" ht="15.75" thickBot="1" x14ac:dyDescent="0.3">
      <c r="A13" s="25" t="s">
        <v>33</v>
      </c>
      <c r="B13" s="26"/>
      <c r="C13" s="12" t="s">
        <v>65</v>
      </c>
      <c r="D13" s="20">
        <v>4.4000000000000004</v>
      </c>
      <c r="E13" s="20">
        <v>151.81700000000001</v>
      </c>
      <c r="F13" s="20">
        <f t="shared" si="4"/>
        <v>3450.3863636363631</v>
      </c>
      <c r="G13" s="20">
        <v>1204.2</v>
      </c>
      <c r="H13" s="20">
        <f>98.6+101.5+199.4+97.1+97.1+206.7+97.1+97.1+144.1+47.1+D13</f>
        <v>1190.2</v>
      </c>
      <c r="I13" s="20">
        <f>E13+96.2+158.3+160.9+126+116.5+144+89.6+136+137+132.3</f>
        <v>1448.617</v>
      </c>
      <c r="J13" s="20">
        <f t="shared" si="1"/>
        <v>121.71206519912619</v>
      </c>
      <c r="K13" s="20">
        <f t="shared" si="2"/>
        <v>120.29704368045175</v>
      </c>
      <c r="L13" s="20">
        <v>1248.7909999999999</v>
      </c>
      <c r="M13" s="20">
        <f t="shared" si="5"/>
        <v>1248.7909999999999</v>
      </c>
      <c r="N13" s="20">
        <f>I13/L13*100</f>
        <v>116.0015567056457</v>
      </c>
      <c r="O13" s="21">
        <f t="shared" si="3"/>
        <v>199.82600000000002</v>
      </c>
    </row>
    <row r="14" spans="1:15" ht="15.75" hidden="1" thickBot="1" x14ac:dyDescent="0.3">
      <c r="A14" s="25" t="s">
        <v>46</v>
      </c>
      <c r="B14" s="26"/>
      <c r="C14" s="12"/>
      <c r="D14" s="20">
        <v>0</v>
      </c>
      <c r="E14" s="20">
        <v>0</v>
      </c>
      <c r="F14" s="20" t="e">
        <f t="shared" si="4"/>
        <v>#DIV/0!</v>
      </c>
      <c r="G14" s="20">
        <v>0</v>
      </c>
      <c r="H14" s="20">
        <f>0+D14</f>
        <v>0</v>
      </c>
      <c r="I14" s="20">
        <f t="shared" ref="I14" si="7">E14</f>
        <v>0</v>
      </c>
      <c r="J14" s="20" t="e">
        <f t="shared" si="1"/>
        <v>#DIV/0!</v>
      </c>
      <c r="K14" s="20">
        <v>0</v>
      </c>
      <c r="L14" s="20">
        <v>0</v>
      </c>
      <c r="M14" s="20">
        <f t="shared" si="5"/>
        <v>0</v>
      </c>
      <c r="N14" s="20">
        <v>0</v>
      </c>
      <c r="O14" s="21">
        <f t="shared" si="3"/>
        <v>0</v>
      </c>
    </row>
    <row r="15" spans="1:15" ht="15.75" thickBot="1" x14ac:dyDescent="0.3">
      <c r="A15" s="25" t="s">
        <v>34</v>
      </c>
      <c r="B15" s="26"/>
      <c r="C15" s="12" t="s">
        <v>66</v>
      </c>
      <c r="D15" s="20">
        <v>1040.5</v>
      </c>
      <c r="E15" s="20">
        <v>794.50199999999995</v>
      </c>
      <c r="F15" s="20">
        <f t="shared" si="4"/>
        <v>76.357712638154723</v>
      </c>
      <c r="G15" s="20">
        <v>5417.4</v>
      </c>
      <c r="H15" s="20">
        <f>53.8+104.2+975.4+278.1+74.7+993.1+218.5+116.8+1004.6+487.6+D15</f>
        <v>5347.3</v>
      </c>
      <c r="I15" s="20">
        <f>E15+11.6+65.2+1050.4+273.1+108.8+944.7+154+281.9+969.5+262.6</f>
        <v>4916.3020000000015</v>
      </c>
      <c r="J15" s="20">
        <f t="shared" si="1"/>
        <v>91.939894900230044</v>
      </c>
      <c r="K15" s="20">
        <f t="shared" si="2"/>
        <v>90.750212278953029</v>
      </c>
      <c r="L15" s="20">
        <v>8368.6059999999998</v>
      </c>
      <c r="M15" s="20">
        <f t="shared" si="5"/>
        <v>8368.6059999999998</v>
      </c>
      <c r="N15" s="20">
        <f t="shared" ref="N15:N21" si="8">I15/L15*100</f>
        <v>58.746964548217484</v>
      </c>
      <c r="O15" s="21">
        <f t="shared" si="3"/>
        <v>-3452.3039999999983</v>
      </c>
    </row>
    <row r="16" spans="1:15" ht="15.75" thickBot="1" x14ac:dyDescent="0.3">
      <c r="A16" s="25" t="s">
        <v>35</v>
      </c>
      <c r="B16" s="26"/>
      <c r="C16" s="12" t="s">
        <v>53</v>
      </c>
      <c r="D16" s="20">
        <v>0</v>
      </c>
      <c r="E16" s="20">
        <v>88.799000000000007</v>
      </c>
      <c r="F16" s="20">
        <v>0</v>
      </c>
      <c r="G16" s="20">
        <v>446.7</v>
      </c>
      <c r="H16" s="20">
        <f>0+131.6+111.6+111.6+D16</f>
        <v>354.79999999999995</v>
      </c>
      <c r="I16" s="20">
        <f>E16+41.6+35.4+55.1+26.8+46.1+35.2+27.6+31.7+48+67.2</f>
        <v>503.49900000000002</v>
      </c>
      <c r="J16" s="20">
        <f t="shared" si="1"/>
        <v>141.91065388951526</v>
      </c>
      <c r="K16" s="20">
        <f t="shared" si="2"/>
        <v>112.71524513096038</v>
      </c>
      <c r="L16" s="20">
        <v>427.709</v>
      </c>
      <c r="M16" s="20">
        <f t="shared" si="5"/>
        <v>427.709</v>
      </c>
      <c r="N16" s="20">
        <f t="shared" si="8"/>
        <v>117.71999186362692</v>
      </c>
      <c r="O16" s="21">
        <f t="shared" si="3"/>
        <v>75.79000000000002</v>
      </c>
    </row>
    <row r="17" spans="1:15" ht="24" customHeight="1" thickBot="1" x14ac:dyDescent="0.3">
      <c r="A17" s="25" t="s">
        <v>45</v>
      </c>
      <c r="B17" s="26"/>
      <c r="C17" s="12" t="s">
        <v>54</v>
      </c>
      <c r="D17" s="20">
        <v>0</v>
      </c>
      <c r="E17" s="20">
        <v>95.885000000000005</v>
      </c>
      <c r="F17" s="20" t="e">
        <f t="shared" si="4"/>
        <v>#DIV/0!</v>
      </c>
      <c r="G17" s="20">
        <v>826.6</v>
      </c>
      <c r="H17" s="20">
        <f>0+137.8+68.9+68.9+68.9+68.9+68.9+45.7+68.9+D17</f>
        <v>596.9</v>
      </c>
      <c r="I17" s="20">
        <f>E17+23.2+38.9+68.2+31.7+41+51.5+34.2+36.2+40.6+36.4</f>
        <v>497.78499999999997</v>
      </c>
      <c r="J17" s="20">
        <f t="shared" si="1"/>
        <v>83.395041045401243</v>
      </c>
      <c r="K17" s="20">
        <v>0</v>
      </c>
      <c r="L17" s="20">
        <v>503.50200000000001</v>
      </c>
      <c r="M17" s="20">
        <f t="shared" si="5"/>
        <v>503.50200000000001</v>
      </c>
      <c r="N17" s="20">
        <f t="shared" si="8"/>
        <v>98.864552673077753</v>
      </c>
      <c r="O17" s="21">
        <f t="shared" si="3"/>
        <v>-5.7170000000000414</v>
      </c>
    </row>
    <row r="18" spans="1:15" ht="21.75" customHeight="1" thickBot="1" x14ac:dyDescent="0.3">
      <c r="A18" s="25" t="s">
        <v>36</v>
      </c>
      <c r="B18" s="26"/>
      <c r="C18" s="12" t="s">
        <v>67</v>
      </c>
      <c r="D18" s="20">
        <v>0</v>
      </c>
      <c r="E18" s="20">
        <v>0</v>
      </c>
      <c r="F18" s="20">
        <v>0</v>
      </c>
      <c r="G18" s="20">
        <v>151.5</v>
      </c>
      <c r="H18" s="20">
        <f>0+37.7+73+17.8+7.7+15.3+D18</f>
        <v>151.5</v>
      </c>
      <c r="I18" s="20">
        <f>E18+0.7+104.9+7.9+30.2+1.1+6.7+1.1+5.7</f>
        <v>158.29999999999998</v>
      </c>
      <c r="J18" s="20">
        <f t="shared" si="1"/>
        <v>104.48844884488449</v>
      </c>
      <c r="K18" s="20">
        <f t="shared" si="2"/>
        <v>104.48844884488449</v>
      </c>
      <c r="L18" s="20">
        <v>157.53899999999999</v>
      </c>
      <c r="M18" s="20">
        <f t="shared" si="5"/>
        <v>157.53899999999999</v>
      </c>
      <c r="N18" s="20">
        <f t="shared" si="8"/>
        <v>100.48305498955814</v>
      </c>
      <c r="O18" s="21">
        <f t="shared" si="3"/>
        <v>0.76099999999999568</v>
      </c>
    </row>
    <row r="19" spans="1:15" ht="24.75" customHeight="1" thickBot="1" x14ac:dyDescent="0.3">
      <c r="A19" s="25" t="s">
        <v>37</v>
      </c>
      <c r="B19" s="26"/>
      <c r="C19" s="12" t="s">
        <v>68</v>
      </c>
      <c r="D19" s="20">
        <v>1370.1</v>
      </c>
      <c r="E19" s="20">
        <v>1168.2059999999999</v>
      </c>
      <c r="F19" s="20">
        <f t="shared" si="4"/>
        <v>85.264287278300856</v>
      </c>
      <c r="G19" s="20">
        <f>15719.8+1100.2</f>
        <v>16820</v>
      </c>
      <c r="H19" s="20">
        <f>0+1682.5+4688.9+1164.5+774.5+2678.7+597.6+900+D19</f>
        <v>13856.8</v>
      </c>
      <c r="I19" s="20">
        <f>E19+50.2+3387.9+2774.7+2383.1+1622.2+662.7+400.3+110.9+77.7+1793.2</f>
        <v>14431.106000000002</v>
      </c>
      <c r="J19" s="20">
        <f t="shared" si="1"/>
        <v>104.14457883494026</v>
      </c>
      <c r="K19" s="20">
        <f t="shared" si="2"/>
        <v>85.797300832342458</v>
      </c>
      <c r="L19" s="20">
        <v>13176.59</v>
      </c>
      <c r="M19" s="20">
        <f t="shared" si="5"/>
        <v>13176.59</v>
      </c>
      <c r="N19" s="20">
        <f t="shared" si="8"/>
        <v>109.52079407494656</v>
      </c>
      <c r="O19" s="21">
        <f t="shared" si="3"/>
        <v>1254.5160000000014</v>
      </c>
    </row>
    <row r="20" spans="1:15" ht="22.5" customHeight="1" thickBot="1" x14ac:dyDescent="0.3">
      <c r="A20" s="25" t="s">
        <v>38</v>
      </c>
      <c r="B20" s="26"/>
      <c r="C20" s="12" t="s">
        <v>69</v>
      </c>
      <c r="D20" s="20">
        <v>0</v>
      </c>
      <c r="E20" s="20">
        <v>25.434000000000001</v>
      </c>
      <c r="F20" s="20">
        <v>0</v>
      </c>
      <c r="G20" s="20">
        <v>1039.5</v>
      </c>
      <c r="H20" s="20">
        <f>0+892.7+146.8+D20</f>
        <v>1039.5</v>
      </c>
      <c r="I20" s="20">
        <f>E20+0+0+297.4+595.3+146.8+118.8</f>
        <v>1183.7339999999999</v>
      </c>
      <c r="J20" s="20">
        <v>0</v>
      </c>
      <c r="K20" s="20">
        <v>0</v>
      </c>
      <c r="L20" s="20">
        <v>107.777</v>
      </c>
      <c r="M20" s="20">
        <f t="shared" si="5"/>
        <v>107.777</v>
      </c>
      <c r="N20" s="20">
        <f t="shared" si="8"/>
        <v>1098.317822912124</v>
      </c>
      <c r="O20" s="21">
        <f t="shared" si="3"/>
        <v>1075.9569999999999</v>
      </c>
    </row>
    <row r="21" spans="1:15" ht="15.75" thickBot="1" x14ac:dyDescent="0.3">
      <c r="A21" s="25" t="s">
        <v>39</v>
      </c>
      <c r="B21" s="26"/>
      <c r="C21" s="12" t="s">
        <v>55</v>
      </c>
      <c r="D21" s="20">
        <v>0</v>
      </c>
      <c r="E21" s="20">
        <v>8.5190000000000001</v>
      </c>
      <c r="F21" s="20">
        <v>0</v>
      </c>
      <c r="G21" s="20">
        <v>607.79999999999995</v>
      </c>
      <c r="H21" s="20">
        <f>0+100+342.7+165.1+D21</f>
        <v>607.79999999999995</v>
      </c>
      <c r="I21" s="20">
        <f>E21+34.1+1.4+320.6+26+62.3+22.3+63.4+77.7+149.1+5.9</f>
        <v>771.31900000000007</v>
      </c>
      <c r="J21" s="20">
        <f t="shared" si="1"/>
        <v>126.90342217834815</v>
      </c>
      <c r="K21" s="20">
        <f t="shared" si="2"/>
        <v>126.90342217834815</v>
      </c>
      <c r="L21" s="20">
        <v>153.518</v>
      </c>
      <c r="M21" s="20">
        <f t="shared" si="5"/>
        <v>153.518</v>
      </c>
      <c r="N21" s="20">
        <f t="shared" si="8"/>
        <v>502.42903112338627</v>
      </c>
      <c r="O21" s="21">
        <f t="shared" si="3"/>
        <v>617.80100000000004</v>
      </c>
    </row>
    <row r="22" spans="1:15" ht="15.75" thickBot="1" x14ac:dyDescent="0.3">
      <c r="A22" s="25" t="s">
        <v>40</v>
      </c>
      <c r="B22" s="26"/>
      <c r="C22" s="12" t="s">
        <v>70</v>
      </c>
      <c r="D22" s="20">
        <v>0</v>
      </c>
      <c r="E22" s="20">
        <v>52.639000000000003</v>
      </c>
      <c r="F22" s="20">
        <v>0</v>
      </c>
      <c r="G22" s="20">
        <v>889.7</v>
      </c>
      <c r="H22" s="20">
        <f>0+222.4+222.5+277.2+D22</f>
        <v>722.09999999999991</v>
      </c>
      <c r="I22" s="20">
        <f>E22+58.5+50.6+98.3+109.7+104.5+238.4+189.6+95.5+94.7+79.7</f>
        <v>1172.1390000000001</v>
      </c>
      <c r="J22" s="20">
        <f t="shared" si="1"/>
        <v>162.32363938512674</v>
      </c>
      <c r="K22" s="20">
        <f t="shared" si="2"/>
        <v>131.74541980442848</v>
      </c>
      <c r="L22" s="20">
        <v>2092.8690000000001</v>
      </c>
      <c r="M22" s="20">
        <f t="shared" si="5"/>
        <v>2092.8690000000001</v>
      </c>
      <c r="N22" s="20">
        <f>I22/L22*100</f>
        <v>56.006324332769999</v>
      </c>
      <c r="O22" s="21">
        <f t="shared" si="3"/>
        <v>-920.73</v>
      </c>
    </row>
    <row r="23" spans="1:15" ht="15.75" thickBot="1" x14ac:dyDescent="0.3">
      <c r="A23" s="25" t="s">
        <v>47</v>
      </c>
      <c r="B23" s="26"/>
      <c r="C23" s="12" t="s">
        <v>56</v>
      </c>
      <c r="D23" s="20">
        <v>0</v>
      </c>
      <c r="E23" s="20">
        <v>-2.8</v>
      </c>
      <c r="F23" s="20">
        <v>0</v>
      </c>
      <c r="G23" s="20">
        <v>0</v>
      </c>
      <c r="H23" s="20">
        <f t="shared" ref="H23" si="9">0+D23</f>
        <v>0</v>
      </c>
      <c r="I23" s="20">
        <f>E23+0+0+4.1-4.1+9.5-6.7</f>
        <v>0</v>
      </c>
      <c r="J23" s="20">
        <v>0</v>
      </c>
      <c r="K23" s="20">
        <v>0</v>
      </c>
      <c r="L23" s="20">
        <v>1.968</v>
      </c>
      <c r="M23" s="20">
        <f t="shared" si="5"/>
        <v>1.968</v>
      </c>
      <c r="N23" s="20">
        <v>0</v>
      </c>
      <c r="O23" s="21">
        <f t="shared" si="3"/>
        <v>-1.968</v>
      </c>
    </row>
    <row r="27" spans="1:15" x14ac:dyDescent="0.25">
      <c r="H27" s="14"/>
      <c r="I27" s="14"/>
    </row>
  </sheetData>
  <mergeCells count="23">
    <mergeCell ref="A22:B22"/>
    <mergeCell ref="A23:B23"/>
    <mergeCell ref="A7:B7"/>
    <mergeCell ref="A11:B11"/>
    <mergeCell ref="A13:B13"/>
    <mergeCell ref="A15:B15"/>
    <mergeCell ref="A16:B16"/>
    <mergeCell ref="A18:B18"/>
    <mergeCell ref="A8:B8"/>
    <mergeCell ref="A9:B9"/>
    <mergeCell ref="A17:B17"/>
    <mergeCell ref="A10:B10"/>
    <mergeCell ref="A12:B12"/>
    <mergeCell ref="A1:N1"/>
    <mergeCell ref="A2:N2"/>
    <mergeCell ref="A19:B19"/>
    <mergeCell ref="A20:B20"/>
    <mergeCell ref="A21:B21"/>
    <mergeCell ref="A3:B3"/>
    <mergeCell ref="A4:B4"/>
    <mergeCell ref="A5:B5"/>
    <mergeCell ref="A6:B6"/>
    <mergeCell ref="A14:B14"/>
  </mergeCells>
  <pageMargins left="0.7" right="0.7" top="0.75" bottom="0.75" header="0.3" footer="0.3"/>
  <pageSetup paperSize="9" scale="6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в 2022 году</vt:lpstr>
      <vt:lpstr>в 2021-2022 гг</vt:lpstr>
      <vt:lpstr>в разрезе источников</vt:lpstr>
      <vt:lpstr>'в 2022 году'!Область_печати</vt:lpstr>
      <vt:lpstr>'в разрезе источников'!Область_печати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2023-01-16T12:02:58Z</dcterms:modified>
</cp:coreProperties>
</file>