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" yWindow="-30" windowWidth="13830" windowHeight="12135"/>
  </bookViews>
  <sheets>
    <sheet name="в 2023 году" sheetId="1" r:id="rId1"/>
    <sheet name="в 2022-2023 гг" sheetId="2" r:id="rId2"/>
    <sheet name="в разрезе источников" sheetId="3" r:id="rId3"/>
  </sheets>
  <definedNames>
    <definedName name="_xlnm.Print_Area" localSheetId="0">'в 2023 году'!$A$1:$I$14</definedName>
    <definedName name="_xlnm.Print_Area" localSheetId="2">'в разрезе источников'!$A$1:$O$25</definedName>
  </definedNames>
  <calcPr calcId="144525"/>
</workbook>
</file>

<file path=xl/calcChain.xml><?xml version="1.0" encoding="utf-8"?>
<calcChain xmlns="http://schemas.openxmlformats.org/spreadsheetml/2006/main">
  <c r="L17" i="3" l="1"/>
  <c r="L23" i="3" l="1"/>
  <c r="L22" i="3"/>
  <c r="L20" i="3"/>
  <c r="L19" i="3"/>
  <c r="L18" i="3"/>
  <c r="L16" i="3"/>
  <c r="L14" i="3"/>
  <c r="L13" i="3"/>
  <c r="L12" i="3"/>
  <c r="L11" i="3"/>
  <c r="L10" i="3"/>
  <c r="L8" i="3"/>
  <c r="L6" i="3"/>
  <c r="L5" i="3"/>
  <c r="H14" i="3"/>
  <c r="I24" i="3"/>
  <c r="I23" i="3"/>
  <c r="J23" i="3" s="1"/>
  <c r="J22" i="3"/>
  <c r="I22" i="3"/>
  <c r="J20" i="3"/>
  <c r="I20" i="3"/>
  <c r="I19" i="3"/>
  <c r="J19" i="3" s="1"/>
  <c r="I18" i="3"/>
  <c r="I17" i="3"/>
  <c r="I16" i="3"/>
  <c r="I14" i="3"/>
  <c r="I13" i="3"/>
  <c r="I11" i="3"/>
  <c r="I10" i="3"/>
  <c r="I9" i="3"/>
  <c r="I8" i="3"/>
  <c r="I7" i="3"/>
  <c r="I6" i="3"/>
  <c r="I5" i="3"/>
  <c r="H24" i="3"/>
  <c r="H23" i="3"/>
  <c r="H22" i="3"/>
  <c r="H20" i="3"/>
  <c r="H19" i="3"/>
  <c r="H18" i="3"/>
  <c r="H17" i="3"/>
  <c r="H16" i="3"/>
  <c r="H13" i="3"/>
  <c r="H11" i="3"/>
  <c r="H10" i="3"/>
  <c r="H9" i="3"/>
  <c r="H8" i="3"/>
  <c r="H7" i="3"/>
  <c r="H6" i="3"/>
  <c r="H5" i="3"/>
  <c r="J24" i="3" l="1"/>
  <c r="I21" i="3"/>
  <c r="H21" i="3"/>
  <c r="O7" i="3" l="1"/>
  <c r="M7" i="3"/>
  <c r="M24" i="3"/>
  <c r="O24" i="3"/>
  <c r="K7" i="3" l="1"/>
  <c r="K24" i="3"/>
  <c r="I12" i="3"/>
  <c r="I15" i="3"/>
  <c r="I25" i="3"/>
  <c r="H12" i="3"/>
  <c r="H15" i="3"/>
  <c r="H25" i="3"/>
  <c r="E4" i="3"/>
  <c r="D4" i="3"/>
  <c r="D15" i="2" l="1"/>
  <c r="D14" i="2" l="1"/>
  <c r="D13" i="2" l="1"/>
  <c r="I4" i="3" l="1"/>
  <c r="D12" i="2"/>
  <c r="D11" i="2" l="1"/>
  <c r="M5" i="3" l="1"/>
  <c r="D10" i="2" l="1"/>
  <c r="D9" i="2" l="1"/>
  <c r="D8" i="2" l="1"/>
  <c r="D7" i="2" l="1"/>
  <c r="D6" i="2" l="1"/>
  <c r="N13" i="3" l="1"/>
  <c r="N11" i="3"/>
  <c r="D5" i="2" l="1"/>
  <c r="M8" i="3" l="1"/>
  <c r="D4" i="2" l="1"/>
  <c r="F15" i="3" l="1"/>
  <c r="F16" i="3"/>
  <c r="F18" i="3"/>
  <c r="J15" i="3"/>
  <c r="N22" i="3" l="1"/>
  <c r="K22" i="3"/>
  <c r="J16" i="3"/>
  <c r="J17" i="3" l="1"/>
  <c r="M6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5" i="3"/>
  <c r="F4" i="2" l="1"/>
  <c r="M4" i="3"/>
  <c r="L4" i="3" l="1"/>
  <c r="H4" i="3" l="1"/>
  <c r="O6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2" i="3"/>
  <c r="O23" i="3"/>
  <c r="O25" i="3"/>
  <c r="N6" i="3"/>
  <c r="N10" i="3"/>
  <c r="N12" i="3"/>
  <c r="N14" i="3"/>
  <c r="N16" i="3"/>
  <c r="N17" i="3"/>
  <c r="N18" i="3"/>
  <c r="N19" i="3"/>
  <c r="N20" i="3"/>
  <c r="N23" i="3"/>
  <c r="F6" i="3" l="1"/>
  <c r="F11" i="3"/>
  <c r="F13" i="3"/>
  <c r="F14" i="3"/>
  <c r="G4" i="3"/>
  <c r="D10" i="1" l="1"/>
  <c r="K13" i="3"/>
  <c r="J13" i="3"/>
  <c r="K11" i="3"/>
  <c r="K19" i="3"/>
  <c r="K20" i="3"/>
  <c r="K23" i="3"/>
  <c r="J18" i="3"/>
  <c r="F5" i="3"/>
  <c r="O5" i="3"/>
  <c r="E4" i="1"/>
  <c r="K10" i="3"/>
  <c r="C4" i="2"/>
  <c r="C5" i="2" s="1"/>
  <c r="C6" i="2" s="1"/>
  <c r="K9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7" i="3"/>
  <c r="K16" i="3"/>
  <c r="K14" i="3"/>
  <c r="J14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E10" i="2" s="1"/>
  <c r="G9" i="1"/>
  <c r="E9" i="2" s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H4" i="1"/>
  <c r="F5" i="2"/>
  <c r="F6" i="2"/>
  <c r="I4" i="1"/>
  <c r="G4" i="2"/>
  <c r="O21" i="3"/>
  <c r="O4" i="3" s="1"/>
  <c r="F4" i="3"/>
  <c r="E5" i="2" l="1"/>
  <c r="G5" i="2" s="1"/>
  <c r="I5" i="1"/>
  <c r="E6" i="2"/>
  <c r="G6" i="2" s="1"/>
  <c r="H5" i="1"/>
  <c r="G8" i="1"/>
  <c r="E8" i="2" s="1"/>
  <c r="E7" i="2"/>
  <c r="F7" i="1"/>
  <c r="H6" i="1"/>
  <c r="I6" i="1"/>
  <c r="C7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<sst xmlns="http://schemas.openxmlformats.org/spreadsheetml/2006/main" count="100" uniqueCount="86">
  <si>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</si>
  <si>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</si>
  <si>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</si>
  <si>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</si>
  <si>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</si>
  <si>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</si>
  <si>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</si>
  <si>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</si>
  <si>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</si>
  <si>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</si>
  <si>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</si>
  <si>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</si>
  <si>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</si>
  <si>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</si>
  <si>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</si>
  <si>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</si>
  <si>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</si>
  <si>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</si>
  <si>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</si>
  <si>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</si>
  <si>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</si>
  <si>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</si>
  <si>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</si>
  <si>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</si>
  <si>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</si>
  <si>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</si>
  <si>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</si>
  <si>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</si>
  <si>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</si>
  <si>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</si>
  <si>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</si>
  <si>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</si>
  <si>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</si>
  <si>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</si>
  <si>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</si>
  <si>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</si>
  <si>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</si>
  <si>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</si>
  <si>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</si>
  <si>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</si>
  <si>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</si>
  <si>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</si>
  <si>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</si>
  <si>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</si>
  <si>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</si>
  <si>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</si>
  <si>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</si>
  <si>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</si>
  <si>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</si>
  <si>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</si>
  <si>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</si>
  <si>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</si>
  <si>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</si>
  <si>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</si>
  <si>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</si>
  <si>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</si>
  <si>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</si>
  <si>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</si>
  <si>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</si>
  <si>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</si>
  <si>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</si>
  <si>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</si>
  <si>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</si>
  <si>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</si>
  <si>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</si>
  <si>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</si>
  <si>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</si>
  <si>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</si>
  <si>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</si>
  <si>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</si>
  <si>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</si>
  <si>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Нарастающим итогом 2022/Нарастающим итогом 2021, %</t>
  </si>
  <si>
    <t>Факт за аналогичный период прошлого года с начала года в условиях 2022 года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</si>
  <si>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</si>
  <si>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</si>
  <si>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</si>
  <si>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Факт за 2023 год</t>
  </si>
  <si>
    <t>Факт нарастающим за 2023 год</t>
  </si>
  <si>
    <t>Месяц 2023/Месяц 2022, %</t>
  </si>
  <si>
    <t>Нарастающим итогом 2023/Нарастающим итогом 2022, %</t>
  </si>
  <si>
    <t>Инициативные платежи</t>
  </si>
  <si>
    <t>601 1 17 15020 14 0000 150</t>
  </si>
  <si>
    <t>УСН</t>
  </si>
  <si>
    <t>182 1 05 00000 01 0000 110</t>
  </si>
  <si>
    <t>на 01.04.2023</t>
  </si>
  <si>
    <t>Анализ налоговых и неналоговых доходов бюджета Юсьвинского муниципального округа на 01.04.2023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</si>
</sst>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thin">
        <color indexed="6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SheetLayoutView="100" workbookViewId="0">
      <selection activeCell="B5" sqref="B5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3" t="s">
        <v>85</v>
      </c>
      <c r="B1" s="23"/>
      <c r="C1" s="23"/>
      <c r="D1" s="23"/>
      <c r="E1" s="23"/>
      <c r="F1" s="23"/>
      <c r="G1" s="23"/>
      <c r="H1" s="23"/>
      <c r="I1" s="23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3453.9</v>
      </c>
      <c r="C4" s="17">
        <v>4364.951</v>
      </c>
      <c r="D4" s="17">
        <f>SUM(C4/B4*100)</f>
        <v>126.37745736703437</v>
      </c>
      <c r="E4" s="17">
        <f>SUM(C4-B4)</f>
        <v>911.05099999999993</v>
      </c>
      <c r="F4" s="17">
        <f>SUM(B4)</f>
        <v>3453.9</v>
      </c>
      <c r="G4" s="17">
        <f>C4</f>
        <v>4364.951</v>
      </c>
      <c r="H4" s="17">
        <f>SUM(G4/F4*100)</f>
        <v>126.37745736703437</v>
      </c>
      <c r="I4" s="17">
        <f>SUM(G4-F4)</f>
        <v>911.05099999999993</v>
      </c>
    </row>
    <row r="5" spans="1:11" x14ac:dyDescent="0.25">
      <c r="A5" s="3" t="s">
        <v>10</v>
      </c>
      <c r="B5" s="17">
        <v>4731.3580000000002</v>
      </c>
      <c r="C5" s="17">
        <v>3052.4470000000001</v>
      </c>
      <c r="D5" s="17">
        <f t="shared" ref="D5:D15" si="0">SUM(C5/B5*100)</f>
        <v>64.515240656065345</v>
      </c>
      <c r="E5" s="17">
        <f t="shared" ref="E5:E15" si="1">SUM(C5-B5)</f>
        <v>-1678.9110000000001</v>
      </c>
      <c r="F5" s="17">
        <f>F4+B5</f>
        <v>8185.2579999999998</v>
      </c>
      <c r="G5" s="17">
        <f>G4+C5</f>
        <v>7417.3980000000001</v>
      </c>
      <c r="H5" s="17">
        <f t="shared" ref="H5:H15" si="2">SUM(G5/F5*100)</f>
        <v>90.618988430175335</v>
      </c>
      <c r="I5" s="17">
        <f t="shared" ref="I5:I15" si="3">SUM(G5-F5)</f>
        <v>-767.85999999999967</v>
      </c>
    </row>
    <row r="6" spans="1:11" x14ac:dyDescent="0.25">
      <c r="A6" s="3" t="s">
        <v>11</v>
      </c>
      <c r="B6" s="17">
        <v>15229.874</v>
      </c>
      <c r="C6" s="17">
        <v>15997.661</v>
      </c>
      <c r="D6" s="17">
        <f t="shared" si="0"/>
        <v>105.0413220752844</v>
      </c>
      <c r="E6" s="17">
        <f t="shared" si="1"/>
        <v>767.78700000000026</v>
      </c>
      <c r="F6" s="17">
        <f>F5+B6</f>
        <v>23415.131999999998</v>
      </c>
      <c r="G6" s="17">
        <f>G5+C6</f>
        <v>23415.059000000001</v>
      </c>
      <c r="H6" s="17">
        <f t="shared" si="2"/>
        <v>99.999688235795574</v>
      </c>
      <c r="I6" s="17">
        <f>SUM(G6-F6)</f>
        <v>-7.2999999996682163E-2</v>
      </c>
    </row>
    <row r="7" spans="1:11" hidden="1" x14ac:dyDescent="0.25">
      <c r="A7" s="3" t="s">
        <v>12</v>
      </c>
      <c r="B7" s="17"/>
      <c r="C7" s="17"/>
      <c r="D7" s="17" t="e">
        <f t="shared" si="0"/>
        <v>#DIV/0!</v>
      </c>
      <c r="E7" s="17">
        <f>SUM(C7-B7)</f>
        <v>0</v>
      </c>
      <c r="F7" s="17">
        <f t="shared" ref="F7:F14" si="4">F6+B7</f>
        <v>23415.131999999998</v>
      </c>
      <c r="G7" s="17">
        <f>G6+C7</f>
        <v>23415.059000000001</v>
      </c>
      <c r="H7" s="17">
        <f t="shared" si="2"/>
        <v>99.999688235795574</v>
      </c>
      <c r="I7" s="17">
        <f t="shared" si="3"/>
        <v>-7.2999999996682163E-2</v>
      </c>
    </row>
    <row r="8" spans="1:11" hidden="1" x14ac:dyDescent="0.25">
      <c r="A8" s="3" t="s">
        <v>13</v>
      </c>
      <c r="B8" s="17"/>
      <c r="C8" s="17"/>
      <c r="D8" s="17" t="e">
        <f t="shared" si="0"/>
        <v>#DIV/0!</v>
      </c>
      <c r="E8" s="17">
        <f t="shared" si="1"/>
        <v>0</v>
      </c>
      <c r="F8" s="17">
        <f t="shared" si="4"/>
        <v>23415.131999999998</v>
      </c>
      <c r="G8" s="17">
        <f>G7+C8</f>
        <v>23415.059000000001</v>
      </c>
      <c r="H8" s="17">
        <f t="shared" si="2"/>
        <v>99.999688235795574</v>
      </c>
      <c r="I8" s="17">
        <f t="shared" si="3"/>
        <v>-7.2999999996682163E-2</v>
      </c>
    </row>
    <row r="9" spans="1:11" hidden="1" x14ac:dyDescent="0.25">
      <c r="A9" s="3" t="s">
        <v>14</v>
      </c>
      <c r="B9" s="17"/>
      <c r="C9" s="17"/>
      <c r="D9" s="17" t="e">
        <f t="shared" si="0"/>
        <v>#DIV/0!</v>
      </c>
      <c r="E9" s="17">
        <f t="shared" si="1"/>
        <v>0</v>
      </c>
      <c r="F9" s="17">
        <f t="shared" si="4"/>
        <v>23415.131999999998</v>
      </c>
      <c r="G9" s="17">
        <f>SUM(C4:C9)</f>
        <v>23415.059000000001</v>
      </c>
      <c r="H9" s="17">
        <f t="shared" si="2"/>
        <v>99.999688235795574</v>
      </c>
      <c r="I9" s="17">
        <f>SUM(G9-F9)</f>
        <v>-7.2999999996682163E-2</v>
      </c>
    </row>
    <row r="10" spans="1:11" hidden="1" x14ac:dyDescent="0.25">
      <c r="A10" s="3" t="s">
        <v>15</v>
      </c>
      <c r="B10" s="17"/>
      <c r="C10" s="17"/>
      <c r="D10" s="17" t="e">
        <f>SUM(C10/B10*100)</f>
        <v>#DIV/0!</v>
      </c>
      <c r="E10" s="17">
        <f t="shared" si="1"/>
        <v>0</v>
      </c>
      <c r="F10" s="17">
        <f t="shared" si="4"/>
        <v>23415.131999999998</v>
      </c>
      <c r="G10" s="17">
        <f>SUM(C4:C10)</f>
        <v>23415.059000000001</v>
      </c>
      <c r="H10" s="17">
        <f>SUM(G10/F10*100)</f>
        <v>99.999688235795574</v>
      </c>
      <c r="I10" s="17">
        <f t="shared" si="3"/>
        <v>-7.2999999996682163E-2</v>
      </c>
    </row>
    <row r="11" spans="1:11" hidden="1" x14ac:dyDescent="0.25">
      <c r="A11" s="3" t="s">
        <v>16</v>
      </c>
      <c r="B11" s="17"/>
      <c r="C11" s="17"/>
      <c r="D11" s="17" t="e">
        <f t="shared" si="0"/>
        <v>#DIV/0!</v>
      </c>
      <c r="E11" s="17">
        <f t="shared" si="1"/>
        <v>0</v>
      </c>
      <c r="F11" s="17">
        <f t="shared" si="4"/>
        <v>23415.131999999998</v>
      </c>
      <c r="G11" s="17">
        <f>SUM(C4:C11)</f>
        <v>23415.059000000001</v>
      </c>
      <c r="H11" s="17">
        <f t="shared" si="2"/>
        <v>99.999688235795574</v>
      </c>
      <c r="I11" s="17">
        <f>SUM(G11-F11)</f>
        <v>-7.2999999996682163E-2</v>
      </c>
    </row>
    <row r="12" spans="1:11" hidden="1" x14ac:dyDescent="0.25">
      <c r="A12" s="3" t="s">
        <v>17</v>
      </c>
      <c r="B12" s="17"/>
      <c r="C12" s="17"/>
      <c r="D12" s="17" t="e">
        <f t="shared" si="0"/>
        <v>#DIV/0!</v>
      </c>
      <c r="E12" s="17">
        <f t="shared" si="1"/>
        <v>0</v>
      </c>
      <c r="F12" s="17">
        <f t="shared" si="4"/>
        <v>23415.131999999998</v>
      </c>
      <c r="G12" s="17">
        <f>SUM(C4:C12)</f>
        <v>23415.059000000001</v>
      </c>
      <c r="H12" s="17">
        <f t="shared" si="2"/>
        <v>99.999688235795574</v>
      </c>
      <c r="I12" s="17">
        <f>SUM(G12-F12)</f>
        <v>-7.2999999996682163E-2</v>
      </c>
    </row>
    <row r="13" spans="1:11" hidden="1" x14ac:dyDescent="0.25">
      <c r="A13" s="3" t="s">
        <v>18</v>
      </c>
      <c r="B13" s="17"/>
      <c r="C13" s="17"/>
      <c r="D13" s="17" t="e">
        <f t="shared" si="0"/>
        <v>#DIV/0!</v>
      </c>
      <c r="E13" s="17">
        <f t="shared" si="1"/>
        <v>0</v>
      </c>
      <c r="F13" s="17">
        <f t="shared" si="4"/>
        <v>23415.131999999998</v>
      </c>
      <c r="G13" s="17">
        <f>SUM(C4:C13)</f>
        <v>23415.059000000001</v>
      </c>
      <c r="H13" s="17">
        <f t="shared" si="2"/>
        <v>99.999688235795574</v>
      </c>
      <c r="I13" s="17">
        <f>SUM(G13-F13)</f>
        <v>-7.2999999996682163E-2</v>
      </c>
    </row>
    <row r="14" spans="1:11" hidden="1" x14ac:dyDescent="0.25">
      <c r="A14" s="3" t="s">
        <v>19</v>
      </c>
      <c r="B14" s="17"/>
      <c r="C14" s="17"/>
      <c r="D14" s="17" t="e">
        <f t="shared" si="0"/>
        <v>#DIV/0!</v>
      </c>
      <c r="E14" s="17">
        <f t="shared" si="1"/>
        <v>0</v>
      </c>
      <c r="F14" s="17">
        <f t="shared" si="4"/>
        <v>23415.131999999998</v>
      </c>
      <c r="G14" s="17">
        <f>SUM(C4:C14)</f>
        <v>23415.059000000001</v>
      </c>
      <c r="H14" s="17">
        <f t="shared" si="2"/>
        <v>99.999688235795574</v>
      </c>
      <c r="I14" s="17">
        <f t="shared" si="3"/>
        <v>-7.2999999996682163E-2</v>
      </c>
    </row>
    <row r="15" spans="1:11" hidden="1" x14ac:dyDescent="0.25">
      <c r="A15" s="3" t="s">
        <v>20</v>
      </c>
      <c r="B15" s="17"/>
      <c r="C15" s="17"/>
      <c r="D15" s="17" t="e">
        <f t="shared" si="0"/>
        <v>#DIV/0!</v>
      </c>
      <c r="E15" s="17">
        <f t="shared" si="1"/>
        <v>0</v>
      </c>
      <c r="F15" s="17">
        <f>F14+B15</f>
        <v>23415.131999999998</v>
      </c>
      <c r="G15" s="17">
        <f>SUM(C4:C15)</f>
        <v>23415.059000000001</v>
      </c>
      <c r="H15" s="17">
        <f t="shared" si="2"/>
        <v>99.999688235795574</v>
      </c>
      <c r="I15" s="17">
        <f t="shared" si="3"/>
        <v>-7.2999999996682163E-2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A7" sqref="A7:XFD15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3" t="s">
        <v>75</v>
      </c>
      <c r="B1" s="23"/>
      <c r="C1" s="23"/>
      <c r="D1" s="23"/>
      <c r="E1" s="23"/>
      <c r="F1" s="23"/>
      <c r="G1" s="23"/>
    </row>
    <row r="3" spans="1:9" ht="105" x14ac:dyDescent="0.25">
      <c r="A3" s="4" t="s">
        <v>0</v>
      </c>
      <c r="B3" s="4" t="s">
        <v>69</v>
      </c>
      <c r="C3" s="4" t="s">
        <v>70</v>
      </c>
      <c r="D3" s="4" t="s">
        <v>76</v>
      </c>
      <c r="E3" s="4" t="s">
        <v>77</v>
      </c>
      <c r="F3" s="4" t="s">
        <v>78</v>
      </c>
      <c r="G3" s="4" t="s">
        <v>79</v>
      </c>
      <c r="H3" s="2"/>
      <c r="I3" s="2"/>
    </row>
    <row r="4" spans="1:9" x14ac:dyDescent="0.25">
      <c r="A4" s="3" t="s">
        <v>9</v>
      </c>
      <c r="B4" s="17">
        <v>3761.259</v>
      </c>
      <c r="C4" s="17">
        <f>B4</f>
        <v>3761.259</v>
      </c>
      <c r="D4" s="17">
        <f>'в 2023 году'!C4</f>
        <v>4364.951</v>
      </c>
      <c r="E4" s="17">
        <f>'в 2023 году'!G4</f>
        <v>4364.951</v>
      </c>
      <c r="F4" s="17">
        <f>SUM(D4/B4*100)</f>
        <v>116.05026402063775</v>
      </c>
      <c r="G4" s="17">
        <f>SUM(E4/C4*100)</f>
        <v>116.05026402063775</v>
      </c>
    </row>
    <row r="5" spans="1:9" x14ac:dyDescent="0.25">
      <c r="A5" s="3" t="s">
        <v>10</v>
      </c>
      <c r="B5" s="17">
        <v>8002.8280000000004</v>
      </c>
      <c r="C5" s="17">
        <f>C4+B5</f>
        <v>11764.087</v>
      </c>
      <c r="D5" s="17">
        <f>'в 2023 году'!C5</f>
        <v>3052.4470000000001</v>
      </c>
      <c r="E5" s="17">
        <f>'в 2023 году'!G5</f>
        <v>7417.3980000000001</v>
      </c>
      <c r="F5" s="17">
        <f t="shared" ref="F5:F15" si="0">SUM(D5/B5*100)</f>
        <v>38.142104266141921</v>
      </c>
      <c r="G5" s="17">
        <f>SUM(E5/C5*100)</f>
        <v>63.051199808365922</v>
      </c>
    </row>
    <row r="6" spans="1:9" x14ac:dyDescent="0.25">
      <c r="A6" s="3" t="s">
        <v>11</v>
      </c>
      <c r="B6" s="17">
        <v>13102.352999999999</v>
      </c>
      <c r="C6" s="17">
        <f>C5+B6</f>
        <v>24866.44</v>
      </c>
      <c r="D6" s="17">
        <f>'в 2023 году'!C6</f>
        <v>15997.661</v>
      </c>
      <c r="E6" s="17">
        <f>'в 2023 году'!G6</f>
        <v>23415.059000000001</v>
      </c>
      <c r="F6" s="17">
        <f t="shared" si="0"/>
        <v>122.09761864910831</v>
      </c>
      <c r="G6" s="17">
        <f t="shared" ref="G6:G15" si="1">SUM(E6/C6*100)</f>
        <v>94.163293981768206</v>
      </c>
    </row>
    <row r="7" spans="1:9" hidden="1" x14ac:dyDescent="0.25">
      <c r="A7" s="3" t="s">
        <v>12</v>
      </c>
      <c r="B7" s="17">
        <v>8175.9459999999999</v>
      </c>
      <c r="C7" s="17">
        <f t="shared" ref="C7:C15" si="2">C6+B7</f>
        <v>33042.385999999999</v>
      </c>
      <c r="D7" s="17">
        <f>'в 2023 году'!C7</f>
        <v>0</v>
      </c>
      <c r="E7" s="17">
        <f>'в 2023 году'!G7</f>
        <v>23415.059000000001</v>
      </c>
      <c r="F7" s="17">
        <f t="shared" si="0"/>
        <v>0</v>
      </c>
      <c r="G7" s="17">
        <f t="shared" si="1"/>
        <v>70.863705181581025</v>
      </c>
    </row>
    <row r="8" spans="1:9" hidden="1" x14ac:dyDescent="0.25">
      <c r="A8" s="3" t="s">
        <v>13</v>
      </c>
      <c r="B8" s="17">
        <v>8683.6880000000001</v>
      </c>
      <c r="C8" s="17">
        <f t="shared" si="2"/>
        <v>41726.074000000001</v>
      </c>
      <c r="D8" s="17">
        <f>'в 2023 году'!C8</f>
        <v>0</v>
      </c>
      <c r="E8" s="17">
        <f>'в 2023 году'!G8</f>
        <v>23415.059000000001</v>
      </c>
      <c r="F8" s="17">
        <f t="shared" si="0"/>
        <v>0</v>
      </c>
      <c r="G8" s="17">
        <f t="shared" si="1"/>
        <v>56.116132564976041</v>
      </c>
    </row>
    <row r="9" spans="1:9" hidden="1" x14ac:dyDescent="0.25">
      <c r="A9" s="3" t="s">
        <v>14</v>
      </c>
      <c r="B9" s="17">
        <v>7932.9660000000003</v>
      </c>
      <c r="C9" s="17">
        <f t="shared" si="2"/>
        <v>49659.040000000001</v>
      </c>
      <c r="D9" s="17">
        <f>'в 2023 году'!C9</f>
        <v>0</v>
      </c>
      <c r="E9" s="17">
        <f>'в 2023 году'!G9</f>
        <v>23415.059000000001</v>
      </c>
      <c r="F9" s="17">
        <f t="shared" si="0"/>
        <v>0</v>
      </c>
      <c r="G9" s="17">
        <f t="shared" si="1"/>
        <v>47.151654562794612</v>
      </c>
    </row>
    <row r="10" spans="1:9" hidden="1" x14ac:dyDescent="0.25">
      <c r="A10" s="3" t="s">
        <v>15</v>
      </c>
      <c r="B10" s="17">
        <v>8494.3619999999992</v>
      </c>
      <c r="C10" s="17">
        <f t="shared" si="2"/>
        <v>58153.402000000002</v>
      </c>
      <c r="D10" s="17">
        <f>'в 2023 году'!C10</f>
        <v>0</v>
      </c>
      <c r="E10" s="17">
        <f>'в 2023 году'!G10</f>
        <v>23415.059000000001</v>
      </c>
      <c r="F10" s="17">
        <f t="shared" si="0"/>
        <v>0</v>
      </c>
      <c r="G10" s="17">
        <f t="shared" si="1"/>
        <v>40.264297865153267</v>
      </c>
    </row>
    <row r="11" spans="1:9" hidden="1" x14ac:dyDescent="0.25">
      <c r="A11" s="3" t="s">
        <v>16</v>
      </c>
      <c r="B11" s="17">
        <v>6909.2870000000003</v>
      </c>
      <c r="C11" s="17">
        <f t="shared" si="2"/>
        <v>65062.688999999998</v>
      </c>
      <c r="D11" s="17">
        <f>'в 2023 году'!C11</f>
        <v>0</v>
      </c>
      <c r="E11" s="17">
        <f>'в 2023 году'!G11</f>
        <v>23415.059000000001</v>
      </c>
      <c r="F11" s="17">
        <f t="shared" si="0"/>
        <v>0</v>
      </c>
      <c r="G11" s="17">
        <f t="shared" si="1"/>
        <v>35.988458761672149</v>
      </c>
    </row>
    <row r="12" spans="1:9" hidden="1" x14ac:dyDescent="0.25">
      <c r="A12" s="3" t="s">
        <v>17</v>
      </c>
      <c r="B12" s="17">
        <v>7547.5950000000003</v>
      </c>
      <c r="C12" s="17">
        <f t="shared" si="2"/>
        <v>72610.284</v>
      </c>
      <c r="D12" s="17">
        <f>'в 2023 году'!C12</f>
        <v>0</v>
      </c>
      <c r="E12" s="17">
        <f>'в 2023 году'!G12</f>
        <v>23415.059000000001</v>
      </c>
      <c r="F12" s="17">
        <f t="shared" si="0"/>
        <v>0</v>
      </c>
      <c r="G12" s="17">
        <f t="shared" si="1"/>
        <v>32.247579420017139</v>
      </c>
    </row>
    <row r="13" spans="1:9" hidden="1" x14ac:dyDescent="0.25">
      <c r="A13" s="3" t="s">
        <v>18</v>
      </c>
      <c r="B13" s="17">
        <v>12796.932000000001</v>
      </c>
      <c r="C13" s="17">
        <f t="shared" si="2"/>
        <v>85407.216</v>
      </c>
      <c r="D13" s="17">
        <f>'в 2023 году'!C13</f>
        <v>0</v>
      </c>
      <c r="E13" s="17">
        <f>'в 2023 году'!G13</f>
        <v>23415.059000000001</v>
      </c>
      <c r="F13" s="17">
        <f t="shared" si="0"/>
        <v>0</v>
      </c>
      <c r="G13" s="17">
        <f t="shared" si="1"/>
        <v>27.415785335983788</v>
      </c>
    </row>
    <row r="14" spans="1:9" hidden="1" x14ac:dyDescent="0.25">
      <c r="A14" s="3" t="s">
        <v>19</v>
      </c>
      <c r="B14" s="17">
        <v>14320.427</v>
      </c>
      <c r="C14" s="17">
        <f t="shared" si="2"/>
        <v>99727.642999999996</v>
      </c>
      <c r="D14" s="17">
        <f>'в 2023 году'!C14</f>
        <v>0</v>
      </c>
      <c r="E14" s="17">
        <f>'в 2023 году'!G14</f>
        <v>23415.059000000001</v>
      </c>
      <c r="F14" s="17">
        <f t="shared" si="0"/>
        <v>0</v>
      </c>
      <c r="G14" s="17">
        <f t="shared" si="1"/>
        <v>23.479005715596831</v>
      </c>
    </row>
    <row r="15" spans="1:9" hidden="1" x14ac:dyDescent="0.25">
      <c r="A15" s="3" t="s">
        <v>20</v>
      </c>
      <c r="B15" s="17">
        <v>16895.419000000002</v>
      </c>
      <c r="C15" s="17">
        <f t="shared" si="2"/>
        <v>116623.06200000001</v>
      </c>
      <c r="D15" s="17">
        <f>'в 2023 году'!C15</f>
        <v>0</v>
      </c>
      <c r="E15" s="17">
        <f>'в 2023 году'!G15</f>
        <v>23415.059000000001</v>
      </c>
      <c r="F15" s="17">
        <f t="shared" si="0"/>
        <v>0</v>
      </c>
      <c r="G15" s="17">
        <f t="shared" si="1"/>
        <v>20.07755464352325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21" sqref="N21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7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15.75" thickBot="1" x14ac:dyDescent="0.3">
      <c r="A2" s="28" t="s">
        <v>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84.75" thickBot="1" x14ac:dyDescent="0.3">
      <c r="A3" s="29" t="s">
        <v>21</v>
      </c>
      <c r="B3" s="30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72</v>
      </c>
      <c r="N3" s="8" t="s">
        <v>71</v>
      </c>
      <c r="O3" s="16" t="s">
        <v>73</v>
      </c>
    </row>
    <row r="4" spans="1:15" ht="24" customHeight="1" thickBot="1" x14ac:dyDescent="0.3">
      <c r="A4" s="31" t="s">
        <v>28</v>
      </c>
      <c r="B4" s="32"/>
      <c r="C4" s="11"/>
      <c r="D4" s="18">
        <f>SUM(D5:D25)</f>
        <v>15229.851999999999</v>
      </c>
      <c r="E4" s="18">
        <f>SUM(E5:E25)</f>
        <v>15997.660370000003</v>
      </c>
      <c r="F4" s="18">
        <f>SUM(E4/D4*100)</f>
        <v>105.04146967416364</v>
      </c>
      <c r="G4" s="18">
        <f>SUM(G5:G25)</f>
        <v>97401.64499999999</v>
      </c>
      <c r="H4" s="18">
        <f>SUM(H5:H25)</f>
        <v>23415.138000000003</v>
      </c>
      <c r="I4" s="18">
        <f>SUM(I5:I25)</f>
        <v>23415.051370000005</v>
      </c>
      <c r="J4" s="18">
        <f>SUM(I4/H4*100)</f>
        <v>99.999630025669731</v>
      </c>
      <c r="K4" s="18">
        <f>SUM(I4/G4*100)</f>
        <v>24.039687799933983</v>
      </c>
      <c r="L4" s="18">
        <f>SUM(L5:L25)</f>
        <v>24866.405999999995</v>
      </c>
      <c r="M4" s="18">
        <f>SUM(M5:M25)</f>
        <v>24866.405999999995</v>
      </c>
      <c r="N4" s="18">
        <f t="shared" ref="N4:N11" si="0">I4/L4*100</f>
        <v>94.163392047889872</v>
      </c>
      <c r="O4" s="19">
        <f>SUM(O5:O25)</f>
        <v>-1451.35463</v>
      </c>
    </row>
    <row r="5" spans="1:15" ht="25.5" customHeight="1" thickBot="1" x14ac:dyDescent="0.3">
      <c r="A5" s="24" t="s">
        <v>29</v>
      </c>
      <c r="B5" s="25"/>
      <c r="C5" s="12" t="s">
        <v>55</v>
      </c>
      <c r="D5" s="20">
        <v>4085.6</v>
      </c>
      <c r="E5" s="20">
        <v>5782.7330000000002</v>
      </c>
      <c r="F5" s="20">
        <f>SUM(E5/D5*100)</f>
        <v>141.53938222048171</v>
      </c>
      <c r="G5" s="20">
        <v>39582</v>
      </c>
      <c r="H5" s="20">
        <f>D5+1356.6+1603.2</f>
        <v>7045.4</v>
      </c>
      <c r="I5" s="20">
        <f>E5+3015.863-1756.575</f>
        <v>7042.0209999999997</v>
      </c>
      <c r="J5" s="20">
        <f t="shared" ref="J5:J25" si="1">SUM(I5/H5*100)</f>
        <v>99.952039628693896</v>
      </c>
      <c r="K5" s="20">
        <f t="shared" ref="K5:K24" si="2">SUM(I5/G5*100)</f>
        <v>17.790968116820778</v>
      </c>
      <c r="L5" s="20">
        <f>1026.4+2854.972+3513.01</f>
        <v>7394.3820000000005</v>
      </c>
      <c r="M5" s="20">
        <f>L5</f>
        <v>7394.3820000000005</v>
      </c>
      <c r="N5" s="20">
        <f t="shared" si="0"/>
        <v>95.234747136407066</v>
      </c>
      <c r="O5" s="21">
        <f t="shared" ref="O5:O25" si="3">I5-M5</f>
        <v>-352.36100000000079</v>
      </c>
    </row>
    <row r="6" spans="1:15" ht="20.25" customHeight="1" thickBot="1" x14ac:dyDescent="0.3">
      <c r="A6" s="24" t="s">
        <v>30</v>
      </c>
      <c r="B6" s="25"/>
      <c r="C6" s="12" t="s">
        <v>56</v>
      </c>
      <c r="D6" s="20">
        <v>3526.4</v>
      </c>
      <c r="E6" s="20">
        <v>3140.3829999999998</v>
      </c>
      <c r="F6" s="20">
        <f t="shared" ref="F6:F18" si="4">SUM(E6/D6*100)</f>
        <v>89.053510662431933</v>
      </c>
      <c r="G6" s="20">
        <v>22159.200000000001</v>
      </c>
      <c r="H6" s="20">
        <f>D6+1850.3+580.8</f>
        <v>5957.5</v>
      </c>
      <c r="I6" s="20">
        <f>E6+952.261+1865.036</f>
        <v>5957.68</v>
      </c>
      <c r="J6" s="20">
        <f>SUM(I6/H6*100)</f>
        <v>100.00302140159462</v>
      </c>
      <c r="K6" s="20">
        <f t="shared" si="2"/>
        <v>26.885808151918845</v>
      </c>
      <c r="L6" s="20">
        <f>1970.7+0+3455.488</f>
        <v>5426.1880000000001</v>
      </c>
      <c r="M6" s="20">
        <f t="shared" ref="M6:M25" si="5">L6</f>
        <v>5426.1880000000001</v>
      </c>
      <c r="N6" s="20">
        <f t="shared" si="0"/>
        <v>109.79494260058812</v>
      </c>
      <c r="O6" s="21">
        <f t="shared" si="3"/>
        <v>531.49200000000019</v>
      </c>
    </row>
    <row r="7" spans="1:15" ht="20.25" customHeight="1" thickBot="1" x14ac:dyDescent="0.3">
      <c r="A7" s="24" t="s">
        <v>82</v>
      </c>
      <c r="B7" s="26"/>
      <c r="C7" s="22" t="s">
        <v>83</v>
      </c>
      <c r="D7" s="20">
        <v>194.7</v>
      </c>
      <c r="E7" s="20">
        <v>170.01499999999999</v>
      </c>
      <c r="F7" s="20">
        <v>0</v>
      </c>
      <c r="G7" s="20">
        <v>1309.2</v>
      </c>
      <c r="H7" s="20">
        <f>D7+0+0</f>
        <v>194.7</v>
      </c>
      <c r="I7" s="20">
        <f>E7+18.415+6.29</f>
        <v>194.71999999999997</v>
      </c>
      <c r="J7" s="20">
        <v>0</v>
      </c>
      <c r="K7" s="20">
        <f t="shared" si="2"/>
        <v>14.87320501069355</v>
      </c>
      <c r="L7" s="20">
        <v>0</v>
      </c>
      <c r="M7" s="20">
        <f t="shared" si="5"/>
        <v>0</v>
      </c>
      <c r="N7" s="20">
        <v>0</v>
      </c>
      <c r="O7" s="21">
        <f t="shared" si="3"/>
        <v>194.71999999999997</v>
      </c>
    </row>
    <row r="8" spans="1:15" ht="21" customHeight="1" thickBot="1" x14ac:dyDescent="0.3">
      <c r="A8" s="24" t="s">
        <v>31</v>
      </c>
      <c r="B8" s="25"/>
      <c r="C8" s="12" t="s">
        <v>57</v>
      </c>
      <c r="D8" s="20">
        <v>0</v>
      </c>
      <c r="E8" s="20">
        <v>1.4713700000000001</v>
      </c>
      <c r="F8" s="20">
        <v>0</v>
      </c>
      <c r="G8" s="20">
        <v>0</v>
      </c>
      <c r="H8" s="20">
        <f>D8+0+0</f>
        <v>0</v>
      </c>
      <c r="I8" s="20">
        <f>E8-33.121-0.482</f>
        <v>-32.131630000000001</v>
      </c>
      <c r="J8" s="20">
        <v>0</v>
      </c>
      <c r="K8" s="20">
        <v>0</v>
      </c>
      <c r="L8" s="20">
        <f>0+13.97+1.5</f>
        <v>15.47</v>
      </c>
      <c r="M8" s="20">
        <f>L8</f>
        <v>15.47</v>
      </c>
      <c r="N8" s="20">
        <v>0</v>
      </c>
      <c r="O8" s="21">
        <f t="shared" si="3"/>
        <v>-47.60163</v>
      </c>
    </row>
    <row r="9" spans="1:15" ht="24.75" customHeight="1" thickBot="1" x14ac:dyDescent="0.3">
      <c r="A9" s="24" t="s">
        <v>43</v>
      </c>
      <c r="B9" s="25"/>
      <c r="C9" s="12" t="s">
        <v>58</v>
      </c>
      <c r="D9" s="20">
        <v>1734.6</v>
      </c>
      <c r="E9" s="20">
        <v>1734.645</v>
      </c>
      <c r="F9" s="20">
        <v>0</v>
      </c>
      <c r="G9" s="20">
        <v>2154</v>
      </c>
      <c r="H9" s="20">
        <f>D9+0+0</f>
        <v>1734.6</v>
      </c>
      <c r="I9" s="20">
        <f t="shared" ref="I9:I25" si="6">E9</f>
        <v>1734.645</v>
      </c>
      <c r="J9" s="20">
        <v>0</v>
      </c>
      <c r="K9" s="20">
        <f t="shared" si="2"/>
        <v>80.531337047353759</v>
      </c>
      <c r="L9" s="20">
        <v>777.64400000000001</v>
      </c>
      <c r="M9" s="20">
        <f t="shared" si="5"/>
        <v>777.64400000000001</v>
      </c>
      <c r="N9" s="20">
        <v>0</v>
      </c>
      <c r="O9" s="21">
        <f t="shared" si="3"/>
        <v>957.00099999999998</v>
      </c>
    </row>
    <row r="10" spans="1:15" ht="22.5" customHeight="1" thickBot="1" x14ac:dyDescent="0.3">
      <c r="A10" s="24" t="s">
        <v>44</v>
      </c>
      <c r="B10" s="25"/>
      <c r="C10" s="12" t="s">
        <v>59</v>
      </c>
      <c r="D10" s="20">
        <v>0</v>
      </c>
      <c r="E10" s="20">
        <v>13.715999999999999</v>
      </c>
      <c r="F10" s="20">
        <v>0</v>
      </c>
      <c r="G10" s="20">
        <v>573</v>
      </c>
      <c r="H10" s="20">
        <f>D10+0+0</f>
        <v>0</v>
      </c>
      <c r="I10" s="20">
        <f>E10-60.811-87.058</f>
        <v>-134.15300000000002</v>
      </c>
      <c r="J10" s="20">
        <v>0</v>
      </c>
      <c r="K10" s="20">
        <f t="shared" ref="K10:K11" si="7">SUM(I10/G10*100)</f>
        <v>-23.412390924956373</v>
      </c>
      <c r="L10" s="20">
        <f>39.8+22.708+141.859</f>
        <v>204.36700000000002</v>
      </c>
      <c r="M10" s="20">
        <f t="shared" si="5"/>
        <v>204.36700000000002</v>
      </c>
      <c r="N10" s="20">
        <f t="shared" si="0"/>
        <v>-65.643181139812199</v>
      </c>
      <c r="O10" s="21">
        <f t="shared" si="3"/>
        <v>-338.52000000000004</v>
      </c>
    </row>
    <row r="11" spans="1:15" ht="22.5" customHeight="1" thickBot="1" x14ac:dyDescent="0.3">
      <c r="A11" s="24" t="s">
        <v>48</v>
      </c>
      <c r="B11" s="25"/>
      <c r="C11" s="12" t="s">
        <v>60</v>
      </c>
      <c r="D11" s="20">
        <v>0</v>
      </c>
      <c r="E11" s="20">
        <v>63.03</v>
      </c>
      <c r="F11" s="20" t="e">
        <f t="shared" si="4"/>
        <v>#DIV/0!</v>
      </c>
      <c r="G11" s="20">
        <v>1567</v>
      </c>
      <c r="H11" s="20">
        <f>D11+9.5+29.2</f>
        <v>38.700000000000003</v>
      </c>
      <c r="I11" s="20">
        <f>E11-20.345-52.258</f>
        <v>-9.5730000000000004</v>
      </c>
      <c r="J11" s="20">
        <v>0</v>
      </c>
      <c r="K11" s="20">
        <f t="shared" si="7"/>
        <v>-0.61091257179323555</v>
      </c>
      <c r="L11" s="20">
        <f>24.7+30.27+47.524</f>
        <v>102.494</v>
      </c>
      <c r="M11" s="20">
        <f t="shared" si="5"/>
        <v>102.494</v>
      </c>
      <c r="N11" s="20">
        <f t="shared" si="0"/>
        <v>-9.340058930278845</v>
      </c>
      <c r="O11" s="21">
        <f t="shared" si="3"/>
        <v>-112.06700000000001</v>
      </c>
    </row>
    <row r="12" spans="1:15" ht="15.75" thickBot="1" x14ac:dyDescent="0.3">
      <c r="A12" s="24" t="s">
        <v>32</v>
      </c>
      <c r="B12" s="25"/>
      <c r="C12" s="12" t="s">
        <v>61</v>
      </c>
      <c r="D12" s="20">
        <v>0</v>
      </c>
      <c r="E12" s="20">
        <v>0</v>
      </c>
      <c r="F12" s="20">
        <v>0</v>
      </c>
      <c r="G12" s="20">
        <v>0</v>
      </c>
      <c r="H12" s="20">
        <f t="shared" ref="H12:H25" si="8">D12</f>
        <v>0</v>
      </c>
      <c r="I12" s="20">
        <f t="shared" si="6"/>
        <v>0</v>
      </c>
      <c r="J12" s="20">
        <v>0</v>
      </c>
      <c r="K12" s="20">
        <v>0</v>
      </c>
      <c r="L12" s="20">
        <f>303.3+518.123+166.875</f>
        <v>988.298</v>
      </c>
      <c r="M12" s="20">
        <f t="shared" si="5"/>
        <v>988.298</v>
      </c>
      <c r="N12" s="20">
        <f>I12/L12*100</f>
        <v>0</v>
      </c>
      <c r="O12" s="21">
        <f t="shared" si="3"/>
        <v>-988.298</v>
      </c>
    </row>
    <row r="13" spans="1:15" ht="15.75" thickBot="1" x14ac:dyDescent="0.3">
      <c r="A13" s="24" t="s">
        <v>49</v>
      </c>
      <c r="B13" s="25"/>
      <c r="C13" s="12" t="s">
        <v>62</v>
      </c>
      <c r="D13" s="20">
        <v>420.2</v>
      </c>
      <c r="E13" s="20">
        <v>645.68799999999999</v>
      </c>
      <c r="F13" s="20">
        <f t="shared" si="4"/>
        <v>153.66206568300808</v>
      </c>
      <c r="G13" s="20">
        <v>5328</v>
      </c>
      <c r="H13" s="20">
        <f>D13+9.9+208.2</f>
        <v>638.29999999999995</v>
      </c>
      <c r="I13" s="20">
        <f>E13+30.156-37.479</f>
        <v>638.3649999999999</v>
      </c>
      <c r="J13" s="20">
        <f t="shared" si="1"/>
        <v>100.010183299389</v>
      </c>
      <c r="K13" s="20">
        <f t="shared" si="2"/>
        <v>11.981325075075073</v>
      </c>
      <c r="L13" s="20">
        <f>80.3+720.132+164.852</f>
        <v>965.28399999999988</v>
      </c>
      <c r="M13" s="20">
        <f t="shared" si="5"/>
        <v>965.28399999999988</v>
      </c>
      <c r="N13" s="20">
        <f>I13/L13*100</f>
        <v>66.132350686430101</v>
      </c>
      <c r="O13" s="21">
        <f t="shared" si="3"/>
        <v>-326.91899999999998</v>
      </c>
    </row>
    <row r="14" spans="1:15" ht="15.75" thickBot="1" x14ac:dyDescent="0.3">
      <c r="A14" s="24" t="s">
        <v>33</v>
      </c>
      <c r="B14" s="25"/>
      <c r="C14" s="12" t="s">
        <v>63</v>
      </c>
      <c r="D14" s="20">
        <v>86.4</v>
      </c>
      <c r="E14" s="20">
        <v>121.09</v>
      </c>
      <c r="F14" s="20">
        <f t="shared" si="4"/>
        <v>140.15046296296296</v>
      </c>
      <c r="G14" s="20">
        <v>1475.5</v>
      </c>
      <c r="H14" s="20">
        <f>D14+42.482+114.558</f>
        <v>243.44</v>
      </c>
      <c r="I14" s="20">
        <f>E14+49.647+72.812</f>
        <v>243.54899999999998</v>
      </c>
      <c r="J14" s="20">
        <f t="shared" si="1"/>
        <v>100.0447748931975</v>
      </c>
      <c r="K14" s="20">
        <f t="shared" si="2"/>
        <v>16.506201287699085</v>
      </c>
      <c r="L14" s="20">
        <f>96.2+158.307+160.906</f>
        <v>415.41300000000001</v>
      </c>
      <c r="M14" s="20">
        <f t="shared" si="5"/>
        <v>415.41300000000001</v>
      </c>
      <c r="N14" s="20">
        <f>I14/L14*100</f>
        <v>58.628160409038713</v>
      </c>
      <c r="O14" s="21">
        <f t="shared" si="3"/>
        <v>-171.86400000000003</v>
      </c>
    </row>
    <row r="15" spans="1:15" ht="15.75" hidden="1" thickBot="1" x14ac:dyDescent="0.3">
      <c r="A15" s="24" t="s">
        <v>46</v>
      </c>
      <c r="B15" s="25"/>
      <c r="C15" s="12"/>
      <c r="D15" s="20">
        <v>0</v>
      </c>
      <c r="E15" s="20">
        <v>0</v>
      </c>
      <c r="F15" s="20" t="e">
        <f t="shared" si="4"/>
        <v>#DIV/0!</v>
      </c>
      <c r="G15" s="20">
        <v>0</v>
      </c>
      <c r="H15" s="20">
        <f t="shared" si="8"/>
        <v>0</v>
      </c>
      <c r="I15" s="20">
        <f t="shared" si="6"/>
        <v>0</v>
      </c>
      <c r="J15" s="20" t="e">
        <f t="shared" si="1"/>
        <v>#DIV/0!</v>
      </c>
      <c r="K15" s="20">
        <v>0</v>
      </c>
      <c r="L15" s="20">
        <v>0</v>
      </c>
      <c r="M15" s="20">
        <f t="shared" si="5"/>
        <v>0</v>
      </c>
      <c r="N15" s="20">
        <v>0</v>
      </c>
      <c r="O15" s="21">
        <f t="shared" si="3"/>
        <v>0</v>
      </c>
    </row>
    <row r="16" spans="1:15" ht="15.75" thickBot="1" x14ac:dyDescent="0.3">
      <c r="A16" s="24" t="s">
        <v>34</v>
      </c>
      <c r="B16" s="25"/>
      <c r="C16" s="12" t="s">
        <v>64</v>
      </c>
      <c r="D16" s="20">
        <v>967.2</v>
      </c>
      <c r="E16" s="20">
        <v>985.20799999999997</v>
      </c>
      <c r="F16" s="20">
        <f t="shared" si="4"/>
        <v>101.8618693134822</v>
      </c>
      <c r="G16" s="20">
        <v>4933</v>
      </c>
      <c r="H16" s="20">
        <f>D16+28.6+75.5</f>
        <v>1071.3000000000002</v>
      </c>
      <c r="I16" s="20">
        <f>E16+41.36+44.753</f>
        <v>1071.3209999999999</v>
      </c>
      <c r="J16" s="20">
        <f t="shared" si="1"/>
        <v>100.00196023522821</v>
      </c>
      <c r="K16" s="20">
        <f t="shared" si="2"/>
        <v>21.717433610379079</v>
      </c>
      <c r="L16" s="20">
        <f>11.6+65.2+1050.425</f>
        <v>1127.2249999999999</v>
      </c>
      <c r="M16" s="20">
        <f t="shared" si="5"/>
        <v>1127.2249999999999</v>
      </c>
      <c r="N16" s="20">
        <f t="shared" ref="N16:N22" si="9">I16/L16*100</f>
        <v>95.040564217436625</v>
      </c>
      <c r="O16" s="21">
        <f t="shared" si="3"/>
        <v>-55.903999999999996</v>
      </c>
    </row>
    <row r="17" spans="1:15" ht="15.75" thickBot="1" x14ac:dyDescent="0.3">
      <c r="A17" s="24" t="s">
        <v>35</v>
      </c>
      <c r="B17" s="25"/>
      <c r="C17" s="12" t="s">
        <v>51</v>
      </c>
      <c r="D17" s="20">
        <v>43.9</v>
      </c>
      <c r="E17" s="20">
        <v>36.396999999999998</v>
      </c>
      <c r="F17" s="20">
        <v>0</v>
      </c>
      <c r="G17" s="20">
        <v>541.79999999999995</v>
      </c>
      <c r="H17" s="20">
        <f>D17+17.4+51.3</f>
        <v>112.6</v>
      </c>
      <c r="I17" s="20">
        <f>E17+28.905+47.274</f>
        <v>112.57599999999999</v>
      </c>
      <c r="J17" s="20">
        <f t="shared" si="1"/>
        <v>99.978685612788638</v>
      </c>
      <c r="K17" s="20">
        <f t="shared" si="2"/>
        <v>20.778146917681802</v>
      </c>
      <c r="L17" s="20">
        <f>41.6+35.4+55.1</f>
        <v>132.1</v>
      </c>
      <c r="M17" s="20">
        <f t="shared" si="5"/>
        <v>132.1</v>
      </c>
      <c r="N17" s="20">
        <f t="shared" si="9"/>
        <v>85.220287660862979</v>
      </c>
      <c r="O17" s="21">
        <f t="shared" si="3"/>
        <v>-19.524000000000001</v>
      </c>
    </row>
    <row r="18" spans="1:15" ht="24" customHeight="1" thickBot="1" x14ac:dyDescent="0.3">
      <c r="A18" s="24" t="s">
        <v>45</v>
      </c>
      <c r="B18" s="25"/>
      <c r="C18" s="12" t="s">
        <v>52</v>
      </c>
      <c r="D18" s="20">
        <v>130</v>
      </c>
      <c r="E18" s="20">
        <v>86.049000000000007</v>
      </c>
      <c r="F18" s="20">
        <f t="shared" si="4"/>
        <v>66.191538461538471</v>
      </c>
      <c r="G18" s="20">
        <v>586.5</v>
      </c>
      <c r="H18" s="20">
        <f>D18+16.6+54.4</f>
        <v>201</v>
      </c>
      <c r="I18" s="20">
        <f>E18+44.192+70.788</f>
        <v>201.029</v>
      </c>
      <c r="J18" s="20">
        <f t="shared" si="1"/>
        <v>100.01442786069651</v>
      </c>
      <c r="K18" s="20">
        <v>0</v>
      </c>
      <c r="L18" s="20">
        <f>23.2+38.875+68.183</f>
        <v>130.25800000000001</v>
      </c>
      <c r="M18" s="20">
        <f t="shared" si="5"/>
        <v>130.25800000000001</v>
      </c>
      <c r="N18" s="20">
        <f t="shared" si="9"/>
        <v>154.33140382932334</v>
      </c>
      <c r="O18" s="21">
        <f t="shared" si="3"/>
        <v>70.770999999999987</v>
      </c>
    </row>
    <row r="19" spans="1:15" ht="21.75" customHeight="1" thickBot="1" x14ac:dyDescent="0.3">
      <c r="A19" s="24" t="s">
        <v>36</v>
      </c>
      <c r="B19" s="25"/>
      <c r="C19" s="12" t="s">
        <v>65</v>
      </c>
      <c r="D19" s="20">
        <v>136.9</v>
      </c>
      <c r="E19" s="20">
        <v>28.524999999999999</v>
      </c>
      <c r="F19" s="20">
        <v>0</v>
      </c>
      <c r="G19" s="20">
        <v>159.4</v>
      </c>
      <c r="H19" s="20">
        <f>D19+0+0</f>
        <v>136.9</v>
      </c>
      <c r="I19" s="20">
        <f>E19+8.953+99.404</f>
        <v>136.88200000000001</v>
      </c>
      <c r="J19" s="20">
        <f t="shared" si="1"/>
        <v>99.986851716581455</v>
      </c>
      <c r="K19" s="20">
        <f t="shared" si="2"/>
        <v>85.873274780426598</v>
      </c>
      <c r="L19" s="20">
        <f>0.7+104.902+7.911</f>
        <v>113.51300000000001</v>
      </c>
      <c r="M19" s="20">
        <f t="shared" si="5"/>
        <v>113.51300000000001</v>
      </c>
      <c r="N19" s="20">
        <f t="shared" si="9"/>
        <v>120.58706932245646</v>
      </c>
      <c r="O19" s="21">
        <f t="shared" si="3"/>
        <v>23.369</v>
      </c>
    </row>
    <row r="20" spans="1:15" ht="24.75" customHeight="1" thickBot="1" x14ac:dyDescent="0.3">
      <c r="A20" s="24" t="s">
        <v>37</v>
      </c>
      <c r="B20" s="25"/>
      <c r="C20" s="12" t="s">
        <v>66</v>
      </c>
      <c r="D20" s="20">
        <v>3648.9520000000002</v>
      </c>
      <c r="E20" s="20">
        <v>2926.7159999999999</v>
      </c>
      <c r="F20" s="20">
        <v>0</v>
      </c>
      <c r="G20" s="20">
        <v>15690.7</v>
      </c>
      <c r="H20" s="20">
        <f>D20+0+1914.2</f>
        <v>5563.152</v>
      </c>
      <c r="I20" s="20">
        <f>E20+15.544+2561.455</f>
        <v>5503.7150000000001</v>
      </c>
      <c r="J20" s="20">
        <f t="shared" si="1"/>
        <v>98.93159489440518</v>
      </c>
      <c r="K20" s="20">
        <f t="shared" si="2"/>
        <v>35.076287227465954</v>
      </c>
      <c r="L20" s="20">
        <f>50.2+3387.904+2774.723</f>
        <v>6212.8269999999993</v>
      </c>
      <c r="M20" s="20">
        <f t="shared" si="5"/>
        <v>6212.8269999999993</v>
      </c>
      <c r="N20" s="20">
        <f t="shared" si="9"/>
        <v>88.58632310218843</v>
      </c>
      <c r="O20" s="21">
        <f t="shared" si="3"/>
        <v>-709.11199999999917</v>
      </c>
    </row>
    <row r="21" spans="1:15" ht="22.5" customHeight="1" thickBot="1" x14ac:dyDescent="0.3">
      <c r="A21" s="24" t="s">
        <v>38</v>
      </c>
      <c r="B21" s="25"/>
      <c r="C21" s="12" t="s">
        <v>67</v>
      </c>
      <c r="D21" s="20">
        <v>0</v>
      </c>
      <c r="E21" s="20">
        <v>0</v>
      </c>
      <c r="F21" s="20">
        <v>0</v>
      </c>
      <c r="G21" s="20">
        <v>0</v>
      </c>
      <c r="H21" s="20">
        <f>D21+0</f>
        <v>0</v>
      </c>
      <c r="I21" s="20">
        <f>E21+55.699</f>
        <v>55.698999999999998</v>
      </c>
      <c r="J21" s="20">
        <v>0</v>
      </c>
      <c r="K21" s="20">
        <v>0</v>
      </c>
      <c r="L21" s="20">
        <v>297.375</v>
      </c>
      <c r="M21" s="20">
        <f t="shared" si="5"/>
        <v>297.375</v>
      </c>
      <c r="N21" s="20">
        <v>0</v>
      </c>
      <c r="O21" s="21">
        <f t="shared" si="3"/>
        <v>-241.67599999999999</v>
      </c>
    </row>
    <row r="22" spans="1:15" ht="15.75" thickBot="1" x14ac:dyDescent="0.3">
      <c r="A22" s="24" t="s">
        <v>39</v>
      </c>
      <c r="B22" s="25"/>
      <c r="C22" s="12" t="s">
        <v>53</v>
      </c>
      <c r="D22" s="20">
        <v>101.6</v>
      </c>
      <c r="E22" s="20">
        <v>109.51300000000001</v>
      </c>
      <c r="F22" s="20">
        <v>0</v>
      </c>
      <c r="G22" s="20">
        <v>262.60000000000002</v>
      </c>
      <c r="H22" s="20">
        <f>D22+0+0</f>
        <v>101.6</v>
      </c>
      <c r="I22" s="20">
        <f>E22+39.592+55.201</f>
        <v>204.30600000000001</v>
      </c>
      <c r="J22" s="20">
        <f t="shared" si="1"/>
        <v>201.08858267716539</v>
      </c>
      <c r="K22" s="20">
        <f t="shared" si="2"/>
        <v>77.801218583396803</v>
      </c>
      <c r="L22" s="20">
        <f>34.1+1.392+320.598</f>
        <v>356.09000000000003</v>
      </c>
      <c r="M22" s="20">
        <f t="shared" si="5"/>
        <v>356.09000000000003</v>
      </c>
      <c r="N22" s="20">
        <f t="shared" si="9"/>
        <v>57.374820972226125</v>
      </c>
      <c r="O22" s="21">
        <f t="shared" si="3"/>
        <v>-151.78400000000002</v>
      </c>
    </row>
    <row r="23" spans="1:15" ht="15.75" thickBot="1" x14ac:dyDescent="0.3">
      <c r="A23" s="24" t="s">
        <v>40</v>
      </c>
      <c r="B23" s="25"/>
      <c r="C23" s="12" t="s">
        <v>68</v>
      </c>
      <c r="D23" s="20">
        <v>153.4</v>
      </c>
      <c r="E23" s="20">
        <v>152.48099999999999</v>
      </c>
      <c r="F23" s="20">
        <v>0</v>
      </c>
      <c r="G23" s="20">
        <v>857.2</v>
      </c>
      <c r="H23" s="20">
        <f>D23+0+0</f>
        <v>153.4</v>
      </c>
      <c r="I23" s="20">
        <f>E23+56.043+63.282</f>
        <v>271.80599999999998</v>
      </c>
      <c r="J23" s="20">
        <f t="shared" si="1"/>
        <v>177.18774445893089</v>
      </c>
      <c r="K23" s="20">
        <f t="shared" si="2"/>
        <v>31.708586094260376</v>
      </c>
      <c r="L23" s="20">
        <f>58.5+50.64+98.338</f>
        <v>207.47800000000001</v>
      </c>
      <c r="M23" s="20">
        <f t="shared" si="5"/>
        <v>207.47800000000001</v>
      </c>
      <c r="N23" s="20">
        <f>I23/L23*100</f>
        <v>131.0047330319359</v>
      </c>
      <c r="O23" s="21">
        <f t="shared" si="3"/>
        <v>64.327999999999975</v>
      </c>
    </row>
    <row r="24" spans="1:15" ht="15.75" thickBot="1" x14ac:dyDescent="0.3">
      <c r="A24" s="24" t="s">
        <v>80</v>
      </c>
      <c r="B24" s="26"/>
      <c r="C24" s="22" t="s">
        <v>81</v>
      </c>
      <c r="D24" s="20">
        <v>0</v>
      </c>
      <c r="E24" s="20">
        <v>0</v>
      </c>
      <c r="F24" s="20">
        <v>0</v>
      </c>
      <c r="G24" s="20">
        <v>222.54499999999999</v>
      </c>
      <c r="H24" s="20">
        <f>D24+122.546+100</f>
        <v>222.54599999999999</v>
      </c>
      <c r="I24" s="20">
        <f>E24+122.595+100</f>
        <v>222.595</v>
      </c>
      <c r="J24" s="20">
        <f t="shared" si="1"/>
        <v>100.02201791989071</v>
      </c>
      <c r="K24" s="20">
        <f t="shared" si="2"/>
        <v>100.02246736615068</v>
      </c>
      <c r="L24" s="20">
        <v>0</v>
      </c>
      <c r="M24" s="20">
        <f t="shared" si="5"/>
        <v>0</v>
      </c>
      <c r="N24" s="20">
        <v>0</v>
      </c>
      <c r="O24" s="21">
        <f t="shared" si="3"/>
        <v>222.595</v>
      </c>
    </row>
    <row r="25" spans="1:15" ht="15.75" thickBot="1" x14ac:dyDescent="0.3">
      <c r="A25" s="24" t="s">
        <v>47</v>
      </c>
      <c r="B25" s="25"/>
      <c r="C25" s="12" t="s">
        <v>54</v>
      </c>
      <c r="D25" s="20">
        <v>0</v>
      </c>
      <c r="E25" s="20">
        <v>0</v>
      </c>
      <c r="F25" s="20">
        <v>0</v>
      </c>
      <c r="G25" s="20">
        <v>0</v>
      </c>
      <c r="H25" s="20">
        <f t="shared" si="8"/>
        <v>0</v>
      </c>
      <c r="I25" s="20">
        <f t="shared" si="6"/>
        <v>0</v>
      </c>
      <c r="J25" s="20">
        <v>0</v>
      </c>
      <c r="K25" s="20">
        <v>0</v>
      </c>
      <c r="L25" s="20">
        <v>0</v>
      </c>
      <c r="M25" s="20">
        <f t="shared" si="5"/>
        <v>0</v>
      </c>
      <c r="N25" s="20">
        <v>0</v>
      </c>
      <c r="O25" s="21">
        <f t="shared" si="3"/>
        <v>0</v>
      </c>
    </row>
    <row r="29" spans="1:15" x14ac:dyDescent="0.25">
      <c r="H29" s="14"/>
      <c r="I29" s="14"/>
    </row>
  </sheetData>
  <mergeCells count="25">
    <mergeCell ref="A1:N1"/>
    <mergeCell ref="A2:N2"/>
    <mergeCell ref="A20:B20"/>
    <mergeCell ref="A21:B21"/>
    <mergeCell ref="A22:B22"/>
    <mergeCell ref="A3:B3"/>
    <mergeCell ref="A4:B4"/>
    <mergeCell ref="A5:B5"/>
    <mergeCell ref="A6:B6"/>
    <mergeCell ref="A15:B15"/>
    <mergeCell ref="A7:B7"/>
    <mergeCell ref="A23:B23"/>
    <mergeCell ref="A25:B25"/>
    <mergeCell ref="A8:B8"/>
    <mergeCell ref="A12:B12"/>
    <mergeCell ref="A14:B14"/>
    <mergeCell ref="A16:B16"/>
    <mergeCell ref="A17:B17"/>
    <mergeCell ref="A19:B19"/>
    <mergeCell ref="A9:B9"/>
    <mergeCell ref="A10:B10"/>
    <mergeCell ref="A18:B18"/>
    <mergeCell ref="A11:B11"/>
    <mergeCell ref="A13:B13"/>
    <mergeCell ref="A24:B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2023 году</vt:lpstr>
      <vt:lpstr>в 2022-2023 гг</vt:lpstr>
      <vt:lpstr>в разрезе источников</vt:lpstr>
      <vt:lpstr>'в 2023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2023-04-07T10:09:49Z</dcterms:modified>
</cp:coreProperties>
</file>