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" yWindow="-30" windowWidth="13830" windowHeight="12135" activeTab="2"/>
  </bookViews>
  <sheets>
    <sheet name="в 2023 году" sheetId="1" r:id="rId1"/>
    <sheet name="в 2022-2023 гг" sheetId="2" r:id="rId2"/>
    <sheet name="в разрезе источников" sheetId="3" r:id="rId3"/>
  </sheets>
  <definedNames>
    <definedName name="_xlnm.Print_Area" localSheetId="0">'в 2023 году'!$A$1:$I$14</definedName>
    <definedName name="_xlnm.Print_Area" localSheetId="2">'в разрезе источников'!$A$1:$O$25</definedName>
  </definedNames>
  <calcPr calcId="144525"/>
</workbook>
</file>

<file path=xl/calcChain.xml><?xml version="1.0" encoding="utf-8"?>
<calcChain xmlns="http://schemas.openxmlformats.org/spreadsheetml/2006/main">
  <c r="L23" i="3" l="1"/>
  <c r="L22" i="3"/>
  <c r="L20" i="3"/>
  <c r="L19" i="3"/>
  <c r="L18" i="3"/>
  <c r="L17" i="3"/>
  <c r="L16" i="3"/>
  <c r="L14" i="3"/>
  <c r="L13" i="3"/>
  <c r="L12" i="3"/>
  <c r="L11" i="3"/>
  <c r="L10" i="3"/>
  <c r="L8" i="3"/>
  <c r="L6" i="3"/>
  <c r="L5" i="3"/>
  <c r="I24" i="3"/>
  <c r="I23" i="3"/>
  <c r="I22" i="3"/>
  <c r="I21" i="3"/>
  <c r="I20" i="3"/>
  <c r="I19" i="3"/>
  <c r="I18" i="3"/>
  <c r="I17" i="3"/>
  <c r="I16" i="3"/>
  <c r="I14" i="3"/>
  <c r="I13" i="3"/>
  <c r="I11" i="3"/>
  <c r="I10" i="3"/>
  <c r="I8" i="3"/>
  <c r="I7" i="3"/>
  <c r="I6" i="3"/>
  <c r="I5" i="3"/>
  <c r="H24" i="3"/>
  <c r="H23" i="3"/>
  <c r="H22" i="3"/>
  <c r="H21" i="3"/>
  <c r="H20" i="3"/>
  <c r="H19" i="3"/>
  <c r="H18" i="3"/>
  <c r="H17" i="3"/>
  <c r="H16" i="3"/>
  <c r="H14" i="3"/>
  <c r="H13" i="3"/>
  <c r="H11" i="3"/>
  <c r="H10" i="3"/>
  <c r="H9" i="3"/>
  <c r="H8" i="3"/>
  <c r="H7" i="3"/>
  <c r="H6" i="3"/>
  <c r="H5" i="3"/>
  <c r="O7" i="3" l="1"/>
  <c r="M7" i="3"/>
  <c r="M24" i="3"/>
  <c r="O24" i="3"/>
  <c r="K7" i="3" l="1"/>
  <c r="K24" i="3"/>
  <c r="I9" i="3"/>
  <c r="I12" i="3"/>
  <c r="I15" i="3"/>
  <c r="I25" i="3"/>
  <c r="H12" i="3"/>
  <c r="H15" i="3"/>
  <c r="H25" i="3"/>
  <c r="E4" i="3"/>
  <c r="D4" i="3"/>
  <c r="D15" i="2" l="1"/>
  <c r="D14" i="2" l="1"/>
  <c r="D13" i="2" l="1"/>
  <c r="I4" i="3" l="1"/>
  <c r="D12" i="2"/>
  <c r="D11" i="2" l="1"/>
  <c r="M5" i="3" l="1"/>
  <c r="D10" i="2" l="1"/>
  <c r="D9" i="2" l="1"/>
  <c r="D8" i="2" l="1"/>
  <c r="D7" i="2" l="1"/>
  <c r="D6" i="2" l="1"/>
  <c r="N13" i="3" l="1"/>
  <c r="N11" i="3"/>
  <c r="D5" i="2" l="1"/>
  <c r="M8" i="3" l="1"/>
  <c r="D4" i="2" l="1"/>
  <c r="F15" i="3" l="1"/>
  <c r="F16" i="3"/>
  <c r="F18" i="3"/>
  <c r="J15" i="3"/>
  <c r="N22" i="3" l="1"/>
  <c r="K22" i="3"/>
  <c r="J16" i="3"/>
  <c r="J17" i="3" l="1"/>
  <c r="M6" i="3" l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5" i="3"/>
  <c r="F4" i="2" l="1"/>
  <c r="M4" i="3"/>
  <c r="L4" i="3" l="1"/>
  <c r="H4" i="3" l="1"/>
  <c r="O6" i="3" l="1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2" i="3"/>
  <c r="O23" i="3"/>
  <c r="O25" i="3"/>
  <c r="N6" i="3"/>
  <c r="N10" i="3"/>
  <c r="N12" i="3"/>
  <c r="N14" i="3"/>
  <c r="N16" i="3"/>
  <c r="N17" i="3"/>
  <c r="N18" i="3"/>
  <c r="N19" i="3"/>
  <c r="N20" i="3"/>
  <c r="N23" i="3"/>
  <c r="F6" i="3" l="1"/>
  <c r="F11" i="3"/>
  <c r="F13" i="3"/>
  <c r="F14" i="3"/>
  <c r="G4" i="3"/>
  <c r="D10" i="1" l="1"/>
  <c r="K13" i="3"/>
  <c r="J13" i="3"/>
  <c r="K11" i="3"/>
  <c r="K19" i="3"/>
  <c r="K20" i="3"/>
  <c r="K23" i="3"/>
  <c r="J18" i="3"/>
  <c r="F5" i="3"/>
  <c r="O5" i="3"/>
  <c r="E4" i="1"/>
  <c r="K10" i="3"/>
  <c r="C4" i="2"/>
  <c r="C5" i="2" s="1"/>
  <c r="C6" i="2" s="1"/>
  <c r="K9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7" i="3"/>
  <c r="K16" i="3"/>
  <c r="K14" i="3"/>
  <c r="J14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E10" i="2" s="1"/>
  <c r="G9" i="1"/>
  <c r="E9" i="2" s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H4" i="1"/>
  <c r="F5" i="2"/>
  <c r="F6" i="2"/>
  <c r="I4" i="1"/>
  <c r="G4" i="2"/>
  <c r="O21" i="3"/>
  <c r="O4" i="3" s="1"/>
  <c r="F4" i="3"/>
  <c r="E5" i="2" l="1"/>
  <c r="G5" i="2" s="1"/>
  <c r="I5" i="1"/>
  <c r="E6" i="2"/>
  <c r="G6" i="2" s="1"/>
  <c r="H5" i="1"/>
  <c r="G8" i="1"/>
  <c r="E8" i="2" s="1"/>
  <c r="E7" i="2"/>
  <c r="F7" i="1"/>
  <c r="H6" i="1"/>
  <c r="I6" i="1"/>
  <c r="C7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<sst xmlns="http://schemas.openxmlformats.org/spreadsheetml/2006/main" count="100" uniqueCount="86">
  <si>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</si>
  <si>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</si>
  <si>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</si>
  <si>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</si>
  <si>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</si>
  <si>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</si>
  <si>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</si>
  <si>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</si>
  <si>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</si>
  <si>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</si>
  <si>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</si>
  <si>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</si>
  <si>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</si>
  <si>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</si>
  <si>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</si>
  <si>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</si>
  <si>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</si>
  <si>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</si>
  <si>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</si>
  <si>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</si>
  <si>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</si>
  <si>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</si>
  <si>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</si>
  <si>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</si>
  <si>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</si>
  <si>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</si>
  <si>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</si>
  <si>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</si>
  <si>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</si>
  <si>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</si>
  <si>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</si>
  <si>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</si>
  <si>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</si>
  <si>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</si>
  <si>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</si>
  <si>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</si>
  <si>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</si>
  <si>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</si>
  <si>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</si>
  <si>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</si>
  <si>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</si>
  <si>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</si>
  <si>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</si>
  <si>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</si>
  <si>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</si>
  <si>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</si>
  <si>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</si>
  <si>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</si>
  <si>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</si>
  <si>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</si>
  <si>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</si>
  <si>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</si>
  <si>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</si>
  <si>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</si>
  <si>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</si>
  <si>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</si>
  <si>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</si>
  <si>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</si>
  <si>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</si>
  <si>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</si>
  <si>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</si>
  <si>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</si>
  <si>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</si>
  <si>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</si>
  <si>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</si>
  <si>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</si>
  <si>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</si>
  <si>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</si>
  <si>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</si>
  <si>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</si>
  <si>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</si>
  <si>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Нарастающим итогом 2022/Нарастающим итогом 2021, %</t>
  </si>
  <si>
    <t>Факт за аналогичный период прошлого года с начала года в условиях 2022 года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</si>
  <si>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</si>
  <si>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</si>
  <si>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</si>
  <si>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Факт за 2023 год</t>
  </si>
  <si>
    <t>Факт нарастающим за 2023 год</t>
  </si>
  <si>
    <t>Месяц 2023/Месяц 2022, %</t>
  </si>
  <si>
    <t>Нарастающим итогом 2023/Нарастающим итогом 2022, %</t>
  </si>
  <si>
    <t>Инициативные платежи</t>
  </si>
  <si>
    <t>601 1 17 15020 14 0000 150</t>
  </si>
  <si>
    <t>УСН</t>
  </si>
  <si>
    <t>182 1 05 00000 01 0000 110</t>
  </si>
  <si>
    <t>Анализ налоговых и неналоговых доходов бюджета Юсьвинского муниципального округа на 01.03.2023 (тыс.руб.)</t>
  </si>
  <si>
    <t>на 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</si>
</sst>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thin">
        <color indexed="6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SheetLayoutView="100" workbookViewId="0">
      <selection activeCell="C16" sqref="C16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3" t="s">
        <v>84</v>
      </c>
      <c r="B1" s="23"/>
      <c r="C1" s="23"/>
      <c r="D1" s="23"/>
      <c r="E1" s="23"/>
      <c r="F1" s="23"/>
      <c r="G1" s="23"/>
      <c r="H1" s="23"/>
      <c r="I1" s="23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3453.9279999999999</v>
      </c>
      <c r="C4" s="17">
        <v>4364.951</v>
      </c>
      <c r="D4" s="17">
        <f>SUM(C4/B4*100)</f>
        <v>126.37643286136829</v>
      </c>
      <c r="E4" s="17">
        <f>SUM(C4-B4)</f>
        <v>911.02300000000014</v>
      </c>
      <c r="F4" s="17">
        <f>SUM(B4)</f>
        <v>3453.9279999999999</v>
      </c>
      <c r="G4" s="17">
        <f>C4</f>
        <v>4364.951</v>
      </c>
      <c r="H4" s="17">
        <f>SUM(G4/F4*100)</f>
        <v>126.37643286136829</v>
      </c>
      <c r="I4" s="17">
        <f>SUM(G4-F4)</f>
        <v>911.02300000000014</v>
      </c>
    </row>
    <row r="5" spans="1:11" x14ac:dyDescent="0.25">
      <c r="A5" s="3" t="s">
        <v>10</v>
      </c>
      <c r="B5" s="17">
        <v>4731.3580000000002</v>
      </c>
      <c r="C5" s="17">
        <v>3052.4470000000001</v>
      </c>
      <c r="D5" s="17">
        <f t="shared" ref="D5:D15" si="0">SUM(C5/B5*100)</f>
        <v>64.515240656065345</v>
      </c>
      <c r="E5" s="17">
        <f t="shared" ref="E5:E15" si="1">SUM(C5-B5)</f>
        <v>-1678.9110000000001</v>
      </c>
      <c r="F5" s="17">
        <f>F4+B5</f>
        <v>8185.2860000000001</v>
      </c>
      <c r="G5" s="17">
        <f>G4+C5</f>
        <v>7417.3980000000001</v>
      </c>
      <c r="H5" s="17">
        <f t="shared" ref="H5:H15" si="2">SUM(G5/F5*100)</f>
        <v>90.618678443245599</v>
      </c>
      <c r="I5" s="17">
        <f t="shared" ref="I5:I15" si="3">SUM(G5-F5)</f>
        <v>-767.88799999999992</v>
      </c>
    </row>
    <row r="6" spans="1:11" hidden="1" x14ac:dyDescent="0.25">
      <c r="A6" s="3" t="s">
        <v>11</v>
      </c>
      <c r="B6" s="17"/>
      <c r="C6" s="17"/>
      <c r="D6" s="17" t="e">
        <f t="shared" si="0"/>
        <v>#DIV/0!</v>
      </c>
      <c r="E6" s="17">
        <f t="shared" si="1"/>
        <v>0</v>
      </c>
      <c r="F6" s="17">
        <f>F5+B6</f>
        <v>8185.2860000000001</v>
      </c>
      <c r="G6" s="17">
        <f>G5+C6</f>
        <v>7417.3980000000001</v>
      </c>
      <c r="H6" s="17">
        <f t="shared" si="2"/>
        <v>90.618678443245599</v>
      </c>
      <c r="I6" s="17">
        <f>SUM(G6-F6)</f>
        <v>-767.88799999999992</v>
      </c>
    </row>
    <row r="7" spans="1:11" hidden="1" x14ac:dyDescent="0.25">
      <c r="A7" s="3" t="s">
        <v>12</v>
      </c>
      <c r="B7" s="17"/>
      <c r="C7" s="17"/>
      <c r="D7" s="17" t="e">
        <f t="shared" si="0"/>
        <v>#DIV/0!</v>
      </c>
      <c r="E7" s="17">
        <f>SUM(C7-B7)</f>
        <v>0</v>
      </c>
      <c r="F7" s="17">
        <f t="shared" ref="F7:F14" si="4">F6+B7</f>
        <v>8185.2860000000001</v>
      </c>
      <c r="G7" s="17">
        <f>G6+C7</f>
        <v>7417.3980000000001</v>
      </c>
      <c r="H7" s="17">
        <f t="shared" si="2"/>
        <v>90.618678443245599</v>
      </c>
      <c r="I7" s="17">
        <f t="shared" si="3"/>
        <v>-767.88799999999992</v>
      </c>
    </row>
    <row r="8" spans="1:11" hidden="1" x14ac:dyDescent="0.25">
      <c r="A8" s="3" t="s">
        <v>13</v>
      </c>
      <c r="B8" s="17"/>
      <c r="C8" s="17"/>
      <c r="D8" s="17" t="e">
        <f t="shared" si="0"/>
        <v>#DIV/0!</v>
      </c>
      <c r="E8" s="17">
        <f t="shared" si="1"/>
        <v>0</v>
      </c>
      <c r="F8" s="17">
        <f t="shared" si="4"/>
        <v>8185.2860000000001</v>
      </c>
      <c r="G8" s="17">
        <f>G7+C8</f>
        <v>7417.3980000000001</v>
      </c>
      <c r="H8" s="17">
        <f t="shared" si="2"/>
        <v>90.618678443245599</v>
      </c>
      <c r="I8" s="17">
        <f t="shared" si="3"/>
        <v>-767.88799999999992</v>
      </c>
    </row>
    <row r="9" spans="1:11" hidden="1" x14ac:dyDescent="0.25">
      <c r="A9" s="3" t="s">
        <v>14</v>
      </c>
      <c r="B9" s="17"/>
      <c r="C9" s="17"/>
      <c r="D9" s="17" t="e">
        <f t="shared" si="0"/>
        <v>#DIV/0!</v>
      </c>
      <c r="E9" s="17">
        <f t="shared" si="1"/>
        <v>0</v>
      </c>
      <c r="F9" s="17">
        <f t="shared" si="4"/>
        <v>8185.2860000000001</v>
      </c>
      <c r="G9" s="17">
        <f>SUM(C4:C9)</f>
        <v>7417.3980000000001</v>
      </c>
      <c r="H9" s="17">
        <f t="shared" si="2"/>
        <v>90.618678443245599</v>
      </c>
      <c r="I9" s="17">
        <f>SUM(G9-F9)</f>
        <v>-767.88799999999992</v>
      </c>
    </row>
    <row r="10" spans="1:11" hidden="1" x14ac:dyDescent="0.25">
      <c r="A10" s="3" t="s">
        <v>15</v>
      </c>
      <c r="B10" s="17"/>
      <c r="C10" s="17"/>
      <c r="D10" s="17" t="e">
        <f>SUM(C10/B10*100)</f>
        <v>#DIV/0!</v>
      </c>
      <c r="E10" s="17">
        <f t="shared" si="1"/>
        <v>0</v>
      </c>
      <c r="F10" s="17">
        <f t="shared" si="4"/>
        <v>8185.2860000000001</v>
      </c>
      <c r="G10" s="17">
        <f>SUM(C4:C10)</f>
        <v>7417.3980000000001</v>
      </c>
      <c r="H10" s="17">
        <f>SUM(G10/F10*100)</f>
        <v>90.618678443245599</v>
      </c>
      <c r="I10" s="17">
        <f t="shared" si="3"/>
        <v>-767.88799999999992</v>
      </c>
    </row>
    <row r="11" spans="1:11" hidden="1" x14ac:dyDescent="0.25">
      <c r="A11" s="3" t="s">
        <v>16</v>
      </c>
      <c r="B11" s="17"/>
      <c r="C11" s="17"/>
      <c r="D11" s="17" t="e">
        <f t="shared" si="0"/>
        <v>#DIV/0!</v>
      </c>
      <c r="E11" s="17">
        <f t="shared" si="1"/>
        <v>0</v>
      </c>
      <c r="F11" s="17">
        <f t="shared" si="4"/>
        <v>8185.2860000000001</v>
      </c>
      <c r="G11" s="17">
        <f>SUM(C4:C11)</f>
        <v>7417.3980000000001</v>
      </c>
      <c r="H11" s="17">
        <f t="shared" si="2"/>
        <v>90.618678443245599</v>
      </c>
      <c r="I11" s="17">
        <f>SUM(G11-F11)</f>
        <v>-767.88799999999992</v>
      </c>
    </row>
    <row r="12" spans="1:11" hidden="1" x14ac:dyDescent="0.25">
      <c r="A12" s="3" t="s">
        <v>17</v>
      </c>
      <c r="B12" s="17"/>
      <c r="C12" s="17"/>
      <c r="D12" s="17" t="e">
        <f t="shared" si="0"/>
        <v>#DIV/0!</v>
      </c>
      <c r="E12" s="17">
        <f t="shared" si="1"/>
        <v>0</v>
      </c>
      <c r="F12" s="17">
        <f t="shared" si="4"/>
        <v>8185.2860000000001</v>
      </c>
      <c r="G12" s="17">
        <f>SUM(C4:C12)</f>
        <v>7417.3980000000001</v>
      </c>
      <c r="H12" s="17">
        <f t="shared" si="2"/>
        <v>90.618678443245599</v>
      </c>
      <c r="I12" s="17">
        <f>SUM(G12-F12)</f>
        <v>-767.88799999999992</v>
      </c>
    </row>
    <row r="13" spans="1:11" hidden="1" x14ac:dyDescent="0.25">
      <c r="A13" s="3" t="s">
        <v>18</v>
      </c>
      <c r="B13" s="17"/>
      <c r="C13" s="17"/>
      <c r="D13" s="17" t="e">
        <f t="shared" si="0"/>
        <v>#DIV/0!</v>
      </c>
      <c r="E13" s="17">
        <f t="shared" si="1"/>
        <v>0</v>
      </c>
      <c r="F13" s="17">
        <f t="shared" si="4"/>
        <v>8185.2860000000001</v>
      </c>
      <c r="G13" s="17">
        <f>SUM(C4:C13)</f>
        <v>7417.3980000000001</v>
      </c>
      <c r="H13" s="17">
        <f t="shared" si="2"/>
        <v>90.618678443245599</v>
      </c>
      <c r="I13" s="17">
        <f>SUM(G13-F13)</f>
        <v>-767.88799999999992</v>
      </c>
    </row>
    <row r="14" spans="1:11" hidden="1" x14ac:dyDescent="0.25">
      <c r="A14" s="3" t="s">
        <v>19</v>
      </c>
      <c r="B14" s="17"/>
      <c r="C14" s="17"/>
      <c r="D14" s="17" t="e">
        <f t="shared" si="0"/>
        <v>#DIV/0!</v>
      </c>
      <c r="E14" s="17">
        <f t="shared" si="1"/>
        <v>0</v>
      </c>
      <c r="F14" s="17">
        <f t="shared" si="4"/>
        <v>8185.2860000000001</v>
      </c>
      <c r="G14" s="17">
        <f>SUM(C4:C14)</f>
        <v>7417.3980000000001</v>
      </c>
      <c r="H14" s="17">
        <f t="shared" si="2"/>
        <v>90.618678443245599</v>
      </c>
      <c r="I14" s="17">
        <f t="shared" si="3"/>
        <v>-767.88799999999992</v>
      </c>
    </row>
    <row r="15" spans="1:11" hidden="1" x14ac:dyDescent="0.25">
      <c r="A15" s="3" t="s">
        <v>20</v>
      </c>
      <c r="B15" s="17"/>
      <c r="C15" s="17"/>
      <c r="D15" s="17" t="e">
        <f t="shared" si="0"/>
        <v>#DIV/0!</v>
      </c>
      <c r="E15" s="17">
        <f t="shared" si="1"/>
        <v>0</v>
      </c>
      <c r="F15" s="17">
        <f>F14+B15</f>
        <v>8185.2860000000001</v>
      </c>
      <c r="G15" s="17">
        <f>SUM(C4:C15)</f>
        <v>7417.3980000000001</v>
      </c>
      <c r="H15" s="17">
        <f t="shared" si="2"/>
        <v>90.618678443245599</v>
      </c>
      <c r="I15" s="17">
        <f t="shared" si="3"/>
        <v>-767.88799999999992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B5" sqref="B5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3" t="s">
        <v>75</v>
      </c>
      <c r="B1" s="23"/>
      <c r="C1" s="23"/>
      <c r="D1" s="23"/>
      <c r="E1" s="23"/>
      <c r="F1" s="23"/>
      <c r="G1" s="23"/>
    </row>
    <row r="3" spans="1:9" ht="105" x14ac:dyDescent="0.25">
      <c r="A3" s="4" t="s">
        <v>0</v>
      </c>
      <c r="B3" s="4" t="s">
        <v>69</v>
      </c>
      <c r="C3" s="4" t="s">
        <v>70</v>
      </c>
      <c r="D3" s="4" t="s">
        <v>76</v>
      </c>
      <c r="E3" s="4" t="s">
        <v>77</v>
      </c>
      <c r="F3" s="4" t="s">
        <v>78</v>
      </c>
      <c r="G3" s="4" t="s">
        <v>79</v>
      </c>
      <c r="H3" s="2"/>
      <c r="I3" s="2"/>
    </row>
    <row r="4" spans="1:9" x14ac:dyDescent="0.25">
      <c r="A4" s="3" t="s">
        <v>9</v>
      </c>
      <c r="B4" s="17">
        <v>3761.259</v>
      </c>
      <c r="C4" s="17">
        <f>B4</f>
        <v>3761.259</v>
      </c>
      <c r="D4" s="17">
        <f>'в 2023 году'!C4</f>
        <v>4364.951</v>
      </c>
      <c r="E4" s="17">
        <f>'в 2023 году'!G4</f>
        <v>4364.951</v>
      </c>
      <c r="F4" s="17">
        <f>SUM(D4/B4*100)</f>
        <v>116.05026402063775</v>
      </c>
      <c r="G4" s="17">
        <f>SUM(E4/C4*100)</f>
        <v>116.05026402063775</v>
      </c>
    </row>
    <row r="5" spans="1:9" x14ac:dyDescent="0.25">
      <c r="A5" s="3" t="s">
        <v>10</v>
      </c>
      <c r="B5" s="17">
        <v>8002.8280000000004</v>
      </c>
      <c r="C5" s="17">
        <f>C4+B5</f>
        <v>11764.087</v>
      </c>
      <c r="D5" s="17">
        <f>'в 2023 году'!C5</f>
        <v>3052.4470000000001</v>
      </c>
      <c r="E5" s="17">
        <f>'в 2023 году'!G5</f>
        <v>7417.3980000000001</v>
      </c>
      <c r="F5" s="17">
        <f t="shared" ref="F5:F15" si="0">SUM(D5/B5*100)</f>
        <v>38.142104266141921</v>
      </c>
      <c r="G5" s="17">
        <f>SUM(E5/C5*100)</f>
        <v>63.051199808365922</v>
      </c>
    </row>
    <row r="6" spans="1:9" hidden="1" x14ac:dyDescent="0.25">
      <c r="A6" s="3" t="s">
        <v>11</v>
      </c>
      <c r="B6" s="17">
        <v>13102.352999999999</v>
      </c>
      <c r="C6" s="17">
        <f>C5+B6</f>
        <v>24866.44</v>
      </c>
      <c r="D6" s="17">
        <f>'в 2023 году'!C6</f>
        <v>0</v>
      </c>
      <c r="E6" s="17">
        <f>'в 2023 году'!G6</f>
        <v>7417.3980000000001</v>
      </c>
      <c r="F6" s="17">
        <f t="shared" si="0"/>
        <v>0</v>
      </c>
      <c r="G6" s="17">
        <f t="shared" ref="G6:G15" si="1">SUM(E6/C6*100)</f>
        <v>29.828950183460119</v>
      </c>
    </row>
    <row r="7" spans="1:9" hidden="1" x14ac:dyDescent="0.25">
      <c r="A7" s="3" t="s">
        <v>12</v>
      </c>
      <c r="B7" s="17">
        <v>8175.9459999999999</v>
      </c>
      <c r="C7" s="17">
        <f t="shared" ref="C7:C15" si="2">C6+B7</f>
        <v>33042.385999999999</v>
      </c>
      <c r="D7" s="17">
        <f>'в 2023 году'!C7</f>
        <v>0</v>
      </c>
      <c r="E7" s="17">
        <f>'в 2023 году'!G7</f>
        <v>7417.3980000000001</v>
      </c>
      <c r="F7" s="17">
        <f t="shared" si="0"/>
        <v>0</v>
      </c>
      <c r="G7" s="17">
        <f t="shared" si="1"/>
        <v>22.448130713078651</v>
      </c>
    </row>
    <row r="8" spans="1:9" hidden="1" x14ac:dyDescent="0.25">
      <c r="A8" s="3" t="s">
        <v>13</v>
      </c>
      <c r="B8" s="17">
        <v>8683.6880000000001</v>
      </c>
      <c r="C8" s="17">
        <f t="shared" si="2"/>
        <v>41726.074000000001</v>
      </c>
      <c r="D8" s="17">
        <f>'в 2023 году'!C8</f>
        <v>0</v>
      </c>
      <c r="E8" s="17">
        <f>'в 2023 году'!G8</f>
        <v>7417.3980000000001</v>
      </c>
      <c r="F8" s="17">
        <f t="shared" si="0"/>
        <v>0</v>
      </c>
      <c r="G8" s="17">
        <f t="shared" si="1"/>
        <v>17.776410021225576</v>
      </c>
    </row>
    <row r="9" spans="1:9" hidden="1" x14ac:dyDescent="0.25">
      <c r="A9" s="3" t="s">
        <v>14</v>
      </c>
      <c r="B9" s="17">
        <v>7932.9660000000003</v>
      </c>
      <c r="C9" s="17">
        <f t="shared" si="2"/>
        <v>49659.040000000001</v>
      </c>
      <c r="D9" s="17">
        <f>'в 2023 году'!C9</f>
        <v>0</v>
      </c>
      <c r="E9" s="17">
        <f>'в 2023 году'!G9</f>
        <v>7417.3980000000001</v>
      </c>
      <c r="F9" s="17">
        <f t="shared" si="0"/>
        <v>0</v>
      </c>
      <c r="G9" s="17">
        <f t="shared" si="1"/>
        <v>14.936652017437307</v>
      </c>
    </row>
    <row r="10" spans="1:9" hidden="1" x14ac:dyDescent="0.25">
      <c r="A10" s="3" t="s">
        <v>15</v>
      </c>
      <c r="B10" s="17">
        <v>8494.3619999999992</v>
      </c>
      <c r="C10" s="17">
        <f t="shared" si="2"/>
        <v>58153.402000000002</v>
      </c>
      <c r="D10" s="17">
        <f>'в 2023 году'!C10</f>
        <v>0</v>
      </c>
      <c r="E10" s="17">
        <f>'в 2023 году'!G10</f>
        <v>7417.3980000000001</v>
      </c>
      <c r="F10" s="17">
        <f t="shared" si="0"/>
        <v>0</v>
      </c>
      <c r="G10" s="17">
        <f t="shared" si="1"/>
        <v>12.754882336892345</v>
      </c>
    </row>
    <row r="11" spans="1:9" hidden="1" x14ac:dyDescent="0.25">
      <c r="A11" s="3" t="s">
        <v>16</v>
      </c>
      <c r="B11" s="17">
        <v>6909.2870000000003</v>
      </c>
      <c r="C11" s="17">
        <f t="shared" si="2"/>
        <v>65062.688999999998</v>
      </c>
      <c r="D11" s="17">
        <f>'в 2023 году'!C11</f>
        <v>0</v>
      </c>
      <c r="E11" s="17">
        <f>'в 2023 году'!G11</f>
        <v>7417.3980000000001</v>
      </c>
      <c r="F11" s="17">
        <f t="shared" si="0"/>
        <v>0</v>
      </c>
      <c r="G11" s="17">
        <f t="shared" si="1"/>
        <v>11.40038647956896</v>
      </c>
    </row>
    <row r="12" spans="1:9" hidden="1" x14ac:dyDescent="0.25">
      <c r="A12" s="3" t="s">
        <v>17</v>
      </c>
      <c r="B12" s="17">
        <v>7547.5950000000003</v>
      </c>
      <c r="C12" s="17">
        <f t="shared" si="2"/>
        <v>72610.284</v>
      </c>
      <c r="D12" s="17">
        <f>'в 2023 году'!C12</f>
        <v>0</v>
      </c>
      <c r="E12" s="17">
        <f>'в 2023 году'!G12</f>
        <v>7417.3980000000001</v>
      </c>
      <c r="F12" s="17">
        <f t="shared" si="0"/>
        <v>0</v>
      </c>
      <c r="G12" s="17">
        <f t="shared" si="1"/>
        <v>10.215354618362325</v>
      </c>
    </row>
    <row r="13" spans="1:9" hidden="1" x14ac:dyDescent="0.25">
      <c r="A13" s="3" t="s">
        <v>18</v>
      </c>
      <c r="B13" s="17">
        <v>12796.932000000001</v>
      </c>
      <c r="C13" s="17">
        <f t="shared" si="2"/>
        <v>85407.216</v>
      </c>
      <c r="D13" s="17">
        <f>'в 2023 году'!C13</f>
        <v>0</v>
      </c>
      <c r="E13" s="17">
        <f>'в 2023 году'!G13</f>
        <v>7417.3980000000001</v>
      </c>
      <c r="F13" s="17">
        <f t="shared" si="0"/>
        <v>0</v>
      </c>
      <c r="G13" s="17">
        <f t="shared" si="1"/>
        <v>8.68474392140355</v>
      </c>
    </row>
    <row r="14" spans="1:9" hidden="1" x14ac:dyDescent="0.25">
      <c r="A14" s="3" t="s">
        <v>19</v>
      </c>
      <c r="B14" s="17">
        <v>14320.427</v>
      </c>
      <c r="C14" s="17">
        <f t="shared" si="2"/>
        <v>99727.642999999996</v>
      </c>
      <c r="D14" s="17">
        <f>'в 2023 году'!C14</f>
        <v>0</v>
      </c>
      <c r="E14" s="17">
        <f>'в 2023 году'!G14</f>
        <v>7417.3980000000001</v>
      </c>
      <c r="F14" s="17">
        <f t="shared" si="0"/>
        <v>0</v>
      </c>
      <c r="G14" s="17">
        <f t="shared" si="1"/>
        <v>7.4376549739574225</v>
      </c>
    </row>
    <row r="15" spans="1:9" hidden="1" x14ac:dyDescent="0.25">
      <c r="A15" s="3" t="s">
        <v>20</v>
      </c>
      <c r="B15" s="17">
        <v>16895.419000000002</v>
      </c>
      <c r="C15" s="17">
        <f t="shared" si="2"/>
        <v>116623.06200000001</v>
      </c>
      <c r="D15" s="17">
        <f>'в 2023 году'!C15</f>
        <v>0</v>
      </c>
      <c r="E15" s="17">
        <f>'в 2023 году'!G15</f>
        <v>7417.3980000000001</v>
      </c>
      <c r="F15" s="17">
        <f t="shared" si="0"/>
        <v>0</v>
      </c>
      <c r="G15" s="17">
        <f t="shared" si="1"/>
        <v>6.3601468464273392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4" t="s">
        <v>74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5" ht="15.75" thickBot="1" x14ac:dyDescent="0.3">
      <c r="A2" s="25" t="s">
        <v>85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84.75" thickBot="1" x14ac:dyDescent="0.3">
      <c r="A3" s="28" t="s">
        <v>21</v>
      </c>
      <c r="B3" s="29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72</v>
      </c>
      <c r="N3" s="8" t="s">
        <v>71</v>
      </c>
      <c r="O3" s="16" t="s">
        <v>73</v>
      </c>
    </row>
    <row r="4" spans="1:15" ht="24" customHeight="1" thickBot="1" x14ac:dyDescent="0.3">
      <c r="A4" s="30" t="s">
        <v>28</v>
      </c>
      <c r="B4" s="31"/>
      <c r="C4" s="11"/>
      <c r="D4" s="18">
        <f>SUM(D5:D25)</f>
        <v>4731.3580000000002</v>
      </c>
      <c r="E4" s="18">
        <f>SUM(E5:E25)</f>
        <v>3052.4430000000002</v>
      </c>
      <c r="F4" s="18">
        <f>SUM(E4/D4*100)</f>
        <v>64.515156113741554</v>
      </c>
      <c r="G4" s="18">
        <f>SUM(G5:G25)</f>
        <v>97401.64499999999</v>
      </c>
      <c r="H4" s="18">
        <f>SUM(H5:H25)</f>
        <v>8185.2860000000001</v>
      </c>
      <c r="I4" s="18">
        <f>SUM(I5:I25)</f>
        <v>7417.3909999999978</v>
      </c>
      <c r="J4" s="18">
        <f>SUM(I4/H4*100)</f>
        <v>90.618592923936902</v>
      </c>
      <c r="K4" s="18">
        <f>SUM(I4/G4*100)</f>
        <v>7.6152625553705988</v>
      </c>
      <c r="L4" s="18">
        <f>SUM(L5:L25)</f>
        <v>11764.120999999999</v>
      </c>
      <c r="M4" s="18">
        <f>SUM(M5:M25)</f>
        <v>11764.120999999999</v>
      </c>
      <c r="N4" s="18">
        <f t="shared" ref="N4:N11" si="0">I4/L4*100</f>
        <v>63.050958078380845</v>
      </c>
      <c r="O4" s="19">
        <f>SUM(O5:O25)</f>
        <v>-4346.7299999999996</v>
      </c>
    </row>
    <row r="5" spans="1:15" ht="25.5" customHeight="1" thickBot="1" x14ac:dyDescent="0.3">
      <c r="A5" s="26" t="s">
        <v>29</v>
      </c>
      <c r="B5" s="27"/>
      <c r="C5" s="12" t="s">
        <v>55</v>
      </c>
      <c r="D5" s="20">
        <v>1603.2</v>
      </c>
      <c r="E5" s="20">
        <v>-1756.575</v>
      </c>
      <c r="F5" s="20">
        <f>SUM(E5/D5*100)</f>
        <v>-109.56680389221556</v>
      </c>
      <c r="G5" s="20">
        <v>39582</v>
      </c>
      <c r="H5" s="20">
        <f>D5+1356.6</f>
        <v>2959.8</v>
      </c>
      <c r="I5" s="20">
        <f>E5+3015.863</f>
        <v>1259.2879999999998</v>
      </c>
      <c r="J5" s="20">
        <f t="shared" ref="J5:J18" si="1">SUM(I5/H5*100)</f>
        <v>42.54638826947766</v>
      </c>
      <c r="K5" s="20">
        <f t="shared" ref="K5:K24" si="2">SUM(I5/G5*100)</f>
        <v>3.1814663230761453</v>
      </c>
      <c r="L5" s="20">
        <f>1026.4+2854.972</f>
        <v>3881.3720000000003</v>
      </c>
      <c r="M5" s="20">
        <f>L5</f>
        <v>3881.3720000000003</v>
      </c>
      <c r="N5" s="20">
        <f t="shared" si="0"/>
        <v>32.444403679935853</v>
      </c>
      <c r="O5" s="21">
        <f t="shared" ref="O5:O25" si="3">I5-M5</f>
        <v>-2622.0840000000007</v>
      </c>
    </row>
    <row r="6" spans="1:15" ht="20.25" customHeight="1" thickBot="1" x14ac:dyDescent="0.3">
      <c r="A6" s="26" t="s">
        <v>30</v>
      </c>
      <c r="B6" s="27"/>
      <c r="C6" s="12" t="s">
        <v>56</v>
      </c>
      <c r="D6" s="20">
        <v>580.79999999999995</v>
      </c>
      <c r="E6" s="20">
        <v>1865.0360000000001</v>
      </c>
      <c r="F6" s="20">
        <f t="shared" ref="F6:F18" si="4">SUM(E6/D6*100)</f>
        <v>321.11501377410468</v>
      </c>
      <c r="G6" s="20">
        <v>22159.200000000001</v>
      </c>
      <c r="H6" s="20">
        <f>D6+1850.3</f>
        <v>2431.1</v>
      </c>
      <c r="I6" s="20">
        <f>E6+952.261</f>
        <v>2817.297</v>
      </c>
      <c r="J6" s="20">
        <f>SUM(I6/H6*100)</f>
        <v>115.88568960552837</v>
      </c>
      <c r="K6" s="20">
        <f t="shared" si="2"/>
        <v>12.713893100833964</v>
      </c>
      <c r="L6" s="20">
        <f>1970.7+0</f>
        <v>1970.7</v>
      </c>
      <c r="M6" s="20">
        <f t="shared" ref="M6:M25" si="5">L6</f>
        <v>1970.7</v>
      </c>
      <c r="N6" s="20">
        <f t="shared" si="0"/>
        <v>142.9592023138986</v>
      </c>
      <c r="O6" s="21">
        <f t="shared" si="3"/>
        <v>846.59699999999998</v>
      </c>
    </row>
    <row r="7" spans="1:15" ht="20.25" customHeight="1" thickBot="1" x14ac:dyDescent="0.3">
      <c r="A7" s="26" t="s">
        <v>82</v>
      </c>
      <c r="B7" s="32"/>
      <c r="C7" s="22" t="s">
        <v>83</v>
      </c>
      <c r="D7" s="20">
        <v>0</v>
      </c>
      <c r="E7" s="20">
        <v>6.29</v>
      </c>
      <c r="F7" s="20">
        <v>0</v>
      </c>
      <c r="G7" s="20">
        <v>1309.2</v>
      </c>
      <c r="H7" s="20">
        <f>D7+0</f>
        <v>0</v>
      </c>
      <c r="I7" s="20">
        <f>E7+18.415</f>
        <v>24.704999999999998</v>
      </c>
      <c r="J7" s="20">
        <v>0</v>
      </c>
      <c r="K7" s="20">
        <f t="shared" si="2"/>
        <v>1.8870302474793765</v>
      </c>
      <c r="L7" s="20">
        <v>0</v>
      </c>
      <c r="M7" s="20">
        <f t="shared" si="5"/>
        <v>0</v>
      </c>
      <c r="N7" s="20">
        <v>0</v>
      </c>
      <c r="O7" s="21">
        <f t="shared" si="3"/>
        <v>24.704999999999998</v>
      </c>
    </row>
    <row r="8" spans="1:15" ht="21" customHeight="1" thickBot="1" x14ac:dyDescent="0.3">
      <c r="A8" s="26" t="s">
        <v>31</v>
      </c>
      <c r="B8" s="27"/>
      <c r="C8" s="12" t="s">
        <v>57</v>
      </c>
      <c r="D8" s="20">
        <v>0</v>
      </c>
      <c r="E8" s="20">
        <v>-0.48199999999999998</v>
      </c>
      <c r="F8" s="20">
        <v>0</v>
      </c>
      <c r="G8" s="20">
        <v>0</v>
      </c>
      <c r="H8" s="20">
        <f>D8+0</f>
        <v>0</v>
      </c>
      <c r="I8" s="20">
        <f>E8-33.121</f>
        <v>-33.603000000000002</v>
      </c>
      <c r="J8" s="20">
        <v>0</v>
      </c>
      <c r="K8" s="20">
        <v>0</v>
      </c>
      <c r="L8" s="20">
        <f>0+13.97</f>
        <v>13.97</v>
      </c>
      <c r="M8" s="20">
        <f>L8</f>
        <v>13.97</v>
      </c>
      <c r="N8" s="20">
        <v>0</v>
      </c>
      <c r="O8" s="21">
        <f t="shared" si="3"/>
        <v>-47.573</v>
      </c>
    </row>
    <row r="9" spans="1:15" ht="24.75" customHeight="1" thickBot="1" x14ac:dyDescent="0.3">
      <c r="A9" s="26" t="s">
        <v>43</v>
      </c>
      <c r="B9" s="27"/>
      <c r="C9" s="12" t="s">
        <v>58</v>
      </c>
      <c r="D9" s="20">
        <v>0</v>
      </c>
      <c r="E9" s="20">
        <v>0</v>
      </c>
      <c r="F9" s="20">
        <v>0</v>
      </c>
      <c r="G9" s="20">
        <v>2154</v>
      </c>
      <c r="H9" s="20">
        <f>D9+0</f>
        <v>0</v>
      </c>
      <c r="I9" s="20">
        <f t="shared" ref="I9:I25" si="6">E9</f>
        <v>0</v>
      </c>
      <c r="J9" s="20">
        <v>0</v>
      </c>
      <c r="K9" s="20">
        <f t="shared" si="2"/>
        <v>0</v>
      </c>
      <c r="L9" s="20">
        <v>0</v>
      </c>
      <c r="M9" s="20">
        <f t="shared" si="5"/>
        <v>0</v>
      </c>
      <c r="N9" s="20">
        <v>0</v>
      </c>
      <c r="O9" s="21">
        <f t="shared" si="3"/>
        <v>0</v>
      </c>
    </row>
    <row r="10" spans="1:15" ht="22.5" customHeight="1" thickBot="1" x14ac:dyDescent="0.3">
      <c r="A10" s="26" t="s">
        <v>44</v>
      </c>
      <c r="B10" s="27"/>
      <c r="C10" s="12" t="s">
        <v>59</v>
      </c>
      <c r="D10" s="20">
        <v>0</v>
      </c>
      <c r="E10" s="20">
        <v>-87.058000000000007</v>
      </c>
      <c r="F10" s="20">
        <v>0</v>
      </c>
      <c r="G10" s="20">
        <v>573</v>
      </c>
      <c r="H10" s="20">
        <f>D10+0</f>
        <v>0</v>
      </c>
      <c r="I10" s="20">
        <f>E10-60.811</f>
        <v>-147.869</v>
      </c>
      <c r="J10" s="20">
        <v>0</v>
      </c>
      <c r="K10" s="20">
        <f t="shared" ref="K10:K11" si="7">SUM(I10/G10*100)</f>
        <v>-25.80610820244328</v>
      </c>
      <c r="L10" s="20">
        <f>39.8+22.708</f>
        <v>62.507999999999996</v>
      </c>
      <c r="M10" s="20">
        <f t="shared" si="5"/>
        <v>62.507999999999996</v>
      </c>
      <c r="N10" s="20">
        <f t="shared" si="0"/>
        <v>-236.56012030460101</v>
      </c>
      <c r="O10" s="21">
        <f t="shared" si="3"/>
        <v>-210.37700000000001</v>
      </c>
    </row>
    <row r="11" spans="1:15" ht="22.5" customHeight="1" thickBot="1" x14ac:dyDescent="0.3">
      <c r="A11" s="26" t="s">
        <v>48</v>
      </c>
      <c r="B11" s="27"/>
      <c r="C11" s="12" t="s">
        <v>60</v>
      </c>
      <c r="D11" s="20">
        <v>29.2</v>
      </c>
      <c r="E11" s="20">
        <v>-52.258000000000003</v>
      </c>
      <c r="F11" s="20">
        <f t="shared" si="4"/>
        <v>-178.96575342465755</v>
      </c>
      <c r="G11" s="20">
        <v>1567</v>
      </c>
      <c r="H11" s="20">
        <f>D11+9.5</f>
        <v>38.700000000000003</v>
      </c>
      <c r="I11" s="20">
        <f>E11-20.345</f>
        <v>-72.603000000000009</v>
      </c>
      <c r="J11" s="20">
        <v>0</v>
      </c>
      <c r="K11" s="20">
        <f t="shared" si="7"/>
        <v>-4.6332482450542445</v>
      </c>
      <c r="L11" s="20">
        <f>24.7+30.27</f>
        <v>54.97</v>
      </c>
      <c r="M11" s="20">
        <f t="shared" si="5"/>
        <v>54.97</v>
      </c>
      <c r="N11" s="20">
        <f t="shared" si="0"/>
        <v>-132.07749681644538</v>
      </c>
      <c r="O11" s="21">
        <f t="shared" si="3"/>
        <v>-127.57300000000001</v>
      </c>
    </row>
    <row r="12" spans="1:15" ht="15.75" thickBot="1" x14ac:dyDescent="0.3">
      <c r="A12" s="26" t="s">
        <v>32</v>
      </c>
      <c r="B12" s="27"/>
      <c r="C12" s="12" t="s">
        <v>61</v>
      </c>
      <c r="D12" s="20">
        <v>0</v>
      </c>
      <c r="E12" s="20">
        <v>0</v>
      </c>
      <c r="F12" s="20">
        <v>0</v>
      </c>
      <c r="G12" s="20">
        <v>0</v>
      </c>
      <c r="H12" s="20">
        <f t="shared" ref="H12:H25" si="8">D12</f>
        <v>0</v>
      </c>
      <c r="I12" s="20">
        <f t="shared" si="6"/>
        <v>0</v>
      </c>
      <c r="J12" s="20">
        <v>0</v>
      </c>
      <c r="K12" s="20">
        <v>0</v>
      </c>
      <c r="L12" s="20">
        <f>303.3+518.123</f>
        <v>821.423</v>
      </c>
      <c r="M12" s="20">
        <f t="shared" si="5"/>
        <v>821.423</v>
      </c>
      <c r="N12" s="20">
        <f>I12/L12*100</f>
        <v>0</v>
      </c>
      <c r="O12" s="21">
        <f t="shared" si="3"/>
        <v>-821.423</v>
      </c>
    </row>
    <row r="13" spans="1:15" ht="15.75" thickBot="1" x14ac:dyDescent="0.3">
      <c r="A13" s="26" t="s">
        <v>49</v>
      </c>
      <c r="B13" s="27"/>
      <c r="C13" s="12" t="s">
        <v>62</v>
      </c>
      <c r="D13" s="20">
        <v>208.2</v>
      </c>
      <c r="E13" s="20">
        <v>-37.478999999999999</v>
      </c>
      <c r="F13" s="20">
        <f t="shared" si="4"/>
        <v>-18.001440922190202</v>
      </c>
      <c r="G13" s="20">
        <v>5328</v>
      </c>
      <c r="H13" s="20">
        <f>D13+9.9</f>
        <v>218.1</v>
      </c>
      <c r="I13" s="20">
        <f>E13+30.156</f>
        <v>-7.3230000000000004</v>
      </c>
      <c r="J13" s="20">
        <f t="shared" si="1"/>
        <v>-3.3576341127922973</v>
      </c>
      <c r="K13" s="20">
        <f t="shared" si="2"/>
        <v>-0.13744369369369369</v>
      </c>
      <c r="L13" s="20">
        <f>80.3+720.132</f>
        <v>800.4319999999999</v>
      </c>
      <c r="M13" s="20">
        <f t="shared" si="5"/>
        <v>800.4319999999999</v>
      </c>
      <c r="N13" s="20">
        <f>I13/L13*100</f>
        <v>-0.91488096427928922</v>
      </c>
      <c r="O13" s="21">
        <f t="shared" si="3"/>
        <v>-807.75499999999988</v>
      </c>
    </row>
    <row r="14" spans="1:15" ht="15.75" thickBot="1" x14ac:dyDescent="0.3">
      <c r="A14" s="26" t="s">
        <v>33</v>
      </c>
      <c r="B14" s="27"/>
      <c r="C14" s="12" t="s">
        <v>63</v>
      </c>
      <c r="D14" s="20">
        <v>114.55800000000001</v>
      </c>
      <c r="E14" s="20">
        <v>72.811999999999998</v>
      </c>
      <c r="F14" s="20">
        <f t="shared" si="4"/>
        <v>63.559070514499204</v>
      </c>
      <c r="G14" s="20">
        <v>1475.5</v>
      </c>
      <c r="H14" s="20">
        <f>D14+42.482</f>
        <v>157.04000000000002</v>
      </c>
      <c r="I14" s="20">
        <f>E14+49.647</f>
        <v>122.459</v>
      </c>
      <c r="J14" s="20">
        <f t="shared" si="1"/>
        <v>77.979495669893012</v>
      </c>
      <c r="K14" s="20">
        <f t="shared" si="2"/>
        <v>8.2994916977295823</v>
      </c>
      <c r="L14" s="20">
        <f>96.2+158.307</f>
        <v>254.50700000000001</v>
      </c>
      <c r="M14" s="20">
        <f t="shared" si="5"/>
        <v>254.50700000000001</v>
      </c>
      <c r="N14" s="20">
        <f>I14/L14*100</f>
        <v>48.116161834448562</v>
      </c>
      <c r="O14" s="21">
        <f t="shared" si="3"/>
        <v>-132.048</v>
      </c>
    </row>
    <row r="15" spans="1:15" ht="15.75" hidden="1" thickBot="1" x14ac:dyDescent="0.3">
      <c r="A15" s="26" t="s">
        <v>46</v>
      </c>
      <c r="B15" s="27"/>
      <c r="C15" s="12"/>
      <c r="D15" s="20">
        <v>0</v>
      </c>
      <c r="E15" s="20">
        <v>0</v>
      </c>
      <c r="F15" s="20" t="e">
        <f t="shared" si="4"/>
        <v>#DIV/0!</v>
      </c>
      <c r="G15" s="20">
        <v>0</v>
      </c>
      <c r="H15" s="20">
        <f t="shared" si="8"/>
        <v>0</v>
      </c>
      <c r="I15" s="20">
        <f t="shared" si="6"/>
        <v>0</v>
      </c>
      <c r="J15" s="20" t="e">
        <f t="shared" si="1"/>
        <v>#DIV/0!</v>
      </c>
      <c r="K15" s="20">
        <v>0</v>
      </c>
      <c r="L15" s="20">
        <v>0</v>
      </c>
      <c r="M15" s="20">
        <f t="shared" si="5"/>
        <v>0</v>
      </c>
      <c r="N15" s="20">
        <v>0</v>
      </c>
      <c r="O15" s="21">
        <f t="shared" si="3"/>
        <v>0</v>
      </c>
    </row>
    <row r="16" spans="1:15" ht="15.75" thickBot="1" x14ac:dyDescent="0.3">
      <c r="A16" s="26" t="s">
        <v>34</v>
      </c>
      <c r="B16" s="27"/>
      <c r="C16" s="12" t="s">
        <v>64</v>
      </c>
      <c r="D16" s="20">
        <v>75.5</v>
      </c>
      <c r="E16" s="20">
        <v>44.753</v>
      </c>
      <c r="F16" s="20">
        <f t="shared" si="4"/>
        <v>59.275496688741725</v>
      </c>
      <c r="G16" s="20">
        <v>4933</v>
      </c>
      <c r="H16" s="20">
        <f>D16+28.6</f>
        <v>104.1</v>
      </c>
      <c r="I16" s="20">
        <f>E16+41.36</f>
        <v>86.113</v>
      </c>
      <c r="J16" s="20">
        <f t="shared" si="1"/>
        <v>82.721421709894344</v>
      </c>
      <c r="K16" s="20">
        <f t="shared" si="2"/>
        <v>1.7456517332252179</v>
      </c>
      <c r="L16" s="20">
        <f>11.6+65.2</f>
        <v>76.8</v>
      </c>
      <c r="M16" s="20">
        <f t="shared" si="5"/>
        <v>76.8</v>
      </c>
      <c r="N16" s="20">
        <f t="shared" ref="N16:N22" si="9">I16/L16*100</f>
        <v>112.12630208333334</v>
      </c>
      <c r="O16" s="21">
        <f t="shared" si="3"/>
        <v>9.3130000000000024</v>
      </c>
    </row>
    <row r="17" spans="1:15" ht="15.75" thickBot="1" x14ac:dyDescent="0.3">
      <c r="A17" s="26" t="s">
        <v>35</v>
      </c>
      <c r="B17" s="27"/>
      <c r="C17" s="12" t="s">
        <v>51</v>
      </c>
      <c r="D17" s="20">
        <v>51.3</v>
      </c>
      <c r="E17" s="20">
        <v>47.274000000000001</v>
      </c>
      <c r="F17" s="20">
        <v>0</v>
      </c>
      <c r="G17" s="20">
        <v>541.79999999999995</v>
      </c>
      <c r="H17" s="20">
        <f>D17+17.4</f>
        <v>68.699999999999989</v>
      </c>
      <c r="I17" s="20">
        <f>E17+28.905</f>
        <v>76.179000000000002</v>
      </c>
      <c r="J17" s="20">
        <f t="shared" si="1"/>
        <v>110.8864628820961</v>
      </c>
      <c r="K17" s="20">
        <f t="shared" si="2"/>
        <v>14.060354374307865</v>
      </c>
      <c r="L17" s="20">
        <f>41.6+35.426</f>
        <v>77.02600000000001</v>
      </c>
      <c r="M17" s="20">
        <f t="shared" si="5"/>
        <v>77.02600000000001</v>
      </c>
      <c r="N17" s="20">
        <f t="shared" si="9"/>
        <v>98.900371303196309</v>
      </c>
      <c r="O17" s="21">
        <f t="shared" si="3"/>
        <v>-0.84700000000000841</v>
      </c>
    </row>
    <row r="18" spans="1:15" ht="24" customHeight="1" thickBot="1" x14ac:dyDescent="0.3">
      <c r="A18" s="26" t="s">
        <v>45</v>
      </c>
      <c r="B18" s="27"/>
      <c r="C18" s="12" t="s">
        <v>52</v>
      </c>
      <c r="D18" s="20">
        <v>54.4</v>
      </c>
      <c r="E18" s="20">
        <v>70.787999999999997</v>
      </c>
      <c r="F18" s="20">
        <f t="shared" si="4"/>
        <v>130.125</v>
      </c>
      <c r="G18" s="20">
        <v>586.5</v>
      </c>
      <c r="H18" s="20">
        <f>D18+16.6</f>
        <v>71</v>
      </c>
      <c r="I18" s="20">
        <f>E18+44.192</f>
        <v>114.97999999999999</v>
      </c>
      <c r="J18" s="20">
        <f t="shared" si="1"/>
        <v>161.94366197183098</v>
      </c>
      <c r="K18" s="20">
        <v>0</v>
      </c>
      <c r="L18" s="20">
        <f>23.2+38.875</f>
        <v>62.075000000000003</v>
      </c>
      <c r="M18" s="20">
        <f t="shared" si="5"/>
        <v>62.075000000000003</v>
      </c>
      <c r="N18" s="20">
        <f t="shared" si="9"/>
        <v>185.22754732178814</v>
      </c>
      <c r="O18" s="21">
        <f t="shared" si="3"/>
        <v>52.904999999999987</v>
      </c>
    </row>
    <row r="19" spans="1:15" ht="21.75" customHeight="1" thickBot="1" x14ac:dyDescent="0.3">
      <c r="A19" s="26" t="s">
        <v>36</v>
      </c>
      <c r="B19" s="27"/>
      <c r="C19" s="12" t="s">
        <v>65</v>
      </c>
      <c r="D19" s="20">
        <v>0</v>
      </c>
      <c r="E19" s="20">
        <v>99.403999999999996</v>
      </c>
      <c r="F19" s="20">
        <v>0</v>
      </c>
      <c r="G19" s="20">
        <v>159.4</v>
      </c>
      <c r="H19" s="20">
        <f>D19+0</f>
        <v>0</v>
      </c>
      <c r="I19" s="20">
        <f>E19+8.953</f>
        <v>108.357</v>
      </c>
      <c r="J19" s="20">
        <v>0</v>
      </c>
      <c r="K19" s="20">
        <f t="shared" si="2"/>
        <v>67.978042659974903</v>
      </c>
      <c r="L19" s="20">
        <f>0.7+104.902</f>
        <v>105.602</v>
      </c>
      <c r="M19" s="20">
        <f t="shared" si="5"/>
        <v>105.602</v>
      </c>
      <c r="N19" s="20">
        <f t="shared" si="9"/>
        <v>102.60885210507375</v>
      </c>
      <c r="O19" s="21">
        <f t="shared" si="3"/>
        <v>2.7549999999999955</v>
      </c>
    </row>
    <row r="20" spans="1:15" ht="24.75" customHeight="1" thickBot="1" x14ac:dyDescent="0.3">
      <c r="A20" s="26" t="s">
        <v>37</v>
      </c>
      <c r="B20" s="27"/>
      <c r="C20" s="12" t="s">
        <v>66</v>
      </c>
      <c r="D20" s="20">
        <v>1914.2</v>
      </c>
      <c r="E20" s="20">
        <v>2561.4549999999999</v>
      </c>
      <c r="F20" s="20">
        <v>0</v>
      </c>
      <c r="G20" s="20">
        <v>15690.7</v>
      </c>
      <c r="H20" s="20">
        <f>D20+0</f>
        <v>1914.2</v>
      </c>
      <c r="I20" s="20">
        <f>E20+15.544</f>
        <v>2576.9989999999998</v>
      </c>
      <c r="J20" s="20">
        <v>0</v>
      </c>
      <c r="K20" s="20">
        <f t="shared" si="2"/>
        <v>16.423735078740908</v>
      </c>
      <c r="L20" s="20">
        <f>50.2+3387.904</f>
        <v>3438.1039999999998</v>
      </c>
      <c r="M20" s="20">
        <f t="shared" si="5"/>
        <v>3438.1039999999998</v>
      </c>
      <c r="N20" s="20">
        <f t="shared" si="9"/>
        <v>74.954073524244762</v>
      </c>
      <c r="O20" s="21">
        <f t="shared" si="3"/>
        <v>-861.10500000000002</v>
      </c>
    </row>
    <row r="21" spans="1:15" ht="22.5" customHeight="1" thickBot="1" x14ac:dyDescent="0.3">
      <c r="A21" s="26" t="s">
        <v>38</v>
      </c>
      <c r="B21" s="27"/>
      <c r="C21" s="12" t="s">
        <v>67</v>
      </c>
      <c r="D21" s="20">
        <v>0</v>
      </c>
      <c r="E21" s="20">
        <v>0</v>
      </c>
      <c r="F21" s="20">
        <v>0</v>
      </c>
      <c r="G21" s="20">
        <v>0</v>
      </c>
      <c r="H21" s="20">
        <f>D21+0</f>
        <v>0</v>
      </c>
      <c r="I21" s="20">
        <f>E21+55.699</f>
        <v>55.698999999999998</v>
      </c>
      <c r="J21" s="20">
        <v>0</v>
      </c>
      <c r="K21" s="20">
        <v>0</v>
      </c>
      <c r="L21" s="20">
        <v>0</v>
      </c>
      <c r="M21" s="20">
        <f t="shared" si="5"/>
        <v>0</v>
      </c>
      <c r="N21" s="20">
        <v>0</v>
      </c>
      <c r="O21" s="21">
        <f t="shared" si="3"/>
        <v>55.698999999999998</v>
      </c>
    </row>
    <row r="22" spans="1:15" ht="15.75" thickBot="1" x14ac:dyDescent="0.3">
      <c r="A22" s="26" t="s">
        <v>39</v>
      </c>
      <c r="B22" s="27"/>
      <c r="C22" s="12" t="s">
        <v>53</v>
      </c>
      <c r="D22" s="20">
        <v>0</v>
      </c>
      <c r="E22" s="20">
        <v>55.201000000000001</v>
      </c>
      <c r="F22" s="20">
        <v>0</v>
      </c>
      <c r="G22" s="20">
        <v>262.60000000000002</v>
      </c>
      <c r="H22" s="20">
        <f>D22+0</f>
        <v>0</v>
      </c>
      <c r="I22" s="20">
        <f>E22+39.592</f>
        <v>94.793000000000006</v>
      </c>
      <c r="J22" s="20">
        <v>0</v>
      </c>
      <c r="K22" s="20">
        <f t="shared" si="2"/>
        <v>36.097867479055594</v>
      </c>
      <c r="L22" s="20">
        <f>34.1+1.392</f>
        <v>35.492000000000004</v>
      </c>
      <c r="M22" s="20">
        <f t="shared" si="5"/>
        <v>35.492000000000004</v>
      </c>
      <c r="N22" s="20">
        <f t="shared" si="9"/>
        <v>267.08272286712497</v>
      </c>
      <c r="O22" s="21">
        <f t="shared" si="3"/>
        <v>59.301000000000002</v>
      </c>
    </row>
    <row r="23" spans="1:15" ht="15.75" thickBot="1" x14ac:dyDescent="0.3">
      <c r="A23" s="26" t="s">
        <v>40</v>
      </c>
      <c r="B23" s="27"/>
      <c r="C23" s="12" t="s">
        <v>68</v>
      </c>
      <c r="D23" s="20">
        <v>0</v>
      </c>
      <c r="E23" s="20">
        <v>63.281999999999996</v>
      </c>
      <c r="F23" s="20">
        <v>0</v>
      </c>
      <c r="G23" s="20">
        <v>857.2</v>
      </c>
      <c r="H23" s="20">
        <f>D23+0</f>
        <v>0</v>
      </c>
      <c r="I23" s="20">
        <f>E23+56.043</f>
        <v>119.32499999999999</v>
      </c>
      <c r="J23" s="20">
        <v>0</v>
      </c>
      <c r="K23" s="20">
        <f t="shared" si="2"/>
        <v>13.92032197853476</v>
      </c>
      <c r="L23" s="20">
        <f>58.5+50.64</f>
        <v>109.14</v>
      </c>
      <c r="M23" s="20">
        <f t="shared" si="5"/>
        <v>109.14</v>
      </c>
      <c r="N23" s="20">
        <f>I23/L23*100</f>
        <v>109.33205057724022</v>
      </c>
      <c r="O23" s="21">
        <f t="shared" si="3"/>
        <v>10.184999999999988</v>
      </c>
    </row>
    <row r="24" spans="1:15" ht="15.75" thickBot="1" x14ac:dyDescent="0.3">
      <c r="A24" s="26" t="s">
        <v>80</v>
      </c>
      <c r="B24" s="32"/>
      <c r="C24" s="22" t="s">
        <v>81</v>
      </c>
      <c r="D24" s="20">
        <v>100</v>
      </c>
      <c r="E24" s="20">
        <v>100</v>
      </c>
      <c r="F24" s="20">
        <v>0</v>
      </c>
      <c r="G24" s="20">
        <v>222.54499999999999</v>
      </c>
      <c r="H24" s="20">
        <f>D24+122.546</f>
        <v>222.54599999999999</v>
      </c>
      <c r="I24" s="20">
        <f>E24+122.595</f>
        <v>222.595</v>
      </c>
      <c r="J24" s="20">
        <v>0</v>
      </c>
      <c r="K24" s="20">
        <f t="shared" si="2"/>
        <v>100.02246736615068</v>
      </c>
      <c r="L24" s="20">
        <v>0</v>
      </c>
      <c r="M24" s="20">
        <f t="shared" si="5"/>
        <v>0</v>
      </c>
      <c r="N24" s="20">
        <v>0</v>
      </c>
      <c r="O24" s="21">
        <f t="shared" si="3"/>
        <v>222.595</v>
      </c>
    </row>
    <row r="25" spans="1:15" ht="15.75" thickBot="1" x14ac:dyDescent="0.3">
      <c r="A25" s="26" t="s">
        <v>47</v>
      </c>
      <c r="B25" s="27"/>
      <c r="C25" s="12" t="s">
        <v>54</v>
      </c>
      <c r="D25" s="20">
        <v>0</v>
      </c>
      <c r="E25" s="20">
        <v>0</v>
      </c>
      <c r="F25" s="20">
        <v>0</v>
      </c>
      <c r="G25" s="20">
        <v>0</v>
      </c>
      <c r="H25" s="20">
        <f t="shared" si="8"/>
        <v>0</v>
      </c>
      <c r="I25" s="20">
        <f t="shared" si="6"/>
        <v>0</v>
      </c>
      <c r="J25" s="20">
        <v>0</v>
      </c>
      <c r="K25" s="20">
        <v>0</v>
      </c>
      <c r="L25" s="20">
        <v>0</v>
      </c>
      <c r="M25" s="20">
        <f t="shared" si="5"/>
        <v>0</v>
      </c>
      <c r="N25" s="20">
        <v>0</v>
      </c>
      <c r="O25" s="21">
        <f t="shared" si="3"/>
        <v>0</v>
      </c>
    </row>
    <row r="29" spans="1:15" x14ac:dyDescent="0.25">
      <c r="H29" s="14"/>
      <c r="I29" s="14"/>
    </row>
  </sheetData>
  <mergeCells count="25">
    <mergeCell ref="A23:B23"/>
    <mergeCell ref="A25:B25"/>
    <mergeCell ref="A8:B8"/>
    <mergeCell ref="A12:B12"/>
    <mergeCell ref="A14:B14"/>
    <mergeCell ref="A16:B16"/>
    <mergeCell ref="A17:B17"/>
    <mergeCell ref="A19:B19"/>
    <mergeCell ref="A9:B9"/>
    <mergeCell ref="A10:B10"/>
    <mergeCell ref="A18:B18"/>
    <mergeCell ref="A11:B11"/>
    <mergeCell ref="A13:B13"/>
    <mergeCell ref="A24:B24"/>
    <mergeCell ref="A1:N1"/>
    <mergeCell ref="A2:N2"/>
    <mergeCell ref="A20:B20"/>
    <mergeCell ref="A21:B21"/>
    <mergeCell ref="A22:B22"/>
    <mergeCell ref="A3:B3"/>
    <mergeCell ref="A4:B4"/>
    <mergeCell ref="A5:B5"/>
    <mergeCell ref="A6:B6"/>
    <mergeCell ref="A15:B15"/>
    <mergeCell ref="A7:B7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2023 году</vt:lpstr>
      <vt:lpstr>в 2022-2023 гг</vt:lpstr>
      <vt:lpstr>в разрезе источников</vt:lpstr>
      <vt:lpstr>'в 2023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2023-04-07T09:24:39Z</dcterms:modified>
</cp:coreProperties>
</file>